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townofmontaguema.sharepoint.com/sites/GRP_ACCOUNTING/Shared Documents/Files/Budgets/FY25 Budget/"/>
    </mc:Choice>
  </mc:AlternateContent>
  <xr:revisionPtr revIDLastSave="47" documentId="8_{918FF2AC-67EF-4250-BBE7-5402FE25D7D4}" xr6:coauthVersionLast="47" xr6:coauthVersionMax="47" xr10:uidLastSave="{E775D94B-D766-46A8-81EF-8C8FBC810F4A}"/>
  <bookViews>
    <workbookView xWindow="-108" yWindow="-108" windowWidth="23256" windowHeight="12576" firstSheet="10" activeTab="11" xr2:uid="{00000000-000D-0000-FFFF-FFFF00000000}"/>
  </bookViews>
  <sheets>
    <sheet name="Table of Contents" sheetId="163" r:id="rId1"/>
    <sheet name="Tabs" sheetId="176" r:id="rId2"/>
    <sheet name="Tax Impact Calculator" sheetId="178" r:id="rId3"/>
    <sheet name="To Do and Changes" sheetId="112" r:id="rId4"/>
    <sheet name="Policies to Review" sheetId="175" r:id="rId5"/>
    <sheet name="Est Sewer Rate Incr" sheetId="144" r:id="rId6"/>
    <sheet name="Revenue Projections Detail" sheetId="26" r:id="rId7"/>
    <sheet name="SB 10-23-23" sheetId="183" r:id="rId8"/>
    <sheet name="Excess Capacity Calculation" sheetId="181" r:id="rId9"/>
    <sheet name="Affordable Assessment" sheetId="133" r:id="rId10"/>
    <sheet name="Financial Policy Numbers" sheetId="143" r:id="rId11"/>
    <sheet name="Working Budget with funding det" sheetId="66" r:id="rId12"/>
    <sheet name="Budget Summary" sheetId="167" r:id="rId13"/>
    <sheet name="113 Town Mtg" sheetId="29" r:id="rId14"/>
    <sheet name="122 Selectboard" sheetId="30" r:id="rId15"/>
    <sheet name="131 Fin Comm" sheetId="31" r:id="rId16"/>
    <sheet name="132 Reserve Fund" sheetId="32" r:id="rId17"/>
    <sheet name="135 Acct" sheetId="33" r:id="rId18"/>
    <sheet name="141 BOA" sheetId="34" r:id="rId19"/>
    <sheet name="145 Treas" sheetId="35" r:id="rId20"/>
    <sheet name="151 Counsel" sheetId="36" r:id="rId21"/>
    <sheet name="155 IT" sheetId="149" r:id="rId22"/>
    <sheet name="159 Shared Costs" sheetId="77" r:id="rId23"/>
    <sheet name="161 Clerk" sheetId="38" r:id="rId24"/>
    <sheet name="175 Planning" sheetId="40" r:id="rId25"/>
    <sheet name="176 ZBA" sheetId="41" r:id="rId26"/>
    <sheet name="190 Publ Bldg Utilities" sheetId="87" r:id="rId27"/>
    <sheet name="197 Farm Mkt" sheetId="139" r:id="rId28"/>
    <sheet name="211 Police" sheetId="43" r:id="rId29"/>
    <sheet name="212 Dispatch" sheetId="60" r:id="rId30"/>
    <sheet name="241 Bldg" sheetId="44" r:id="rId31"/>
    <sheet name="244 Sealer" sheetId="45" r:id="rId32"/>
    <sheet name="291 Emergency" sheetId="46" r:id="rId33"/>
    <sheet name="292 Animal" sheetId="47" r:id="rId34"/>
    <sheet name="294 Forest Warden" sheetId="48" r:id="rId35"/>
    <sheet name="299 Tree Warden" sheetId="86" r:id="rId36"/>
    <sheet name="300 Schools" sheetId="13" r:id="rId37"/>
    <sheet name="420 DPW" sheetId="15" r:id="rId38"/>
    <sheet name="192 Public Bldgs" sheetId="56" r:id="rId39"/>
    <sheet name="422 Maintenance" sheetId="17" r:id="rId40"/>
    <sheet name="652 Parks" sheetId="23" r:id="rId41"/>
    <sheet name="423 Snow" sheetId="18" r:id="rId42"/>
    <sheet name="433 Solid Waste" sheetId="22" r:id="rId43"/>
    <sheet name="480 Charging Stations" sheetId="165" r:id="rId44"/>
    <sheet name="491 Cemetery" sheetId="7" r:id="rId45"/>
    <sheet name="511 BOH" sheetId="8" r:id="rId46"/>
    <sheet name="541 COA" sheetId="9" r:id="rId47"/>
    <sheet name="543 Vets" sheetId="10" r:id="rId48"/>
    <sheet name="610 Library" sheetId="11" r:id="rId49"/>
    <sheet name="630 Recreation" sheetId="49" r:id="rId50"/>
    <sheet name="691 Historical Comm" sheetId="135" r:id="rId51"/>
    <sheet name="693 Memorials" sheetId="50" r:id="rId52"/>
    <sheet name="700 Debt " sheetId="51" r:id="rId53"/>
    <sheet name="840 Intergovt" sheetId="52" r:id="rId54"/>
    <sheet name="910 Benefits" sheetId="53" r:id="rId55"/>
    <sheet name="946 Insurance" sheetId="54" r:id="rId56"/>
    <sheet name="Colle 228 183" sheetId="93" r:id="rId57"/>
    <sheet name="600 482 Airport" sheetId="24" r:id="rId58"/>
    <sheet name="600-700 Airport Debt" sheetId="172" r:id="rId59"/>
    <sheet name="600-900 Airport Benefits" sheetId="171" r:id="rId60"/>
    <sheet name="661 440 CWF" sheetId="12" r:id="rId61"/>
    <sheet name="661 449 Hwy" sheetId="5" r:id="rId62"/>
    <sheet name="661 700 CWF Debt" sheetId="6" r:id="rId63"/>
    <sheet name="661 910 CWF Benefits" sheetId="4" r:id="rId64"/>
    <sheet name="Tax share CWF" sheetId="170" r:id="rId65"/>
    <sheet name="Overhead" sheetId="107" r:id="rId66"/>
    <sheet name="Debt Exclusion Calc." sheetId="2" r:id="rId67"/>
    <sheet name="Police Wages" sheetId="138" r:id="rId68"/>
    <sheet name="NAGE &amp; Non-Union Wages" sheetId="141" r:id="rId69"/>
    <sheet name="UE Wages" sheetId="161" r:id="rId70"/>
    <sheet name="Longevity" sheetId="140" r:id="rId71"/>
    <sheet name="Split Debt Service" sheetId="148" r:id="rId72"/>
    <sheet name="Combined Debt Schedule" sheetId="159" r:id="rId73"/>
    <sheet name="Kearsarge Lease" sheetId="158" r:id="rId74"/>
    <sheet name="Town Meeting Wages By Position" sheetId="137" r:id="rId75"/>
    <sheet name="Report to Town Meeting " sheetId="129" r:id="rId76"/>
    <sheet name="Charts for Report" sheetId="136" r:id="rId77"/>
    <sheet name="Pie Charts" sheetId="160" r:id="rId78"/>
    <sheet name="Local Receipts for Report" sheetId="173" r:id="rId79"/>
    <sheet name="TOC-Report" sheetId="168" r:id="rId80"/>
    <sheet name="Summary Comp to PY" sheetId="179" r:id="rId81"/>
    <sheet name="182 MEDIC" sheetId="180" r:id="rId82"/>
    <sheet name="Wages and expenses by Dept" sheetId="182" r:id="rId83"/>
    <sheet name="Sheet1" sheetId="184" r:id="rId84"/>
  </sheets>
  <definedNames>
    <definedName name="_xlnm.Print_Area" localSheetId="13">'113 Town Mtg'!$A$1:$U$38</definedName>
    <definedName name="_xlnm.Print_Area" localSheetId="14">'122 Selectboard'!$A$1:$U$69</definedName>
    <definedName name="_xlnm.Print_Area" localSheetId="15">'131 Fin Comm'!$A$1:$U$33</definedName>
    <definedName name="_xlnm.Print_Area" localSheetId="16">'132 Reserve Fund'!$A$1:$U$14</definedName>
    <definedName name="_xlnm.Print_Area" localSheetId="17">'135 Acct'!$A$1:$U$54</definedName>
    <definedName name="_xlnm.Print_Area" localSheetId="18">'141 BOA'!$A$2:$U$83</definedName>
    <definedName name="_xlnm.Print_Area" localSheetId="19">'145 Treas'!$A$1:$U$75</definedName>
    <definedName name="_xlnm.Print_Area" localSheetId="20">'151 Counsel'!$A$1:$U$24</definedName>
    <definedName name="_xlnm.Print_Area" localSheetId="21">'155 IT'!$A$1:$U$60</definedName>
    <definedName name="_xlnm.Print_Area" localSheetId="22">'159 Shared Costs'!$A$1:$U$41</definedName>
    <definedName name="_xlnm.Print_Area" localSheetId="23">'161 Clerk'!$A$1:$U$88</definedName>
    <definedName name="_xlnm.Print_Area" localSheetId="24">'175 Planning'!$A$1:$U$63</definedName>
    <definedName name="_xlnm.Print_Area" localSheetId="25">'176 ZBA'!$A$1:$U$29</definedName>
    <definedName name="_xlnm.Print_Area" localSheetId="26">'190 Publ Bldg Utilities'!$A$1:$U$73</definedName>
    <definedName name="_xlnm.Print_Area" localSheetId="38">'192 Public Bldgs'!$A$1:$U$43</definedName>
    <definedName name="_xlnm.Print_Area" localSheetId="27">'197 Farm Mkt'!$A$1:$U$28</definedName>
    <definedName name="_xlnm.Print_Area" localSheetId="28">'211 Police'!$A$9:$U$136</definedName>
    <definedName name="_xlnm.Print_Area" localSheetId="29">'212 Dispatch'!$A$1:$U$59</definedName>
    <definedName name="_xlnm.Print_Area" localSheetId="30">'241 Bldg'!$A$1:$U$67</definedName>
    <definedName name="_xlnm.Print_Area" localSheetId="31">'244 Sealer'!$A$1:$U$20</definedName>
    <definedName name="_xlnm.Print_Area" localSheetId="32">'291 Emergency'!$A$1:$U$28</definedName>
    <definedName name="_xlnm.Print_Area" localSheetId="33">'292 Animal'!$A$1:$U$36</definedName>
    <definedName name="_xlnm.Print_Area" localSheetId="34">'294 Forest Warden'!$A$1:$U$18</definedName>
    <definedName name="_xlnm.Print_Area" localSheetId="35">'299 Tree Warden'!$A$1:$U$30</definedName>
    <definedName name="_xlnm.Print_Area" localSheetId="36">'300 Schools'!$A$1:$U$33</definedName>
    <definedName name="_xlnm.Print_Area" localSheetId="37">'420 DPW'!$A$8:$U$102</definedName>
    <definedName name="_xlnm.Print_Area" localSheetId="39">'422 Maintenance'!$A$1:$U$100</definedName>
    <definedName name="_xlnm.Print_Area" localSheetId="41">'423 Snow'!$A$1:$U$32</definedName>
    <definedName name="_xlnm.Print_Area" localSheetId="42">'433 Solid Waste'!$A$1:$U$50</definedName>
    <definedName name="_xlnm.Print_Area" localSheetId="44">'491 Cemetery'!$A$1:$U$30</definedName>
    <definedName name="_xlnm.Print_Area" localSheetId="45">'511 BOH'!$A$1:$U$83</definedName>
    <definedName name="_xlnm.Print_Area" localSheetId="46">'541 COA'!$A$1:$U$50</definedName>
    <definedName name="_xlnm.Print_Area" localSheetId="47">'543 Vets'!$A$1:$U$24</definedName>
    <definedName name="_xlnm.Print_Area" localSheetId="57">'600 482 Airport'!$A$1:$U$119</definedName>
    <definedName name="_xlnm.Print_Area" localSheetId="58">'600-700 Airport Debt'!$A$1:$U$22</definedName>
    <definedName name="_xlnm.Print_Area" localSheetId="48">'610 Library'!$A$1:$U$105</definedName>
    <definedName name="_xlnm.Print_Area" localSheetId="49">'630 Recreation'!$A$1:$U$57</definedName>
    <definedName name="_xlnm.Print_Area" localSheetId="40">'652 Parks'!$A$1:$U$33</definedName>
    <definedName name="_xlnm.Print_Area" localSheetId="60">'661 440 CWF'!$A$8:$U$147</definedName>
    <definedName name="_xlnm.Print_Area" localSheetId="61">'661 449 Hwy'!$A$1:$U$51</definedName>
    <definedName name="_xlnm.Print_Area" localSheetId="62">'661 700 CWF Debt'!$A$8:$U$61</definedName>
    <definedName name="_xlnm.Print_Area" localSheetId="63">'661 910 CWF Benefits'!$A$1:$U$34</definedName>
    <definedName name="_xlnm.Print_Area" localSheetId="50">'691 Historical Comm'!$A$1:$U$21</definedName>
    <definedName name="_xlnm.Print_Area" localSheetId="51">'693 Memorials'!$A$1:$U$21</definedName>
    <definedName name="_xlnm.Print_Area" localSheetId="52">'700 Debt '!$A$8:$U$64</definedName>
    <definedName name="_xlnm.Print_Area" localSheetId="53">'840 Intergovt'!$A$1:$U$31</definedName>
    <definedName name="_xlnm.Print_Area" localSheetId="54">'910 Benefits'!$A$1:$U$36</definedName>
    <definedName name="_xlnm.Print_Area" localSheetId="55">'946 Insurance'!$A$1:$U$31</definedName>
    <definedName name="_xlnm.Print_Area" localSheetId="9">'Affordable Assessment'!$A$9:$E$37</definedName>
    <definedName name="_xlnm.Print_Area" localSheetId="12">'Budget Summary'!$A$1:$O$44</definedName>
    <definedName name="_xlnm.Print_Area" localSheetId="76">'Charts for Report'!$A$4:$E$34</definedName>
    <definedName name="_xlnm.Print_Area" localSheetId="56">'Colle 228 183'!$A$1:$U$49</definedName>
    <definedName name="_xlnm.Print_Area" localSheetId="72">'Combined Debt Schedule'!$D$4:$AG$45</definedName>
    <definedName name="_xlnm.Print_Area" localSheetId="5">'Est Sewer Rate Incr'!$A$1:$U$37</definedName>
    <definedName name="_xlnm.Print_Area" localSheetId="10">'Financial Policy Numbers'!$A$1:$H$125</definedName>
    <definedName name="_xlnm.Print_Area" localSheetId="68">'NAGE &amp; Non-Union Wages'!$A$23:$M$58</definedName>
    <definedName name="_xlnm.Print_Area" localSheetId="67">'Police Wages'!$A$1:$I$60</definedName>
    <definedName name="_xlnm.Print_Area" localSheetId="75">'Report to Town Meeting '!$A$1:$O$147</definedName>
    <definedName name="_xlnm.Print_Area" localSheetId="6">'Revenue Projections Detail'!$A$7:$R$116</definedName>
    <definedName name="_xlnm.Print_Area" localSheetId="2">'Tax Impact Calculator'!$G$2:$K$34</definedName>
    <definedName name="_xlnm.Print_Area" localSheetId="74">'Town Meeting Wages By Position'!$A$5:$F$129</definedName>
    <definedName name="_xlnm.Print_Area" localSheetId="11">'Working Budget with funding det'!$B$143:$AA$280</definedName>
    <definedName name="_xlnm.Print_Titles" localSheetId="38">'192 Public Bldgs'!$2:$7</definedName>
    <definedName name="_xlnm.Print_Titles" localSheetId="28">'211 Police'!$1:$7</definedName>
    <definedName name="_xlnm.Print_Titles" localSheetId="33">'292 Animal'!$2:$7</definedName>
    <definedName name="_xlnm.Print_Titles" localSheetId="37">'420 DPW'!$2:$8</definedName>
    <definedName name="_xlnm.Print_Titles" localSheetId="39">'422 Maintenance'!$2:$7</definedName>
    <definedName name="_xlnm.Print_Titles" localSheetId="58">'600-700 Airport Debt'!$A:$B,'600-700 Airport Debt'!$4:$7</definedName>
    <definedName name="_xlnm.Print_Titles" localSheetId="60">'661 440 CWF'!$1:$7</definedName>
    <definedName name="_xlnm.Print_Titles" localSheetId="62">'661 700 CWF Debt'!$2:$7</definedName>
    <definedName name="_xlnm.Print_Titles" localSheetId="52">'700 Debt '!$A:$B,'700 Debt '!$1:$7</definedName>
    <definedName name="_xlnm.Print_Titles" localSheetId="12">'Budget Summary'!$1:$3</definedName>
    <definedName name="_xlnm.Print_Titles" localSheetId="76">'Charts for Report'!$A:$A,'Charts for Report'!$3:$4</definedName>
    <definedName name="_xlnm.Print_Titles" localSheetId="72">'Combined Debt Schedule'!$B:$B,'Combined Debt Schedule'!$3:$3</definedName>
    <definedName name="_xlnm.Print_Titles" localSheetId="10">'Financial Policy Numbers'!$1:$1</definedName>
    <definedName name="_xlnm.Print_Titles" localSheetId="6">'Revenue Projections Detail'!$A:$K,'Revenue Projections Detail'!$1:$4</definedName>
    <definedName name="_xlnm.Print_Titles" localSheetId="74">'Town Meeting Wages By Position'!$1:$4</definedName>
    <definedName name="_xlnm.Print_Titles" localSheetId="82">'Wages and expenses by Dept'!$1:$2</definedName>
    <definedName name="_xlnm.Print_Titles" localSheetId="11">'Working Budget with funding det'!$A:$B,'Working Budget with funding det'!$1:$4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5" i="26" l="1"/>
  <c r="Y186" i="66"/>
  <c r="Y175" i="66"/>
  <c r="Y174" i="66"/>
  <c r="R91" i="26"/>
  <c r="D39" i="170"/>
  <c r="P12" i="144"/>
  <c r="P28" i="144"/>
  <c r="P27" i="144"/>
  <c r="P26" i="144"/>
  <c r="P25" i="144"/>
  <c r="P31" i="144" s="1"/>
  <c r="N12" i="144" l="1"/>
  <c r="N22" i="144" s="1"/>
  <c r="O31" i="144"/>
  <c r="O12" i="144"/>
  <c r="V25" i="144"/>
  <c r="V24" i="144"/>
  <c r="V23" i="144"/>
  <c r="O25" i="144" l="1"/>
  <c r="C12" i="168"/>
  <c r="C11" i="168"/>
  <c r="C10" i="168"/>
  <c r="C9" i="168"/>
  <c r="C8" i="168"/>
  <c r="V187" i="66"/>
  <c r="T16" i="66"/>
  <c r="W16" i="66" s="1"/>
  <c r="S16" i="66"/>
  <c r="R16" i="66"/>
  <c r="C77" i="26"/>
  <c r="D77" i="26"/>
  <c r="H77" i="26"/>
  <c r="R77" i="26"/>
  <c r="T157" i="66"/>
  <c r="V157" i="66" s="1"/>
  <c r="S157" i="66"/>
  <c r="E4" i="173" l="1"/>
  <c r="D9" i="173"/>
  <c r="T29" i="26"/>
  <c r="T16" i="26"/>
  <c r="B7" i="129"/>
  <c r="B8" i="129"/>
  <c r="B9" i="129"/>
  <c r="B10" i="129"/>
  <c r="B11" i="129"/>
  <c r="B12" i="129"/>
  <c r="B13" i="129"/>
  <c r="B14" i="129"/>
  <c r="B15" i="129"/>
  <c r="B17" i="129"/>
  <c r="B18" i="129"/>
  <c r="B19" i="129"/>
  <c r="B20" i="129"/>
  <c r="B21" i="129"/>
  <c r="B25" i="129"/>
  <c r="B26" i="129"/>
  <c r="B28" i="129"/>
  <c r="B36" i="129"/>
  <c r="B37" i="129"/>
  <c r="B38" i="129"/>
  <c r="B39" i="129"/>
  <c r="B40" i="129"/>
  <c r="B41" i="129"/>
  <c r="B42" i="129"/>
  <c r="B44" i="129"/>
  <c r="B45" i="129"/>
  <c r="B47" i="129"/>
  <c r="B48" i="129"/>
  <c r="B50" i="129"/>
  <c r="B51" i="129"/>
  <c r="B53" i="129"/>
  <c r="B54" i="129"/>
  <c r="B61" i="129"/>
  <c r="B62" i="129"/>
  <c r="B63" i="129"/>
  <c r="B64" i="129"/>
  <c r="B66" i="129"/>
  <c r="B67" i="129"/>
  <c r="B68" i="129"/>
  <c r="B69" i="129"/>
  <c r="B70" i="129"/>
  <c r="B73" i="129"/>
  <c r="B74" i="129"/>
  <c r="B75" i="129"/>
  <c r="B77" i="129"/>
  <c r="B84" i="129"/>
  <c r="B86" i="129"/>
  <c r="B87" i="129"/>
  <c r="B88" i="129"/>
  <c r="B117" i="129"/>
  <c r="B142" i="129"/>
  <c r="C8" i="129"/>
  <c r="C9" i="129"/>
  <c r="C10" i="129"/>
  <c r="C11" i="129"/>
  <c r="C12" i="129"/>
  <c r="C13" i="129"/>
  <c r="C14" i="129"/>
  <c r="C15" i="129"/>
  <c r="C16" i="129"/>
  <c r="C17" i="129"/>
  <c r="C18" i="129"/>
  <c r="C19" i="129"/>
  <c r="C20" i="129"/>
  <c r="C21" i="129"/>
  <c r="C22" i="129"/>
  <c r="C27" i="129"/>
  <c r="C26" i="129" s="1"/>
  <c r="C28" i="129"/>
  <c r="C36" i="129"/>
  <c r="C37" i="129"/>
  <c r="C38" i="129"/>
  <c r="C39" i="129"/>
  <c r="C40" i="129"/>
  <c r="C41" i="129"/>
  <c r="C45" i="129"/>
  <c r="C47" i="129"/>
  <c r="C48" i="129"/>
  <c r="C50" i="129"/>
  <c r="C54" i="129"/>
  <c r="C62" i="129"/>
  <c r="C63" i="129"/>
  <c r="C67" i="129"/>
  <c r="C68" i="129"/>
  <c r="C69" i="129"/>
  <c r="C70" i="129"/>
  <c r="C74" i="129"/>
  <c r="C77" i="129"/>
  <c r="C86" i="129"/>
  <c r="C87" i="129"/>
  <c r="C118" i="129"/>
  <c r="C120" i="129"/>
  <c r="C121" i="129"/>
  <c r="C129" i="129"/>
  <c r="C130" i="129"/>
  <c r="C143" i="129"/>
  <c r="C147" i="129" s="1"/>
  <c r="T54" i="24"/>
  <c r="D5" i="170"/>
  <c r="D17" i="170"/>
  <c r="O28" i="144"/>
  <c r="O27" i="144"/>
  <c r="O26" i="144"/>
  <c r="C64" i="129" l="1"/>
  <c r="C122" i="129"/>
  <c r="C42" i="129"/>
  <c r="C51" i="129"/>
  <c r="C131" i="129"/>
  <c r="C71" i="129"/>
  <c r="C23" i="129"/>
  <c r="C88" i="129"/>
  <c r="C133" i="129" l="1"/>
  <c r="C90" i="129"/>
  <c r="A28" i="167"/>
  <c r="S174" i="66" l="1"/>
  <c r="T174" i="66" s="1"/>
  <c r="B28" i="167" s="1"/>
  <c r="D53" i="170"/>
  <c r="D49" i="170"/>
  <c r="S9" i="13" l="1"/>
  <c r="A75" i="24"/>
  <c r="W123" i="66"/>
  <c r="W127" i="66" s="1"/>
  <c r="U123" i="66"/>
  <c r="U127" i="66" s="1"/>
  <c r="D46" i="170"/>
  <c r="P99" i="12" l="1"/>
  <c r="Q99" i="12" s="1"/>
  <c r="O99" i="12"/>
  <c r="R99" i="12" s="1"/>
  <c r="P96" i="12"/>
  <c r="Q96" i="12" s="1"/>
  <c r="O96" i="12"/>
  <c r="R96" i="12" s="1"/>
  <c r="T20" i="31" l="1"/>
  <c r="R43" i="30" l="1"/>
  <c r="R42" i="30"/>
  <c r="R28" i="26" l="1"/>
  <c r="S27" i="26"/>
  <c r="I23" i="133" l="1"/>
  <c r="R21" i="26"/>
  <c r="AA189" i="66"/>
  <c r="P114" i="12"/>
  <c r="Q114" i="12" s="1"/>
  <c r="O114" i="12"/>
  <c r="R114" i="12" s="1"/>
  <c r="A115" i="12"/>
  <c r="S38" i="43"/>
  <c r="H24" i="178"/>
  <c r="I18" i="178"/>
  <c r="H12" i="178"/>
  <c r="T51" i="24"/>
  <c r="T47" i="24"/>
  <c r="T16" i="24"/>
  <c r="T17" i="31" l="1"/>
  <c r="U171" i="66"/>
  <c r="T171" i="66"/>
  <c r="S171" i="66"/>
  <c r="S51" i="43"/>
  <c r="R83" i="15"/>
  <c r="S9" i="17" s="1"/>
  <c r="P83" i="15"/>
  <c r="U21" i="167"/>
  <c r="U22" i="167" s="1"/>
  <c r="T21" i="167"/>
  <c r="T22" i="167" s="1"/>
  <c r="A38" i="167"/>
  <c r="A37" i="167"/>
  <c r="A36" i="167"/>
  <c r="A35" i="167"/>
  <c r="A34" i="167"/>
  <c r="A33" i="167"/>
  <c r="A32" i="167"/>
  <c r="A31" i="167"/>
  <c r="A30" i="167"/>
  <c r="A27" i="167"/>
  <c r="U43" i="167" l="1"/>
  <c r="U44" i="167" s="1"/>
  <c r="T187" i="66" l="1"/>
  <c r="S187" i="66"/>
  <c r="T186" i="66"/>
  <c r="S186" i="66"/>
  <c r="T185" i="66"/>
  <c r="S185" i="66"/>
  <c r="T184" i="66"/>
  <c r="X184" i="66" s="1"/>
  <c r="S184" i="66"/>
  <c r="T183" i="66"/>
  <c r="S183" i="66"/>
  <c r="T182" i="66"/>
  <c r="S182" i="66"/>
  <c r="T181" i="66"/>
  <c r="V181" i="66" s="1"/>
  <c r="S181" i="66"/>
  <c r="T180" i="66"/>
  <c r="V180" i="66" s="1"/>
  <c r="S180" i="66"/>
  <c r="T179" i="66"/>
  <c r="V179" i="66" s="1"/>
  <c r="S179" i="66"/>
  <c r="T178" i="66"/>
  <c r="V178" i="66" s="1"/>
  <c r="S178" i="66"/>
  <c r="T177" i="66"/>
  <c r="V177" i="66" s="1"/>
  <c r="S177" i="66"/>
  <c r="T176" i="66"/>
  <c r="V176" i="66" s="1"/>
  <c r="S176" i="66"/>
  <c r="T175" i="66"/>
  <c r="S175" i="66"/>
  <c r="T173" i="66"/>
  <c r="S173" i="66"/>
  <c r="S260" i="66"/>
  <c r="T260" i="66" s="1"/>
  <c r="AA260" i="66"/>
  <c r="R14" i="53"/>
  <c r="R13" i="53"/>
  <c r="R29" i="15"/>
  <c r="R11" i="13"/>
  <c r="R26" i="43"/>
  <c r="P39" i="77"/>
  <c r="Q39" i="77" s="1"/>
  <c r="O39" i="77"/>
  <c r="R39" i="77" s="1"/>
  <c r="O73" i="87"/>
  <c r="O72" i="87"/>
  <c r="O71" i="87"/>
  <c r="O70" i="87"/>
  <c r="O69" i="87"/>
  <c r="O68" i="87"/>
  <c r="O67" i="87"/>
  <c r="O66" i="87"/>
  <c r="O65" i="87"/>
  <c r="O64" i="87"/>
  <c r="O63" i="87"/>
  <c r="O62" i="87"/>
  <c r="O61" i="87"/>
  <c r="O60" i="87"/>
  <c r="O59" i="87"/>
  <c r="O57" i="87"/>
  <c r="O56" i="87"/>
  <c r="O55" i="87"/>
  <c r="O54" i="87"/>
  <c r="O53" i="87"/>
  <c r="O52" i="87"/>
  <c r="O51" i="87"/>
  <c r="O50" i="87"/>
  <c r="S24" i="9"/>
  <c r="B27" i="167" l="1"/>
  <c r="I27" i="167" s="1"/>
  <c r="R92" i="26"/>
  <c r="B38" i="167"/>
  <c r="T38" i="167" s="1"/>
  <c r="T43" i="167" s="1"/>
  <c r="T44" i="167" s="1"/>
  <c r="V182" i="66"/>
  <c r="B31" i="167"/>
  <c r="L31" i="167" s="1"/>
  <c r="B33" i="167"/>
  <c r="L33" i="167" s="1"/>
  <c r="B34" i="167"/>
  <c r="L34" i="167" s="1"/>
  <c r="X185" i="66"/>
  <c r="B37" i="167"/>
  <c r="N37" i="167" s="1"/>
  <c r="Z188" i="66"/>
  <c r="B35" i="167"/>
  <c r="L35" i="167" s="1"/>
  <c r="I28" i="167"/>
  <c r="B36" i="167"/>
  <c r="N36" i="167" s="1"/>
  <c r="B32" i="167"/>
  <c r="L32" i="167" s="1"/>
  <c r="B30" i="167"/>
  <c r="L30" i="167" s="1"/>
  <c r="L29" i="167"/>
  <c r="AG44" i="149"/>
  <c r="AE44" i="149"/>
  <c r="AC35" i="149"/>
  <c r="AA35" i="149"/>
  <c r="AC24" i="149"/>
  <c r="AA6" i="149"/>
  <c r="AA8" i="149" s="1"/>
  <c r="AA5" i="149"/>
  <c r="P111" i="12" l="1"/>
  <c r="O111" i="12"/>
  <c r="P86" i="12"/>
  <c r="P85" i="12"/>
  <c r="P84" i="12"/>
  <c r="P83" i="12"/>
  <c r="P82" i="12"/>
  <c r="P81" i="12"/>
  <c r="P80" i="12"/>
  <c r="P79" i="12"/>
  <c r="S40" i="15"/>
  <c r="P32" i="23"/>
  <c r="Q32" i="23" s="1"/>
  <c r="O32" i="23"/>
  <c r="R32" i="23" s="1"/>
  <c r="R111" i="12" l="1"/>
  <c r="Q111" i="12"/>
  <c r="P91" i="15"/>
  <c r="P89" i="15"/>
  <c r="P87" i="15"/>
  <c r="P86" i="15"/>
  <c r="P81" i="15"/>
  <c r="P77" i="15"/>
  <c r="P74" i="15"/>
  <c r="O32" i="54" l="1"/>
  <c r="P28" i="139"/>
  <c r="Q28" i="139" s="1"/>
  <c r="R28" i="139" s="1"/>
  <c r="P26" i="139"/>
  <c r="Q26" i="139" s="1"/>
  <c r="R26" i="139" s="1"/>
  <c r="R27" i="139"/>
  <c r="Q27" i="139"/>
  <c r="S22" i="7" l="1"/>
  <c r="U11" i="7"/>
  <c r="T11" i="7"/>
  <c r="S11" i="7"/>
  <c r="P81" i="38" l="1"/>
  <c r="O81" i="38"/>
  <c r="P77" i="38"/>
  <c r="O77" i="38"/>
  <c r="P76" i="38"/>
  <c r="Q76" i="38" s="1"/>
  <c r="O76" i="38"/>
  <c r="R76" i="38" s="1"/>
  <c r="Q81" i="38" l="1"/>
  <c r="Q77" i="38"/>
  <c r="R77" i="38"/>
  <c r="P68" i="38" l="1"/>
  <c r="O68" i="38"/>
  <c r="R68" i="38" s="1"/>
  <c r="Q12" i="26"/>
  <c r="P64" i="35"/>
  <c r="Q64" i="35" s="1"/>
  <c r="O64" i="35"/>
  <c r="R64" i="35" s="1"/>
  <c r="Q68" i="38" l="1"/>
  <c r="Q13" i="26"/>
  <c r="Q16" i="26" s="1"/>
  <c r="R49" i="5" l="1"/>
  <c r="R48" i="5"/>
  <c r="R47" i="5"/>
  <c r="R45" i="5"/>
  <c r="R44" i="5"/>
  <c r="R43" i="5"/>
  <c r="R42" i="5"/>
  <c r="R41" i="5"/>
  <c r="R40" i="5"/>
  <c r="R39" i="5"/>
  <c r="R38" i="5"/>
  <c r="T22" i="172"/>
  <c r="S22" i="172"/>
  <c r="T15" i="50"/>
  <c r="S15" i="50"/>
  <c r="T16" i="135"/>
  <c r="S16" i="135"/>
  <c r="T20" i="86"/>
  <c r="S20" i="86"/>
  <c r="T13" i="48"/>
  <c r="S13" i="48"/>
  <c r="T17" i="46"/>
  <c r="S17" i="46"/>
  <c r="T13" i="45"/>
  <c r="S13" i="45"/>
  <c r="T36" i="44"/>
  <c r="S36" i="44"/>
  <c r="T19" i="41"/>
  <c r="S19" i="41"/>
  <c r="T15" i="32"/>
  <c r="S15" i="32"/>
  <c r="R12" i="26"/>
  <c r="AL239" i="182"/>
  <c r="AM238" i="182"/>
  <c r="AN238" i="182" s="1"/>
  <c r="AK239" i="182"/>
  <c r="AM239" i="182" s="1"/>
  <c r="AN239" i="182" s="1"/>
  <c r="AK238" i="182"/>
  <c r="AE239" i="182"/>
  <c r="AG239" i="182" s="1"/>
  <c r="AE238" i="182"/>
  <c r="AG238" i="182" s="1"/>
  <c r="AA239" i="182"/>
  <c r="AC239" i="182" s="1"/>
  <c r="AD239" i="182" s="1"/>
  <c r="AA238" i="182"/>
  <c r="AB238" i="182" s="1"/>
  <c r="X239" i="182"/>
  <c r="Y239" i="182" s="1"/>
  <c r="X238" i="182"/>
  <c r="Y238" i="182" s="1"/>
  <c r="U239" i="182"/>
  <c r="V239" i="182" s="1"/>
  <c r="U238" i="182"/>
  <c r="S238" i="182"/>
  <c r="T238" i="182" s="1"/>
  <c r="R239" i="182"/>
  <c r="S239" i="182" s="1"/>
  <c r="T239" i="182" s="1"/>
  <c r="R238" i="182"/>
  <c r="Q239" i="182"/>
  <c r="P239" i="182"/>
  <c r="O239" i="182"/>
  <c r="O238" i="182"/>
  <c r="P238" i="182" s="1"/>
  <c r="M239" i="182"/>
  <c r="L239" i="182"/>
  <c r="I239" i="182"/>
  <c r="J239" i="182" s="1"/>
  <c r="L238" i="182"/>
  <c r="M238" i="182" s="1"/>
  <c r="I238" i="182"/>
  <c r="J238" i="182" s="1"/>
  <c r="K238" i="182" s="1"/>
  <c r="G238" i="182"/>
  <c r="H238" i="182" s="1"/>
  <c r="F239" i="182"/>
  <c r="G239" i="182" s="1"/>
  <c r="H239" i="182" s="1"/>
  <c r="F238" i="182"/>
  <c r="D239" i="182"/>
  <c r="C239" i="182"/>
  <c r="D238" i="182"/>
  <c r="C238" i="182"/>
  <c r="E238" i="182" s="1"/>
  <c r="AZ203" i="182"/>
  <c r="AY203" i="182"/>
  <c r="AX203" i="182"/>
  <c r="AW203" i="182"/>
  <c r="AV203" i="182"/>
  <c r="AZ178" i="182"/>
  <c r="AY178" i="182"/>
  <c r="AX178" i="182"/>
  <c r="AW178" i="182"/>
  <c r="AV178" i="182"/>
  <c r="AT111" i="182"/>
  <c r="AS111" i="182"/>
  <c r="U281" i="182"/>
  <c r="U280" i="182"/>
  <c r="U279" i="182"/>
  <c r="U278" i="182"/>
  <c r="U277" i="182"/>
  <c r="U264" i="182"/>
  <c r="U263" i="182"/>
  <c r="U262" i="182"/>
  <c r="U261" i="182"/>
  <c r="U260" i="182"/>
  <c r="U247" i="182"/>
  <c r="U246" i="182"/>
  <c r="U245" i="182"/>
  <c r="U244" i="182"/>
  <c r="U243" i="182"/>
  <c r="R281" i="182"/>
  <c r="R280" i="182"/>
  <c r="R279" i="182"/>
  <c r="R278" i="182"/>
  <c r="R277" i="182"/>
  <c r="R264" i="182"/>
  <c r="R263" i="182"/>
  <c r="R262" i="182"/>
  <c r="R261" i="182"/>
  <c r="R260" i="182"/>
  <c r="R247" i="182"/>
  <c r="R246" i="182"/>
  <c r="R245" i="182"/>
  <c r="R244" i="182"/>
  <c r="R243" i="182"/>
  <c r="O281" i="182"/>
  <c r="O280" i="182"/>
  <c r="O279" i="182"/>
  <c r="O278" i="182"/>
  <c r="O277" i="182"/>
  <c r="O264" i="182"/>
  <c r="O263" i="182"/>
  <c r="O262" i="182"/>
  <c r="O261" i="182"/>
  <c r="O260" i="182"/>
  <c r="O247" i="182"/>
  <c r="O246" i="182"/>
  <c r="O245" i="182"/>
  <c r="O244" i="182"/>
  <c r="O243" i="182"/>
  <c r="L281" i="182"/>
  <c r="L280" i="182"/>
  <c r="L279" i="182"/>
  <c r="L278" i="182"/>
  <c r="L277" i="182"/>
  <c r="L264" i="182"/>
  <c r="L263" i="182"/>
  <c r="L262" i="182"/>
  <c r="L261" i="182"/>
  <c r="L260" i="182"/>
  <c r="L247" i="182"/>
  <c r="L246" i="182"/>
  <c r="L245" i="182"/>
  <c r="L244" i="182"/>
  <c r="L243" i="182"/>
  <c r="I281" i="182"/>
  <c r="I280" i="182"/>
  <c r="I279" i="182"/>
  <c r="I278" i="182"/>
  <c r="I277" i="182"/>
  <c r="I264" i="182"/>
  <c r="I263" i="182"/>
  <c r="I262" i="182"/>
  <c r="I261" i="182"/>
  <c r="I260" i="182"/>
  <c r="I247" i="182"/>
  <c r="I246" i="182"/>
  <c r="I245" i="182"/>
  <c r="I244" i="182"/>
  <c r="I243" i="182"/>
  <c r="F281" i="182"/>
  <c r="F280" i="182"/>
  <c r="F279" i="182"/>
  <c r="F278" i="182"/>
  <c r="F277" i="182"/>
  <c r="F264" i="182"/>
  <c r="F263" i="182"/>
  <c r="F262" i="182"/>
  <c r="F261" i="182"/>
  <c r="F260" i="182"/>
  <c r="F247" i="182"/>
  <c r="F246" i="182"/>
  <c r="F245" i="182"/>
  <c r="F244" i="182"/>
  <c r="F243" i="182"/>
  <c r="U68" i="182"/>
  <c r="R68" i="182"/>
  <c r="O68" i="182"/>
  <c r="L68" i="182"/>
  <c r="I68" i="182"/>
  <c r="F68" i="182"/>
  <c r="AQ67" i="182"/>
  <c r="AM67" i="182"/>
  <c r="AK67" i="182"/>
  <c r="AG67" i="182"/>
  <c r="AG68" i="182" s="1"/>
  <c r="AE67" i="182"/>
  <c r="AE68" i="182" s="1"/>
  <c r="AC67" i="182"/>
  <c r="AA67" i="182"/>
  <c r="Y67" i="182"/>
  <c r="Y68" i="182" s="1"/>
  <c r="X67" i="182"/>
  <c r="X68" i="182" s="1"/>
  <c r="V67" i="182"/>
  <c r="V68" i="182" s="1"/>
  <c r="S67" i="182"/>
  <c r="P67" i="182"/>
  <c r="P68" i="182" s="1"/>
  <c r="M67" i="182"/>
  <c r="M68" i="182" s="1"/>
  <c r="J67" i="182"/>
  <c r="J68" i="182" s="1"/>
  <c r="G67" i="182"/>
  <c r="G68" i="182" s="1"/>
  <c r="D67" i="182"/>
  <c r="C67" i="182"/>
  <c r="C68" i="182" s="1"/>
  <c r="U230" i="182"/>
  <c r="R230" i="182"/>
  <c r="O230" i="182"/>
  <c r="L230" i="182"/>
  <c r="I230" i="182"/>
  <c r="F230" i="182"/>
  <c r="U226" i="182"/>
  <c r="R226" i="182"/>
  <c r="O226" i="182"/>
  <c r="L226" i="182"/>
  <c r="I226" i="182"/>
  <c r="F226" i="182"/>
  <c r="U222" i="182"/>
  <c r="R222" i="182"/>
  <c r="O222" i="182"/>
  <c r="L222" i="182"/>
  <c r="I222" i="182"/>
  <c r="F222" i="182"/>
  <c r="U216" i="182"/>
  <c r="R216" i="182"/>
  <c r="O216" i="182"/>
  <c r="L216" i="182"/>
  <c r="I216" i="182"/>
  <c r="F216" i="182"/>
  <c r="U208" i="182"/>
  <c r="R208" i="182"/>
  <c r="O208" i="182"/>
  <c r="L208" i="182"/>
  <c r="I208" i="182"/>
  <c r="F208" i="182"/>
  <c r="O204" i="182"/>
  <c r="L204" i="182"/>
  <c r="I204" i="182"/>
  <c r="F204" i="182"/>
  <c r="U200" i="182"/>
  <c r="R200" i="182"/>
  <c r="O200" i="182"/>
  <c r="L200" i="182"/>
  <c r="I200" i="182"/>
  <c r="F200" i="182"/>
  <c r="U191" i="182"/>
  <c r="R191" i="182"/>
  <c r="O191" i="182"/>
  <c r="L191" i="182"/>
  <c r="I191" i="182"/>
  <c r="F191" i="182"/>
  <c r="U187" i="182"/>
  <c r="R187" i="182"/>
  <c r="O187" i="182"/>
  <c r="L187" i="182"/>
  <c r="I187" i="182"/>
  <c r="F187" i="182"/>
  <c r="U183" i="182"/>
  <c r="R183" i="182"/>
  <c r="O183" i="182"/>
  <c r="L183" i="182"/>
  <c r="I183" i="182"/>
  <c r="F183" i="182"/>
  <c r="U179" i="182"/>
  <c r="R179" i="182"/>
  <c r="O179" i="182"/>
  <c r="L179" i="182"/>
  <c r="I179" i="182"/>
  <c r="F179" i="182"/>
  <c r="U175" i="182"/>
  <c r="R175" i="182"/>
  <c r="O175" i="182"/>
  <c r="L175" i="182"/>
  <c r="I175" i="182"/>
  <c r="F175" i="182"/>
  <c r="U171" i="182"/>
  <c r="R171" i="182"/>
  <c r="O171" i="182"/>
  <c r="L171" i="182"/>
  <c r="I171" i="182"/>
  <c r="F171" i="182"/>
  <c r="U167" i="182"/>
  <c r="R167" i="182"/>
  <c r="O167" i="182"/>
  <c r="L167" i="182"/>
  <c r="I167" i="182"/>
  <c r="F167" i="182"/>
  <c r="U162" i="182"/>
  <c r="R162" i="182"/>
  <c r="O162" i="182"/>
  <c r="L162" i="182"/>
  <c r="I162" i="182"/>
  <c r="F162" i="182"/>
  <c r="U157" i="182"/>
  <c r="R157" i="182"/>
  <c r="O157" i="182"/>
  <c r="L157" i="182"/>
  <c r="I157" i="182"/>
  <c r="F157" i="182"/>
  <c r="U153" i="182"/>
  <c r="R153" i="182"/>
  <c r="O153" i="182"/>
  <c r="L153" i="182"/>
  <c r="I153" i="182"/>
  <c r="F153" i="182"/>
  <c r="U148" i="182"/>
  <c r="R148" i="182"/>
  <c r="L148" i="182"/>
  <c r="I148" i="182"/>
  <c r="F148" i="182"/>
  <c r="U143" i="182"/>
  <c r="R143" i="182"/>
  <c r="O143" i="182"/>
  <c r="L143" i="182"/>
  <c r="I143" i="182"/>
  <c r="F143" i="182"/>
  <c r="U137" i="182"/>
  <c r="R137" i="182"/>
  <c r="O137" i="182"/>
  <c r="L137" i="182"/>
  <c r="I137" i="182"/>
  <c r="F137" i="182"/>
  <c r="U133" i="182"/>
  <c r="R133" i="182"/>
  <c r="O133" i="182"/>
  <c r="L133" i="182"/>
  <c r="I133" i="182"/>
  <c r="F133" i="182"/>
  <c r="U128" i="182"/>
  <c r="R128" i="182"/>
  <c r="O128" i="182"/>
  <c r="L128" i="182"/>
  <c r="I128" i="182"/>
  <c r="F128" i="182"/>
  <c r="U123" i="182"/>
  <c r="R123" i="182"/>
  <c r="O123" i="182"/>
  <c r="L123" i="182"/>
  <c r="I123" i="182"/>
  <c r="F123" i="182"/>
  <c r="U117" i="182"/>
  <c r="R117" i="182"/>
  <c r="O117" i="182"/>
  <c r="L117" i="182"/>
  <c r="I117" i="182"/>
  <c r="F117" i="182"/>
  <c r="U112" i="182"/>
  <c r="R112" i="182"/>
  <c r="O112" i="182"/>
  <c r="L112" i="182"/>
  <c r="I112" i="182"/>
  <c r="F112" i="182"/>
  <c r="U107" i="182"/>
  <c r="R107" i="182"/>
  <c r="O107" i="182"/>
  <c r="L107" i="182"/>
  <c r="I107" i="182"/>
  <c r="F107" i="182"/>
  <c r="U102" i="182"/>
  <c r="R102" i="182"/>
  <c r="O102" i="182"/>
  <c r="L102" i="182"/>
  <c r="I102" i="182"/>
  <c r="F102" i="182"/>
  <c r="O97" i="182"/>
  <c r="L97" i="182"/>
  <c r="I97" i="182"/>
  <c r="F97" i="182"/>
  <c r="U93" i="182"/>
  <c r="R93" i="182"/>
  <c r="O93" i="182"/>
  <c r="L93" i="182"/>
  <c r="I93" i="182"/>
  <c r="F93" i="182"/>
  <c r="U88" i="182"/>
  <c r="R88" i="182"/>
  <c r="O88" i="182"/>
  <c r="L88" i="182"/>
  <c r="I88" i="182"/>
  <c r="F88" i="182"/>
  <c r="U83" i="182"/>
  <c r="R83" i="182"/>
  <c r="O83" i="182"/>
  <c r="L83" i="182"/>
  <c r="I83" i="182"/>
  <c r="F83" i="182"/>
  <c r="U77" i="182"/>
  <c r="R77" i="182"/>
  <c r="O77" i="182"/>
  <c r="L77" i="182"/>
  <c r="I77" i="182"/>
  <c r="F77" i="182"/>
  <c r="U72" i="182"/>
  <c r="R72" i="182"/>
  <c r="O72" i="182"/>
  <c r="L72" i="182"/>
  <c r="I72" i="182"/>
  <c r="F72" i="182"/>
  <c r="U64" i="182"/>
  <c r="R64" i="182"/>
  <c r="O64" i="182"/>
  <c r="L64" i="182"/>
  <c r="I64" i="182"/>
  <c r="F64" i="182"/>
  <c r="U60" i="182"/>
  <c r="R60" i="182"/>
  <c r="O60" i="182"/>
  <c r="L60" i="182"/>
  <c r="I60" i="182"/>
  <c r="F60" i="182"/>
  <c r="U55" i="182"/>
  <c r="R55" i="182"/>
  <c r="O55" i="182"/>
  <c r="L55" i="182"/>
  <c r="I55" i="182"/>
  <c r="F55" i="182"/>
  <c r="U50" i="182"/>
  <c r="R50" i="182"/>
  <c r="O50" i="182"/>
  <c r="L50" i="182"/>
  <c r="I50" i="182"/>
  <c r="F50" i="182"/>
  <c r="U45" i="182"/>
  <c r="R45" i="182"/>
  <c r="O45" i="182"/>
  <c r="L45" i="182"/>
  <c r="I45" i="182"/>
  <c r="F45" i="182"/>
  <c r="U35" i="182"/>
  <c r="R35" i="182"/>
  <c r="O35" i="182"/>
  <c r="L35" i="182"/>
  <c r="I35" i="182"/>
  <c r="F35" i="182"/>
  <c r="U40" i="182"/>
  <c r="R40" i="182"/>
  <c r="O40" i="182"/>
  <c r="L40" i="182"/>
  <c r="I40" i="182"/>
  <c r="F40" i="182"/>
  <c r="U30" i="182"/>
  <c r="R30" i="182"/>
  <c r="O30" i="182"/>
  <c r="L30" i="182"/>
  <c r="I30" i="182"/>
  <c r="F30" i="182"/>
  <c r="U25" i="182"/>
  <c r="R25" i="182"/>
  <c r="O25" i="182"/>
  <c r="L25" i="182"/>
  <c r="I25" i="182"/>
  <c r="F25" i="182"/>
  <c r="U20" i="182"/>
  <c r="R20" i="182"/>
  <c r="O20" i="182"/>
  <c r="L20" i="182"/>
  <c r="I20" i="182"/>
  <c r="F20" i="182"/>
  <c r="U16" i="182"/>
  <c r="R16" i="182"/>
  <c r="O16" i="182"/>
  <c r="L16" i="182"/>
  <c r="I16" i="182"/>
  <c r="F16" i="182"/>
  <c r="U12" i="182"/>
  <c r="R12" i="182"/>
  <c r="O12" i="182"/>
  <c r="L12" i="182"/>
  <c r="I12" i="182"/>
  <c r="F12" i="182"/>
  <c r="U7" i="182"/>
  <c r="R7" i="182"/>
  <c r="O7" i="182"/>
  <c r="L7" i="182"/>
  <c r="I7" i="182"/>
  <c r="F7" i="182"/>
  <c r="N238" i="182" l="1"/>
  <c r="K239" i="182"/>
  <c r="N239" i="182"/>
  <c r="AH238" i="182"/>
  <c r="Q238" i="182"/>
  <c r="W239" i="182"/>
  <c r="Z239" i="182"/>
  <c r="V238" i="182"/>
  <c r="AC238" i="182"/>
  <c r="AD238" i="182" s="1"/>
  <c r="AF238" i="182"/>
  <c r="AL238" i="182"/>
  <c r="AF239" i="182"/>
  <c r="AB239" i="182"/>
  <c r="AH239" i="182"/>
  <c r="E239" i="182"/>
  <c r="R282" i="182"/>
  <c r="R288" i="182" s="1"/>
  <c r="AQ68" i="182"/>
  <c r="AT67" i="182"/>
  <c r="AV67" i="182" s="1"/>
  <c r="AS67" i="182"/>
  <c r="R265" i="182"/>
  <c r="R269" i="182" s="1"/>
  <c r="U248" i="182"/>
  <c r="U265" i="182"/>
  <c r="U268" i="182" s="1"/>
  <c r="U282" i="182"/>
  <c r="U287" i="182" s="1"/>
  <c r="R248" i="182"/>
  <c r="R251" i="182" s="1"/>
  <c r="O248" i="182"/>
  <c r="O282" i="182"/>
  <c r="O288" i="182" s="1"/>
  <c r="O265" i="182"/>
  <c r="O271" i="182" s="1"/>
  <c r="L248" i="182"/>
  <c r="L251" i="182" s="1"/>
  <c r="L265" i="182"/>
  <c r="L269" i="182" s="1"/>
  <c r="L282" i="182"/>
  <c r="L287" i="182" s="1"/>
  <c r="I248" i="182"/>
  <c r="I253" i="182" s="1"/>
  <c r="I265" i="182"/>
  <c r="I270" i="182" s="1"/>
  <c r="I282" i="182"/>
  <c r="I287" i="182" s="1"/>
  <c r="F248" i="182"/>
  <c r="F251" i="182" s="1"/>
  <c r="F265" i="182"/>
  <c r="F268" i="182" s="1"/>
  <c r="F282" i="182"/>
  <c r="F288" i="182" s="1"/>
  <c r="W67" i="182"/>
  <c r="O232" i="182"/>
  <c r="AN67" i="182"/>
  <c r="U232" i="182"/>
  <c r="I232" i="182"/>
  <c r="E67" i="182"/>
  <c r="I193" i="182"/>
  <c r="L193" i="182"/>
  <c r="U193" i="182"/>
  <c r="O193" i="182"/>
  <c r="O234" i="182" s="1"/>
  <c r="L232" i="182"/>
  <c r="AL67" i="182"/>
  <c r="R193" i="182"/>
  <c r="Z68" i="182"/>
  <c r="K67" i="182"/>
  <c r="Z67" i="182"/>
  <c r="N68" i="182"/>
  <c r="AB67" i="182"/>
  <c r="F232" i="182"/>
  <c r="AD67" i="182"/>
  <c r="T67" i="182"/>
  <c r="R232" i="182"/>
  <c r="F193" i="182"/>
  <c r="Q68" i="182"/>
  <c r="K68" i="182"/>
  <c r="AF67" i="182"/>
  <c r="AR67" i="182"/>
  <c r="N67" i="182"/>
  <c r="S68" i="182"/>
  <c r="T68" i="182" s="1"/>
  <c r="AA68" i="182"/>
  <c r="AB68" i="182" s="1"/>
  <c r="AK68" i="182"/>
  <c r="AL68" i="182" s="1"/>
  <c r="AH67" i="182"/>
  <c r="D68" i="182"/>
  <c r="E68" i="182" s="1"/>
  <c r="Q67" i="182"/>
  <c r="AC68" i="182"/>
  <c r="AD68" i="182" s="1"/>
  <c r="AM68" i="182"/>
  <c r="AN68" i="182" s="1"/>
  <c r="H67" i="182"/>
  <c r="Q58" i="26"/>
  <c r="Q52" i="26"/>
  <c r="R8" i="26"/>
  <c r="C39" i="183"/>
  <c r="C27" i="183"/>
  <c r="C14" i="183"/>
  <c r="G28" i="2"/>
  <c r="E28" i="2"/>
  <c r="T10" i="26"/>
  <c r="T11" i="26"/>
  <c r="P29" i="66"/>
  <c r="P28" i="66"/>
  <c r="P26" i="66"/>
  <c r="P25" i="66"/>
  <c r="P20" i="66"/>
  <c r="P19" i="66"/>
  <c r="P17" i="66"/>
  <c r="P11" i="66"/>
  <c r="P9" i="66"/>
  <c r="N29" i="66"/>
  <c r="N28" i="66"/>
  <c r="N26" i="66"/>
  <c r="N25" i="66"/>
  <c r="N20" i="66"/>
  <c r="N19" i="66"/>
  <c r="N17" i="66"/>
  <c r="N11" i="66"/>
  <c r="N9" i="66"/>
  <c r="K26" i="66"/>
  <c r="K25" i="66"/>
  <c r="K20" i="66"/>
  <c r="K19" i="66"/>
  <c r="K17" i="66"/>
  <c r="K15" i="66"/>
  <c r="K11" i="66"/>
  <c r="K9" i="66"/>
  <c r="K42" i="26"/>
  <c r="Q27" i="26"/>
  <c r="Q28" i="26" s="1"/>
  <c r="Q31" i="26" s="1"/>
  <c r="O27" i="26"/>
  <c r="O28" i="26" s="1"/>
  <c r="O31" i="26" s="1"/>
  <c r="P7" i="66" s="1"/>
  <c r="M27" i="26"/>
  <c r="M28" i="26" s="1"/>
  <c r="M31" i="26" s="1"/>
  <c r="N7" i="66" s="1"/>
  <c r="J105" i="26"/>
  <c r="J78" i="26"/>
  <c r="O83" i="26"/>
  <c r="M83" i="26"/>
  <c r="J83" i="26"/>
  <c r="O78" i="26"/>
  <c r="M78" i="26"/>
  <c r="O52" i="26"/>
  <c r="O58" i="26" s="1"/>
  <c r="P8" i="66" s="1"/>
  <c r="M52" i="26"/>
  <c r="M58" i="26" s="1"/>
  <c r="N8" i="66" s="1"/>
  <c r="J52" i="26"/>
  <c r="J58" i="26" s="1"/>
  <c r="K8" i="66" s="1"/>
  <c r="J27" i="26"/>
  <c r="J28" i="26" s="1"/>
  <c r="J31" i="26" s="1"/>
  <c r="K7" i="66" s="1"/>
  <c r="Z238" i="182" l="1"/>
  <c r="W238" i="182"/>
  <c r="L288" i="182"/>
  <c r="F254" i="182"/>
  <c r="R286" i="182"/>
  <c r="R285" i="182"/>
  <c r="R289" i="182"/>
  <c r="R287" i="182"/>
  <c r="L252" i="182"/>
  <c r="I255" i="182"/>
  <c r="R270" i="182"/>
  <c r="I251" i="182"/>
  <c r="AW67" i="182"/>
  <c r="AV68" i="182"/>
  <c r="F272" i="182"/>
  <c r="R272" i="182"/>
  <c r="R268" i="182"/>
  <c r="L255" i="182"/>
  <c r="I271" i="182"/>
  <c r="R271" i="182"/>
  <c r="R252" i="182"/>
  <c r="L272" i="182"/>
  <c r="L268" i="182"/>
  <c r="L289" i="182"/>
  <c r="L285" i="182"/>
  <c r="AT68" i="182"/>
  <c r="AS68" i="182"/>
  <c r="U253" i="182"/>
  <c r="U254" i="182"/>
  <c r="U255" i="182"/>
  <c r="U285" i="182"/>
  <c r="U251" i="182"/>
  <c r="U288" i="182"/>
  <c r="U286" i="182"/>
  <c r="U272" i="182"/>
  <c r="U252" i="182"/>
  <c r="U270" i="182"/>
  <c r="U271" i="182"/>
  <c r="U289" i="182"/>
  <c r="U269" i="182"/>
  <c r="R254" i="182"/>
  <c r="R253" i="182"/>
  <c r="R255" i="182"/>
  <c r="O287" i="182"/>
  <c r="O286" i="182"/>
  <c r="O268" i="182"/>
  <c r="O252" i="182"/>
  <c r="O253" i="182"/>
  <c r="O255" i="182"/>
  <c r="O289" i="182"/>
  <c r="O254" i="182"/>
  <c r="O285" i="182"/>
  <c r="O272" i="182"/>
  <c r="O251" i="182"/>
  <c r="O270" i="182"/>
  <c r="O269" i="182"/>
  <c r="L270" i="182"/>
  <c r="L271" i="182"/>
  <c r="L286" i="182"/>
  <c r="L253" i="182"/>
  <c r="L254" i="182"/>
  <c r="I288" i="182"/>
  <c r="I289" i="182"/>
  <c r="I268" i="182"/>
  <c r="I285" i="182"/>
  <c r="I252" i="182"/>
  <c r="I272" i="182"/>
  <c r="I269" i="182"/>
  <c r="I286" i="182"/>
  <c r="I254" i="182"/>
  <c r="F287" i="182"/>
  <c r="F286" i="182"/>
  <c r="F289" i="182"/>
  <c r="F269" i="182"/>
  <c r="F270" i="182"/>
  <c r="F285" i="182"/>
  <c r="F252" i="182"/>
  <c r="F253" i="182"/>
  <c r="F271" i="182"/>
  <c r="F255" i="182"/>
  <c r="F234" i="182"/>
  <c r="U234" i="182"/>
  <c r="R234" i="182"/>
  <c r="L234" i="182"/>
  <c r="I234" i="182"/>
  <c r="AR68" i="182"/>
  <c r="H68" i="182"/>
  <c r="AF68" i="182"/>
  <c r="AH68" i="182"/>
  <c r="W68" i="182"/>
  <c r="J106" i="26"/>
  <c r="J108" i="26"/>
  <c r="AR111" i="182"/>
  <c r="AL111" i="182"/>
  <c r="AN111" i="182"/>
  <c r="AH111" i="182"/>
  <c r="AF111" i="182"/>
  <c r="AD111" i="182"/>
  <c r="AB111" i="182"/>
  <c r="Z111" i="182"/>
  <c r="W111" i="182"/>
  <c r="T111" i="182"/>
  <c r="Q111" i="182"/>
  <c r="N111" i="182"/>
  <c r="K111" i="182"/>
  <c r="H111" i="182"/>
  <c r="E111" i="182"/>
  <c r="E48" i="182"/>
  <c r="AQ221" i="182"/>
  <c r="AQ219" i="182"/>
  <c r="AQ215" i="182"/>
  <c r="AQ203" i="182"/>
  <c r="AQ174" i="182"/>
  <c r="AQ170" i="182"/>
  <c r="AQ166" i="182"/>
  <c r="AV166" i="182" s="1"/>
  <c r="AW166" i="182" s="1"/>
  <c r="AX166" i="182" s="1"/>
  <c r="AY166" i="182" s="1"/>
  <c r="AZ166" i="182" s="1"/>
  <c r="AQ151" i="182"/>
  <c r="AV151" i="182" s="1"/>
  <c r="AW151" i="182" s="1"/>
  <c r="AX151" i="182" s="1"/>
  <c r="AY151" i="182" s="1"/>
  <c r="AZ151" i="182" s="1"/>
  <c r="AQ126" i="182"/>
  <c r="AQ116" i="182"/>
  <c r="AV116" i="182" s="1"/>
  <c r="AW116" i="182" s="1"/>
  <c r="AX116" i="182" s="1"/>
  <c r="AY116" i="182" s="1"/>
  <c r="AZ116" i="182" s="1"/>
  <c r="AQ115" i="182"/>
  <c r="AQ110" i="182"/>
  <c r="AQ101" i="182"/>
  <c r="AQ100" i="182"/>
  <c r="AQ96" i="182"/>
  <c r="AQ92" i="182"/>
  <c r="AV92" i="182" s="1"/>
  <c r="AW92" i="182" s="1"/>
  <c r="AX92" i="182" s="1"/>
  <c r="AY92" i="182" s="1"/>
  <c r="AZ92" i="182" s="1"/>
  <c r="AQ91" i="182"/>
  <c r="AQ75" i="182"/>
  <c r="AQ63" i="182"/>
  <c r="AV63" i="182" s="1"/>
  <c r="AW63" i="182" s="1"/>
  <c r="AX63" i="182" s="1"/>
  <c r="AY63" i="182" s="1"/>
  <c r="AZ63" i="182" s="1"/>
  <c r="AQ58" i="182"/>
  <c r="AV58" i="182" s="1"/>
  <c r="AW58" i="182" s="1"/>
  <c r="AX58" i="182" s="1"/>
  <c r="AY58" i="182" s="1"/>
  <c r="AZ58" i="182" s="1"/>
  <c r="AQ28" i="182"/>
  <c r="AV28" i="182" s="1"/>
  <c r="AW28" i="182" s="1"/>
  <c r="AX28" i="182" s="1"/>
  <c r="AY28" i="182" s="1"/>
  <c r="AZ28" i="182" s="1"/>
  <c r="AQ23" i="182"/>
  <c r="AQ19" i="182"/>
  <c r="AV19" i="182" s="1"/>
  <c r="AQ5" i="182"/>
  <c r="AG229" i="182"/>
  <c r="AG281" i="182" s="1"/>
  <c r="AE229" i="182"/>
  <c r="AE281" i="182" s="1"/>
  <c r="AC229" i="182"/>
  <c r="AA229" i="182"/>
  <c r="Y229" i="182"/>
  <c r="X229" i="182"/>
  <c r="V229" i="182"/>
  <c r="V281" i="182" s="1"/>
  <c r="S229" i="182"/>
  <c r="S281" i="182" s="1"/>
  <c r="P229" i="182"/>
  <c r="P281" i="182" s="1"/>
  <c r="M229" i="182"/>
  <c r="J229" i="182"/>
  <c r="G229" i="182"/>
  <c r="D229" i="182"/>
  <c r="AK225" i="182"/>
  <c r="AK280" i="182" s="1"/>
  <c r="AG225" i="182"/>
  <c r="AG280" i="182" s="1"/>
  <c r="AE225" i="182"/>
  <c r="AE280" i="182" s="1"/>
  <c r="AC225" i="182"/>
  <c r="AA225" i="182"/>
  <c r="Y225" i="182"/>
  <c r="X225" i="182"/>
  <c r="V225" i="182"/>
  <c r="V280" i="182" s="1"/>
  <c r="S225" i="182"/>
  <c r="P225" i="182"/>
  <c r="M225" i="182"/>
  <c r="M280" i="182" s="1"/>
  <c r="J225" i="182"/>
  <c r="J280" i="182" s="1"/>
  <c r="G225" i="182"/>
  <c r="D225" i="182"/>
  <c r="AM221" i="182"/>
  <c r="AK221" i="182"/>
  <c r="AG221" i="182"/>
  <c r="AE221" i="182"/>
  <c r="AC221" i="182"/>
  <c r="AA221" i="182"/>
  <c r="Y221" i="182"/>
  <c r="X221" i="182"/>
  <c r="V221" i="182"/>
  <c r="S221" i="182"/>
  <c r="P221" i="182"/>
  <c r="M221" i="182"/>
  <c r="J221" i="182"/>
  <c r="G221" i="182"/>
  <c r="D221" i="182"/>
  <c r="AK220" i="182"/>
  <c r="AG220" i="182"/>
  <c r="AE220" i="182"/>
  <c r="AC220" i="182"/>
  <c r="AA220" i="182"/>
  <c r="Y220" i="182"/>
  <c r="X220" i="182"/>
  <c r="V220" i="182"/>
  <c r="S220" i="182"/>
  <c r="P220" i="182"/>
  <c r="M220" i="182"/>
  <c r="J220" i="182"/>
  <c r="G220" i="182"/>
  <c r="D220" i="182"/>
  <c r="AK219" i="182"/>
  <c r="AG219" i="182"/>
  <c r="AE219" i="182"/>
  <c r="AC219" i="182"/>
  <c r="AA219" i="182"/>
  <c r="Y219" i="182"/>
  <c r="X219" i="182"/>
  <c r="V219" i="182"/>
  <c r="S219" i="182"/>
  <c r="P219" i="182"/>
  <c r="M219" i="182"/>
  <c r="J219" i="182"/>
  <c r="G219" i="182"/>
  <c r="D219" i="182"/>
  <c r="AM215" i="182"/>
  <c r="AK215" i="182"/>
  <c r="AG215" i="182"/>
  <c r="AE215" i="182"/>
  <c r="AC215" i="182"/>
  <c r="AA215" i="182"/>
  <c r="Y215" i="182"/>
  <c r="X215" i="182"/>
  <c r="V215" i="182"/>
  <c r="S215" i="182"/>
  <c r="P215" i="182"/>
  <c r="M215" i="182"/>
  <c r="J215" i="182"/>
  <c r="G215" i="182"/>
  <c r="D215" i="182"/>
  <c r="AC207" i="182"/>
  <c r="AC264" i="182" s="1"/>
  <c r="AK203" i="182"/>
  <c r="AK263" i="182" s="1"/>
  <c r="AG203" i="182"/>
  <c r="AG263" i="182" s="1"/>
  <c r="AE203" i="182"/>
  <c r="AE263" i="182" s="1"/>
  <c r="AC203" i="182"/>
  <c r="AA203" i="182"/>
  <c r="AA263" i="182" s="1"/>
  <c r="Y203" i="182"/>
  <c r="X203" i="182"/>
  <c r="V203" i="182"/>
  <c r="V263" i="182" s="1"/>
  <c r="S203" i="182"/>
  <c r="S263" i="182" s="1"/>
  <c r="P203" i="182"/>
  <c r="P263" i="182" s="1"/>
  <c r="M203" i="182"/>
  <c r="M263" i="182" s="1"/>
  <c r="J203" i="182"/>
  <c r="G203" i="182"/>
  <c r="D203" i="182"/>
  <c r="AM199" i="182"/>
  <c r="AM262" i="182" s="1"/>
  <c r="AG199" i="182"/>
  <c r="AG262" i="182" s="1"/>
  <c r="AE199" i="182"/>
  <c r="AE262" i="182" s="1"/>
  <c r="AC199" i="182"/>
  <c r="AC262" i="182" s="1"/>
  <c r="AA199" i="182"/>
  <c r="AA262" i="182" s="1"/>
  <c r="Y199" i="182"/>
  <c r="Y262" i="182" s="1"/>
  <c r="X199" i="182"/>
  <c r="X262" i="182" s="1"/>
  <c r="V199" i="182"/>
  <c r="V262" i="182" s="1"/>
  <c r="S199" i="182"/>
  <c r="S262" i="182" s="1"/>
  <c r="P199" i="182"/>
  <c r="P262" i="182" s="1"/>
  <c r="M199" i="182"/>
  <c r="M262" i="182" s="1"/>
  <c r="J199" i="182"/>
  <c r="J262" i="182" s="1"/>
  <c r="G199" i="182"/>
  <c r="G262" i="182" s="1"/>
  <c r="D199" i="182"/>
  <c r="D262" i="182" s="1"/>
  <c r="AK190" i="182"/>
  <c r="AG190" i="182"/>
  <c r="AG191" i="182" s="1"/>
  <c r="AE190" i="182"/>
  <c r="AC190" i="182"/>
  <c r="AA190" i="182"/>
  <c r="Y190" i="182"/>
  <c r="X190" i="182"/>
  <c r="X191" i="182" s="1"/>
  <c r="V190" i="182"/>
  <c r="S190" i="182"/>
  <c r="P190" i="182"/>
  <c r="M190" i="182"/>
  <c r="J190" i="182"/>
  <c r="G190" i="182"/>
  <c r="G191" i="182" s="1"/>
  <c r="D190" i="182"/>
  <c r="D191" i="182" s="1"/>
  <c r="AK182" i="182"/>
  <c r="AG182" i="182"/>
  <c r="AE182" i="182"/>
  <c r="AC182" i="182"/>
  <c r="AC183" i="182" s="1"/>
  <c r="AA182" i="182"/>
  <c r="AA183" i="182" s="1"/>
  <c r="Y182" i="182"/>
  <c r="Y183" i="182" s="1"/>
  <c r="X182" i="182"/>
  <c r="X183" i="182" s="1"/>
  <c r="V182" i="182"/>
  <c r="S182" i="182"/>
  <c r="S183" i="182" s="1"/>
  <c r="P182" i="182"/>
  <c r="P183" i="182" s="1"/>
  <c r="M182" i="182"/>
  <c r="J182" i="182"/>
  <c r="G182" i="182"/>
  <c r="G183" i="182" s="1"/>
  <c r="D182" i="182"/>
  <c r="D183" i="182" s="1"/>
  <c r="AK178" i="182"/>
  <c r="AG178" i="182"/>
  <c r="AG246" i="182" s="1"/>
  <c r="AE178" i="182"/>
  <c r="AE246" i="182" s="1"/>
  <c r="AC178" i="182"/>
  <c r="AC246" i="182" s="1"/>
  <c r="AA178" i="182"/>
  <c r="Y178" i="182"/>
  <c r="X178" i="182"/>
  <c r="V178" i="182"/>
  <c r="S178" i="182"/>
  <c r="S246" i="182" s="1"/>
  <c r="P178" i="182"/>
  <c r="P246" i="182" s="1"/>
  <c r="M178" i="182"/>
  <c r="M246" i="182" s="1"/>
  <c r="J178" i="182"/>
  <c r="J246" i="182" s="1"/>
  <c r="G178" i="182"/>
  <c r="G246" i="182" s="1"/>
  <c r="D178" i="182"/>
  <c r="AK174" i="182"/>
  <c r="AG174" i="182"/>
  <c r="AE174" i="182"/>
  <c r="AC174" i="182"/>
  <c r="AA174" i="182"/>
  <c r="Y174" i="182"/>
  <c r="X174" i="182"/>
  <c r="X175" i="182" s="1"/>
  <c r="V174" i="182"/>
  <c r="S174" i="182"/>
  <c r="P174" i="182"/>
  <c r="M174" i="182"/>
  <c r="J174" i="182"/>
  <c r="G174" i="182"/>
  <c r="D174" i="182"/>
  <c r="D175" i="182" s="1"/>
  <c r="AM170" i="182"/>
  <c r="AK170" i="182"/>
  <c r="AG170" i="182"/>
  <c r="AE170" i="182"/>
  <c r="AC170" i="182"/>
  <c r="AA170" i="182"/>
  <c r="Y170" i="182"/>
  <c r="X170" i="182"/>
  <c r="X171" i="182" s="1"/>
  <c r="V170" i="182"/>
  <c r="S170" i="182"/>
  <c r="P170" i="182"/>
  <c r="M170" i="182"/>
  <c r="M171" i="182" s="1"/>
  <c r="J170" i="182"/>
  <c r="J171" i="182" s="1"/>
  <c r="G170" i="182"/>
  <c r="G171" i="182" s="1"/>
  <c r="D170" i="182"/>
  <c r="D171" i="182" s="1"/>
  <c r="AK166" i="182"/>
  <c r="AG166" i="182"/>
  <c r="AE166" i="182"/>
  <c r="AC166" i="182"/>
  <c r="AA166" i="182"/>
  <c r="Y166" i="182"/>
  <c r="X166" i="182"/>
  <c r="V166" i="182"/>
  <c r="S166" i="182"/>
  <c r="P166" i="182"/>
  <c r="M166" i="182"/>
  <c r="J166" i="182"/>
  <c r="G166" i="182"/>
  <c r="D166" i="182"/>
  <c r="AK165" i="182"/>
  <c r="AG165" i="182"/>
  <c r="AE165" i="182"/>
  <c r="AC165" i="182"/>
  <c r="AA165" i="182"/>
  <c r="Y165" i="182"/>
  <c r="X165" i="182"/>
  <c r="V165" i="182"/>
  <c r="S165" i="182"/>
  <c r="P165" i="182"/>
  <c r="M165" i="182"/>
  <c r="J165" i="182"/>
  <c r="G165" i="182"/>
  <c r="D165" i="182"/>
  <c r="AK156" i="182"/>
  <c r="AG156" i="182"/>
  <c r="AE156" i="182"/>
  <c r="AC156" i="182"/>
  <c r="AA156" i="182"/>
  <c r="Y156" i="182"/>
  <c r="X156" i="182"/>
  <c r="X157" i="182" s="1"/>
  <c r="V156" i="182"/>
  <c r="S156" i="182"/>
  <c r="P156" i="182"/>
  <c r="M156" i="182"/>
  <c r="M157" i="182" s="1"/>
  <c r="J156" i="182"/>
  <c r="J157" i="182" s="1"/>
  <c r="G156" i="182"/>
  <c r="G157" i="182" s="1"/>
  <c r="D156" i="182"/>
  <c r="D157" i="182" s="1"/>
  <c r="AK151" i="182"/>
  <c r="AG151" i="182"/>
  <c r="AE151" i="182"/>
  <c r="AC151" i="182"/>
  <c r="AA151" i="182"/>
  <c r="Y151" i="182"/>
  <c r="X151" i="182"/>
  <c r="V151" i="182"/>
  <c r="S151" i="182"/>
  <c r="P151" i="182"/>
  <c r="M151" i="182"/>
  <c r="J151" i="182"/>
  <c r="G151" i="182"/>
  <c r="D151" i="182"/>
  <c r="P142" i="182"/>
  <c r="M142" i="182"/>
  <c r="J142" i="182"/>
  <c r="AK132" i="182"/>
  <c r="AG132" i="182"/>
  <c r="AE132" i="182"/>
  <c r="AC132" i="182"/>
  <c r="AA132" i="182"/>
  <c r="Y132" i="182"/>
  <c r="X132" i="182"/>
  <c r="V132" i="182"/>
  <c r="S132" i="182"/>
  <c r="P132" i="182"/>
  <c r="M132" i="182"/>
  <c r="J132" i="182"/>
  <c r="G132" i="182"/>
  <c r="D132" i="182"/>
  <c r="AK131" i="182"/>
  <c r="AG131" i="182"/>
  <c r="AE131" i="182"/>
  <c r="AC131" i="182"/>
  <c r="AA131" i="182"/>
  <c r="Y131" i="182"/>
  <c r="X131" i="182"/>
  <c r="V131" i="182"/>
  <c r="S131" i="182"/>
  <c r="P131" i="182"/>
  <c r="M131" i="182"/>
  <c r="J131" i="182"/>
  <c r="G131" i="182"/>
  <c r="D131" i="182"/>
  <c r="AK127" i="182"/>
  <c r="AG127" i="182"/>
  <c r="AE127" i="182"/>
  <c r="AC127" i="182"/>
  <c r="AA127" i="182"/>
  <c r="Y127" i="182"/>
  <c r="X127" i="182"/>
  <c r="V127" i="182"/>
  <c r="S127" i="182"/>
  <c r="P127" i="182"/>
  <c r="M127" i="182"/>
  <c r="J127" i="182"/>
  <c r="G127" i="182"/>
  <c r="D127" i="182"/>
  <c r="AK126" i="182"/>
  <c r="AG126" i="182"/>
  <c r="AE126" i="182"/>
  <c r="AC126" i="182"/>
  <c r="AA126" i="182"/>
  <c r="Y126" i="182"/>
  <c r="X126" i="182"/>
  <c r="V126" i="182"/>
  <c r="S126" i="182"/>
  <c r="P126" i="182"/>
  <c r="M126" i="182"/>
  <c r="J126" i="182"/>
  <c r="G126" i="182"/>
  <c r="D126" i="182"/>
  <c r="P122" i="182"/>
  <c r="M122" i="182"/>
  <c r="J122" i="182"/>
  <c r="G122" i="182"/>
  <c r="D122" i="182"/>
  <c r="AK116" i="182"/>
  <c r="AG116" i="182"/>
  <c r="AE116" i="182"/>
  <c r="AC116" i="182"/>
  <c r="AA116" i="182"/>
  <c r="Y116" i="182"/>
  <c r="X116" i="182"/>
  <c r="V116" i="182"/>
  <c r="S116" i="182"/>
  <c r="P116" i="182"/>
  <c r="M116" i="182"/>
  <c r="J116" i="182"/>
  <c r="G116" i="182"/>
  <c r="D116" i="182"/>
  <c r="AK115" i="182"/>
  <c r="AG115" i="182"/>
  <c r="AE115" i="182"/>
  <c r="AC115" i="182"/>
  <c r="AA115" i="182"/>
  <c r="Y115" i="182"/>
  <c r="X115" i="182"/>
  <c r="V115" i="182"/>
  <c r="S115" i="182"/>
  <c r="P115" i="182"/>
  <c r="M115" i="182"/>
  <c r="J115" i="182"/>
  <c r="G115" i="182"/>
  <c r="D115" i="182"/>
  <c r="AM110" i="182"/>
  <c r="AK110" i="182"/>
  <c r="AK112" i="182" s="1"/>
  <c r="AG110" i="182"/>
  <c r="AE110" i="182"/>
  <c r="AC110" i="182"/>
  <c r="AA110" i="182"/>
  <c r="Y110" i="182"/>
  <c r="X110" i="182"/>
  <c r="X112" i="182" s="1"/>
  <c r="V110" i="182"/>
  <c r="S110" i="182"/>
  <c r="P110" i="182"/>
  <c r="M110" i="182"/>
  <c r="J110" i="182"/>
  <c r="G110" i="182"/>
  <c r="G112" i="182" s="1"/>
  <c r="D110" i="182"/>
  <c r="D112" i="182" s="1"/>
  <c r="AK106" i="182"/>
  <c r="AG106" i="182"/>
  <c r="AE106" i="182"/>
  <c r="AC106" i="182"/>
  <c r="AA106" i="182"/>
  <c r="Y106" i="182"/>
  <c r="X106" i="182"/>
  <c r="X107" i="182" s="1"/>
  <c r="V106" i="182"/>
  <c r="S106" i="182"/>
  <c r="P106" i="182"/>
  <c r="M106" i="182"/>
  <c r="J106" i="182"/>
  <c r="J107" i="182" s="1"/>
  <c r="G106" i="182"/>
  <c r="G107" i="182" s="1"/>
  <c r="D106" i="182"/>
  <c r="D107" i="182" s="1"/>
  <c r="AM101" i="182"/>
  <c r="AK101" i="182"/>
  <c r="AG101" i="182"/>
  <c r="AE101" i="182"/>
  <c r="AC101" i="182"/>
  <c r="AA101" i="182"/>
  <c r="Y101" i="182"/>
  <c r="X101" i="182"/>
  <c r="V101" i="182"/>
  <c r="S101" i="182"/>
  <c r="P101" i="182"/>
  <c r="M101" i="182"/>
  <c r="J101" i="182"/>
  <c r="G101" i="182"/>
  <c r="D101" i="182"/>
  <c r="AK100" i="182"/>
  <c r="AG100" i="182"/>
  <c r="AE100" i="182"/>
  <c r="AC100" i="182"/>
  <c r="AA100" i="182"/>
  <c r="Y100" i="182"/>
  <c r="X100" i="182"/>
  <c r="V100" i="182"/>
  <c r="S100" i="182"/>
  <c r="P100" i="182"/>
  <c r="M100" i="182"/>
  <c r="J100" i="182"/>
  <c r="G100" i="182"/>
  <c r="D100" i="182"/>
  <c r="AM96" i="182"/>
  <c r="AK96" i="182"/>
  <c r="AG96" i="182"/>
  <c r="AE96" i="182"/>
  <c r="AC96" i="182"/>
  <c r="AA96" i="182"/>
  <c r="AA97" i="182" s="1"/>
  <c r="Y96" i="182"/>
  <c r="Y97" i="182" s="1"/>
  <c r="X96" i="182"/>
  <c r="X97" i="182" s="1"/>
  <c r="V96" i="182"/>
  <c r="V97" i="182" s="1"/>
  <c r="S96" i="182"/>
  <c r="P96" i="182"/>
  <c r="M96" i="182"/>
  <c r="J96" i="182"/>
  <c r="J97" i="182" s="1"/>
  <c r="G96" i="182"/>
  <c r="G97" i="182" s="1"/>
  <c r="D96" i="182"/>
  <c r="D97" i="182" s="1"/>
  <c r="AK92" i="182"/>
  <c r="AG92" i="182"/>
  <c r="AE92" i="182"/>
  <c r="AC92" i="182"/>
  <c r="AA92" i="182"/>
  <c r="Y92" i="182"/>
  <c r="X92" i="182"/>
  <c r="V92" i="182"/>
  <c r="S92" i="182"/>
  <c r="P92" i="182"/>
  <c r="M92" i="182"/>
  <c r="J92" i="182"/>
  <c r="G92" i="182"/>
  <c r="D92" i="182"/>
  <c r="AK91" i="182"/>
  <c r="AG91" i="182"/>
  <c r="AE91" i="182"/>
  <c r="AC91" i="182"/>
  <c r="AA91" i="182"/>
  <c r="Y91" i="182"/>
  <c r="X91" i="182"/>
  <c r="V91" i="182"/>
  <c r="S91" i="182"/>
  <c r="P91" i="182"/>
  <c r="M91" i="182"/>
  <c r="J91" i="182"/>
  <c r="G91" i="182"/>
  <c r="D91" i="182"/>
  <c r="AM87" i="182"/>
  <c r="AK87" i="182"/>
  <c r="AG87" i="182"/>
  <c r="AE87" i="182"/>
  <c r="AC87" i="182"/>
  <c r="AA87" i="182"/>
  <c r="Y87" i="182"/>
  <c r="X87" i="182"/>
  <c r="V87" i="182"/>
  <c r="S87" i="182"/>
  <c r="P87" i="182"/>
  <c r="M87" i="182"/>
  <c r="J87" i="182"/>
  <c r="G87" i="182"/>
  <c r="D87" i="182"/>
  <c r="AK86" i="182"/>
  <c r="AG86" i="182"/>
  <c r="AE86" i="182"/>
  <c r="AC86" i="182"/>
  <c r="AA86" i="182"/>
  <c r="Y86" i="182"/>
  <c r="X86" i="182"/>
  <c r="V86" i="182"/>
  <c r="S86" i="182"/>
  <c r="P86" i="182"/>
  <c r="M86" i="182"/>
  <c r="J86" i="182"/>
  <c r="G86" i="182"/>
  <c r="D86" i="182"/>
  <c r="AK82" i="182"/>
  <c r="AG82" i="182"/>
  <c r="AE82" i="182"/>
  <c r="AC82" i="182"/>
  <c r="AA82" i="182"/>
  <c r="Y82" i="182"/>
  <c r="X82" i="182"/>
  <c r="V82" i="182"/>
  <c r="S82" i="182"/>
  <c r="P82" i="182"/>
  <c r="M82" i="182"/>
  <c r="J82" i="182"/>
  <c r="G82" i="182"/>
  <c r="D82" i="182"/>
  <c r="AK81" i="182"/>
  <c r="AG81" i="182"/>
  <c r="AE81" i="182"/>
  <c r="AC81" i="182"/>
  <c r="AA81" i="182"/>
  <c r="Y81" i="182"/>
  <c r="X81" i="182"/>
  <c r="V81" i="182"/>
  <c r="S81" i="182"/>
  <c r="P81" i="182"/>
  <c r="M81" i="182"/>
  <c r="J81" i="182"/>
  <c r="G81" i="182"/>
  <c r="D81" i="182"/>
  <c r="AK80" i="182"/>
  <c r="AG80" i="182"/>
  <c r="AE80" i="182"/>
  <c r="AC80" i="182"/>
  <c r="AA80" i="182"/>
  <c r="Y80" i="182"/>
  <c r="X80" i="182"/>
  <c r="V80" i="182"/>
  <c r="S80" i="182"/>
  <c r="P80" i="182"/>
  <c r="M80" i="182"/>
  <c r="J80" i="182"/>
  <c r="G80" i="182"/>
  <c r="D80" i="182"/>
  <c r="AK76" i="182"/>
  <c r="AG76" i="182"/>
  <c r="AE76" i="182"/>
  <c r="AC76" i="182"/>
  <c r="AA76" i="182"/>
  <c r="Y76" i="182"/>
  <c r="X76" i="182"/>
  <c r="V76" i="182"/>
  <c r="S76" i="182"/>
  <c r="P76" i="182"/>
  <c r="M76" i="182"/>
  <c r="J76" i="182"/>
  <c r="G76" i="182"/>
  <c r="D76" i="182"/>
  <c r="AK75" i="182"/>
  <c r="AG75" i="182"/>
  <c r="AE75" i="182"/>
  <c r="AC75" i="182"/>
  <c r="AA75" i="182"/>
  <c r="Y75" i="182"/>
  <c r="X75" i="182"/>
  <c r="V75" i="182"/>
  <c r="S75" i="182"/>
  <c r="P75" i="182"/>
  <c r="M75" i="182"/>
  <c r="J75" i="182"/>
  <c r="G75" i="182"/>
  <c r="D75" i="182"/>
  <c r="AK63" i="182"/>
  <c r="AG63" i="182"/>
  <c r="AE63" i="182"/>
  <c r="AC63" i="182"/>
  <c r="AA63" i="182"/>
  <c r="Y63" i="182"/>
  <c r="X63" i="182"/>
  <c r="X64" i="182" s="1"/>
  <c r="V63" i="182"/>
  <c r="S63" i="182"/>
  <c r="P63" i="182"/>
  <c r="M63" i="182"/>
  <c r="J63" i="182"/>
  <c r="G63" i="182"/>
  <c r="G64" i="182" s="1"/>
  <c r="D63" i="182"/>
  <c r="D64" i="182" s="1"/>
  <c r="AK59" i="182"/>
  <c r="AG59" i="182"/>
  <c r="AE59" i="182"/>
  <c r="AC59" i="182"/>
  <c r="AA59" i="182"/>
  <c r="Y59" i="182"/>
  <c r="X59" i="182"/>
  <c r="V59" i="182"/>
  <c r="S59" i="182"/>
  <c r="P59" i="182"/>
  <c r="M59" i="182"/>
  <c r="J59" i="182"/>
  <c r="G59" i="182"/>
  <c r="D59" i="182"/>
  <c r="AK58" i="182"/>
  <c r="AG58" i="182"/>
  <c r="AE58" i="182"/>
  <c r="AC58" i="182"/>
  <c r="AA58" i="182"/>
  <c r="Y58" i="182"/>
  <c r="X58" i="182"/>
  <c r="V58" i="182"/>
  <c r="S58" i="182"/>
  <c r="P58" i="182"/>
  <c r="M58" i="182"/>
  <c r="J58" i="182"/>
  <c r="G58" i="182"/>
  <c r="D58" i="182"/>
  <c r="AK39" i="182"/>
  <c r="AG39" i="182"/>
  <c r="AE39" i="182"/>
  <c r="AC39" i="182"/>
  <c r="AA39" i="182"/>
  <c r="AA40" i="182" s="1"/>
  <c r="Y39" i="182"/>
  <c r="Y40" i="182" s="1"/>
  <c r="X39" i="182"/>
  <c r="X40" i="182" s="1"/>
  <c r="V39" i="182"/>
  <c r="S39" i="182"/>
  <c r="S40" i="182" s="1"/>
  <c r="P39" i="182"/>
  <c r="P40" i="182" s="1"/>
  <c r="M39" i="182"/>
  <c r="J39" i="182"/>
  <c r="J40" i="182" s="1"/>
  <c r="G39" i="182"/>
  <c r="G40" i="182" s="1"/>
  <c r="D39" i="182"/>
  <c r="D40" i="182" s="1"/>
  <c r="AK29" i="182"/>
  <c r="AG29" i="182"/>
  <c r="AE29" i="182"/>
  <c r="AC29" i="182"/>
  <c r="AA29" i="182"/>
  <c r="Y29" i="182"/>
  <c r="X29" i="182"/>
  <c r="V29" i="182"/>
  <c r="S29" i="182"/>
  <c r="P29" i="182"/>
  <c r="M29" i="182"/>
  <c r="J29" i="182"/>
  <c r="G29" i="182"/>
  <c r="D29" i="182"/>
  <c r="AK28" i="182"/>
  <c r="AG28" i="182"/>
  <c r="AE28" i="182"/>
  <c r="AC28" i="182"/>
  <c r="AA28" i="182"/>
  <c r="Y28" i="182"/>
  <c r="X28" i="182"/>
  <c r="V28" i="182"/>
  <c r="S28" i="182"/>
  <c r="P28" i="182"/>
  <c r="M28" i="182"/>
  <c r="J28" i="182"/>
  <c r="G28" i="182"/>
  <c r="D28" i="182"/>
  <c r="AK23" i="182"/>
  <c r="AG23" i="182"/>
  <c r="AE23" i="182"/>
  <c r="AC23" i="182"/>
  <c r="AA23" i="182"/>
  <c r="Y23" i="182"/>
  <c r="X23" i="182"/>
  <c r="V23" i="182"/>
  <c r="S23" i="182"/>
  <c r="P23" i="182"/>
  <c r="M23" i="182"/>
  <c r="J23" i="182"/>
  <c r="G23" i="182"/>
  <c r="D23" i="182"/>
  <c r="AM19" i="182"/>
  <c r="AK19" i="182"/>
  <c r="AG19" i="182"/>
  <c r="AE19" i="182"/>
  <c r="AC19" i="182"/>
  <c r="AA19" i="182"/>
  <c r="Y19" i="182"/>
  <c r="X19" i="182"/>
  <c r="X20" i="182" s="1"/>
  <c r="V19" i="182"/>
  <c r="S19" i="182"/>
  <c r="P19" i="182"/>
  <c r="M19" i="182"/>
  <c r="J19" i="182"/>
  <c r="G19" i="182"/>
  <c r="G20" i="182" s="1"/>
  <c r="D19" i="182"/>
  <c r="D20" i="182" s="1"/>
  <c r="AK11" i="182"/>
  <c r="AG11" i="182"/>
  <c r="AE11" i="182"/>
  <c r="AC11" i="182"/>
  <c r="AA11" i="182"/>
  <c r="Y11" i="182"/>
  <c r="X11" i="182"/>
  <c r="V11" i="182"/>
  <c r="S11" i="182"/>
  <c r="P11" i="182"/>
  <c r="M11" i="182"/>
  <c r="J11" i="182"/>
  <c r="G11" i="182"/>
  <c r="D11" i="182"/>
  <c r="AK10" i="182"/>
  <c r="AG10" i="182"/>
  <c r="AE10" i="182"/>
  <c r="AC10" i="182"/>
  <c r="AA10" i="182"/>
  <c r="Y10" i="182"/>
  <c r="X10" i="182"/>
  <c r="V10" i="182"/>
  <c r="S10" i="182"/>
  <c r="P10" i="182"/>
  <c r="M10" i="182"/>
  <c r="J10" i="182"/>
  <c r="G10" i="182"/>
  <c r="D10" i="182"/>
  <c r="AK6" i="182"/>
  <c r="AG6" i="182"/>
  <c r="AE6" i="182"/>
  <c r="AC6" i="182"/>
  <c r="AA6" i="182"/>
  <c r="Y6" i="182"/>
  <c r="X6" i="182"/>
  <c r="V6" i="182"/>
  <c r="S6" i="182"/>
  <c r="P6" i="182"/>
  <c r="M6" i="182"/>
  <c r="J6" i="182"/>
  <c r="G6" i="182"/>
  <c r="D6" i="182"/>
  <c r="AM5" i="182"/>
  <c r="AK5" i="182"/>
  <c r="AG5" i="182"/>
  <c r="AE5" i="182"/>
  <c r="AC5" i="182"/>
  <c r="AA5" i="182"/>
  <c r="Y5" i="182"/>
  <c r="X5" i="182"/>
  <c r="V5" i="182"/>
  <c r="S5" i="182"/>
  <c r="P5" i="182"/>
  <c r="M5" i="182"/>
  <c r="J5" i="182"/>
  <c r="G5" i="182"/>
  <c r="D5" i="182"/>
  <c r="C229" i="182"/>
  <c r="C225" i="182"/>
  <c r="C221" i="182"/>
  <c r="C220" i="182"/>
  <c r="C219" i="182"/>
  <c r="C215" i="182"/>
  <c r="C203" i="182"/>
  <c r="C199" i="182"/>
  <c r="C262" i="182" s="1"/>
  <c r="C190" i="182"/>
  <c r="C191" i="182" s="1"/>
  <c r="C182" i="182"/>
  <c r="C183" i="182" s="1"/>
  <c r="C178" i="182"/>
  <c r="C174" i="182"/>
  <c r="C175" i="182" s="1"/>
  <c r="C170" i="182"/>
  <c r="C171" i="182" s="1"/>
  <c r="C166" i="182"/>
  <c r="C165" i="182"/>
  <c r="C156" i="182"/>
  <c r="C157" i="182" s="1"/>
  <c r="C151" i="182"/>
  <c r="C132" i="182"/>
  <c r="C131" i="182"/>
  <c r="C127" i="182"/>
  <c r="C126" i="182"/>
  <c r="C122" i="182"/>
  <c r="C116" i="182"/>
  <c r="C115" i="182"/>
  <c r="C110" i="182"/>
  <c r="C112" i="182" s="1"/>
  <c r="C106" i="182"/>
  <c r="C107" i="182" s="1"/>
  <c r="C101" i="182"/>
  <c r="C100" i="182"/>
  <c r="C96" i="182"/>
  <c r="C97" i="182" s="1"/>
  <c r="C92" i="182"/>
  <c r="C91" i="182"/>
  <c r="C87" i="182"/>
  <c r="C86" i="182"/>
  <c r="C82" i="182"/>
  <c r="C81" i="182"/>
  <c r="C80" i="182"/>
  <c r="C76" i="182"/>
  <c r="C75" i="182"/>
  <c r="C63" i="182"/>
  <c r="C64" i="182" s="1"/>
  <c r="C59" i="182"/>
  <c r="C58" i="182"/>
  <c r="C39" i="182"/>
  <c r="C40" i="182" s="1"/>
  <c r="C29" i="182"/>
  <c r="C28" i="182"/>
  <c r="C23" i="182"/>
  <c r="C19" i="182"/>
  <c r="C20" i="182" s="1"/>
  <c r="C11" i="182"/>
  <c r="C10" i="182"/>
  <c r="C6" i="182"/>
  <c r="C5" i="182"/>
  <c r="P245" i="182" l="1"/>
  <c r="R290" i="182"/>
  <c r="G279" i="182"/>
  <c r="R256" i="182"/>
  <c r="AA279" i="182"/>
  <c r="V279" i="182"/>
  <c r="AM279" i="182"/>
  <c r="R273" i="182"/>
  <c r="X279" i="182"/>
  <c r="D279" i="182"/>
  <c r="Y279" i="182"/>
  <c r="AV75" i="182"/>
  <c r="AW75" i="182" s="1"/>
  <c r="AX75" i="182" s="1"/>
  <c r="AY75" i="182" s="1"/>
  <c r="AZ75" i="182" s="1"/>
  <c r="AW96" i="182"/>
  <c r="AV96" i="182"/>
  <c r="AX96" i="182"/>
  <c r="AZ96" i="182"/>
  <c r="AY96" i="182"/>
  <c r="L256" i="182"/>
  <c r="L290" i="182"/>
  <c r="S279" i="182"/>
  <c r="AK279" i="182"/>
  <c r="AX67" i="182"/>
  <c r="AW68" i="182"/>
  <c r="I290" i="182"/>
  <c r="L273" i="182"/>
  <c r="AV20" i="182"/>
  <c r="AW19" i="182"/>
  <c r="AX19" i="182" s="1"/>
  <c r="AY19" i="182" s="1"/>
  <c r="AZ19" i="182" s="1"/>
  <c r="I273" i="182"/>
  <c r="M245" i="182"/>
  <c r="X179" i="182"/>
  <c r="X246" i="182"/>
  <c r="J279" i="182"/>
  <c r="AC279" i="182"/>
  <c r="X230" i="182"/>
  <c r="X281" i="182"/>
  <c r="AT5" i="182"/>
  <c r="AV5" i="182" s="1"/>
  <c r="AS5" i="182"/>
  <c r="AT28" i="182"/>
  <c r="AS28" i="182"/>
  <c r="AS101" i="182"/>
  <c r="AT101" i="182"/>
  <c r="AS151" i="182"/>
  <c r="AT151" i="182"/>
  <c r="F256" i="182"/>
  <c r="S226" i="182"/>
  <c r="S280" i="182"/>
  <c r="AT174" i="182"/>
  <c r="AV174" i="182" s="1"/>
  <c r="AS174" i="182"/>
  <c r="D179" i="182"/>
  <c r="D246" i="182"/>
  <c r="Y179" i="182"/>
  <c r="Y246" i="182"/>
  <c r="X204" i="182"/>
  <c r="X263" i="182"/>
  <c r="M279" i="182"/>
  <c r="AE279" i="182"/>
  <c r="X226" i="182"/>
  <c r="X280" i="182"/>
  <c r="D230" i="182"/>
  <c r="D281" i="182"/>
  <c r="Y230" i="182"/>
  <c r="Y281" i="182"/>
  <c r="U273" i="182"/>
  <c r="AA179" i="182"/>
  <c r="AA246" i="182"/>
  <c r="D204" i="182"/>
  <c r="D263" i="182"/>
  <c r="Y204" i="182"/>
  <c r="Y263" i="182"/>
  <c r="P279" i="182"/>
  <c r="AG279" i="182"/>
  <c r="D226" i="182"/>
  <c r="D280" i="182"/>
  <c r="Y226" i="182"/>
  <c r="Y280" i="182"/>
  <c r="G230" i="182"/>
  <c r="G281" i="182"/>
  <c r="AA230" i="182"/>
  <c r="AA232" i="182" s="1"/>
  <c r="AA281" i="182"/>
  <c r="AT58" i="182"/>
  <c r="AS58" i="182"/>
  <c r="AT110" i="182"/>
  <c r="AV110" i="182" s="1"/>
  <c r="AS110" i="182"/>
  <c r="AT100" i="182"/>
  <c r="AV100" i="182" s="1"/>
  <c r="AS100" i="182"/>
  <c r="G204" i="182"/>
  <c r="G263" i="182"/>
  <c r="G226" i="182"/>
  <c r="H226" i="182" s="1"/>
  <c r="G280" i="182"/>
  <c r="AA226" i="182"/>
  <c r="AA280" i="182"/>
  <c r="J230" i="182"/>
  <c r="J281" i="182"/>
  <c r="AC230" i="182"/>
  <c r="AC281" i="182"/>
  <c r="AT115" i="182"/>
  <c r="AV115" i="182" s="1"/>
  <c r="AS115" i="182"/>
  <c r="AT215" i="182"/>
  <c r="AS215" i="182"/>
  <c r="AQ279" i="182"/>
  <c r="O290" i="182"/>
  <c r="V179" i="182"/>
  <c r="V246" i="182"/>
  <c r="AT126" i="182"/>
  <c r="AV126" i="182" s="1"/>
  <c r="AS126" i="182"/>
  <c r="J204" i="182"/>
  <c r="J263" i="182"/>
  <c r="AC204" i="182"/>
  <c r="AC263" i="182"/>
  <c r="AC226" i="182"/>
  <c r="AC280" i="182"/>
  <c r="M230" i="182"/>
  <c r="M281" i="182"/>
  <c r="AQ64" i="182"/>
  <c r="AT63" i="182"/>
  <c r="AS63" i="182"/>
  <c r="AS91" i="182"/>
  <c r="AT91" i="182"/>
  <c r="AV91" i="182" s="1"/>
  <c r="AS116" i="182"/>
  <c r="AT116" i="182"/>
  <c r="AT219" i="182"/>
  <c r="AV219" i="182" s="1"/>
  <c r="AS219" i="182"/>
  <c r="AS203" i="182"/>
  <c r="AQ263" i="182"/>
  <c r="AT203" i="182"/>
  <c r="AV204" i="182" s="1"/>
  <c r="J245" i="182"/>
  <c r="AQ20" i="182"/>
  <c r="AT19" i="182"/>
  <c r="AS19" i="182"/>
  <c r="AT92" i="182"/>
  <c r="AS92" i="182"/>
  <c r="AT166" i="182"/>
  <c r="AS166" i="182"/>
  <c r="F273" i="182"/>
  <c r="I256" i="182"/>
  <c r="AK179" i="182"/>
  <c r="AK246" i="182"/>
  <c r="P226" i="182"/>
  <c r="P280" i="182"/>
  <c r="AT23" i="182"/>
  <c r="AV23" i="182" s="1"/>
  <c r="AS23" i="182"/>
  <c r="AT75" i="182"/>
  <c r="AS75" i="182"/>
  <c r="AT96" i="182"/>
  <c r="AS96" i="182"/>
  <c r="AT170" i="182"/>
  <c r="AV170" i="182" s="1"/>
  <c r="AS170" i="182"/>
  <c r="AT221" i="182"/>
  <c r="AV221" i="182" s="1"/>
  <c r="AW221" i="182" s="1"/>
  <c r="AX221" i="182" s="1"/>
  <c r="AY221" i="182" s="1"/>
  <c r="AZ221" i="182" s="1"/>
  <c r="AS221" i="182"/>
  <c r="U256" i="182"/>
  <c r="U290" i="182"/>
  <c r="O256" i="182"/>
  <c r="O273" i="182"/>
  <c r="F290" i="182"/>
  <c r="Z199" i="182"/>
  <c r="AL215" i="182"/>
  <c r="Z221" i="182"/>
  <c r="C279" i="182"/>
  <c r="C204" i="182"/>
  <c r="C263" i="182"/>
  <c r="C226" i="182"/>
  <c r="E226" i="182" s="1"/>
  <c r="C280" i="182"/>
  <c r="K87" i="182"/>
  <c r="AB151" i="182"/>
  <c r="C179" i="182"/>
  <c r="C246" i="182"/>
  <c r="C230" i="182"/>
  <c r="C281" i="182"/>
  <c r="Z165" i="182"/>
  <c r="AB166" i="182"/>
  <c r="Z97" i="182"/>
  <c r="AL10" i="182"/>
  <c r="AD76" i="182"/>
  <c r="AL58" i="182"/>
  <c r="AL82" i="182"/>
  <c r="AL127" i="182"/>
  <c r="AL151" i="182"/>
  <c r="AB75" i="182"/>
  <c r="AF80" i="182"/>
  <c r="AH126" i="182"/>
  <c r="AF5" i="182"/>
  <c r="AH81" i="182"/>
  <c r="Z116" i="182"/>
  <c r="D83" i="182"/>
  <c r="K28" i="182"/>
  <c r="T86" i="182"/>
  <c r="N101" i="182"/>
  <c r="Q127" i="182"/>
  <c r="N199" i="182"/>
  <c r="Z6" i="182"/>
  <c r="AB10" i="182"/>
  <c r="AB58" i="182"/>
  <c r="AL75" i="182"/>
  <c r="Z81" i="182"/>
  <c r="AD86" i="182"/>
  <c r="AH91" i="182"/>
  <c r="AL92" i="182"/>
  <c r="AF115" i="182"/>
  <c r="AH116" i="182"/>
  <c r="Z126" i="182"/>
  <c r="AB127" i="182"/>
  <c r="AD131" i="182"/>
  <c r="AF132" i="182"/>
  <c r="AF219" i="182"/>
  <c r="AL221" i="182"/>
  <c r="AH11" i="182"/>
  <c r="P102" i="182"/>
  <c r="AE167" i="182"/>
  <c r="AL5" i="182"/>
  <c r="AF23" i="182"/>
  <c r="AL28" i="182"/>
  <c r="AB40" i="182"/>
  <c r="AD91" i="182"/>
  <c r="AL100" i="182"/>
  <c r="AN101" i="182"/>
  <c r="AL166" i="182"/>
  <c r="AB183" i="182"/>
  <c r="Q28" i="182"/>
  <c r="Z10" i="182"/>
  <c r="AB86" i="182"/>
  <c r="AD87" i="182"/>
  <c r="AH92" i="182"/>
  <c r="Z151" i="182"/>
  <c r="AD183" i="182"/>
  <c r="T29" i="182"/>
  <c r="T101" i="182"/>
  <c r="Q166" i="182"/>
  <c r="K215" i="182"/>
  <c r="AJ5" i="182"/>
  <c r="AI5" i="182"/>
  <c r="T221" i="182"/>
  <c r="T199" i="182"/>
  <c r="AG102" i="182"/>
  <c r="Q10" i="182"/>
  <c r="H97" i="182"/>
  <c r="H10" i="182"/>
  <c r="K11" i="182"/>
  <c r="T23" i="182"/>
  <c r="AL23" i="182"/>
  <c r="H58" i="182"/>
  <c r="K59" i="182"/>
  <c r="AD59" i="182"/>
  <c r="H82" i="182"/>
  <c r="K86" i="182"/>
  <c r="N87" i="182"/>
  <c r="H107" i="182"/>
  <c r="Q116" i="182"/>
  <c r="H127" i="182"/>
  <c r="K131" i="182"/>
  <c r="H151" i="182"/>
  <c r="T215" i="182"/>
  <c r="W219" i="182"/>
  <c r="Z28" i="182"/>
  <c r="AD127" i="182"/>
  <c r="AD151" i="182"/>
  <c r="AB199" i="182"/>
  <c r="Z220" i="182"/>
  <c r="AF82" i="182"/>
  <c r="AB100" i="182"/>
  <c r="AD10" i="182"/>
  <c r="AB29" i="182"/>
  <c r="AF59" i="182"/>
  <c r="AD82" i="182"/>
  <c r="Z100" i="182"/>
  <c r="AL116" i="182"/>
  <c r="AH132" i="182"/>
  <c r="AF6" i="182"/>
  <c r="Z23" i="182"/>
  <c r="AB97" i="182"/>
  <c r="K100" i="182"/>
  <c r="AF126" i="182"/>
  <c r="AH127" i="182"/>
  <c r="H165" i="182"/>
  <c r="AB165" i="182"/>
  <c r="AD166" i="182"/>
  <c r="H219" i="182"/>
  <c r="AR75" i="182"/>
  <c r="AB126" i="182"/>
  <c r="AN215" i="182"/>
  <c r="AB23" i="182"/>
  <c r="Z91" i="182"/>
  <c r="AF100" i="182"/>
  <c r="AH199" i="182"/>
  <c r="AB215" i="182"/>
  <c r="AF220" i="182"/>
  <c r="AH221" i="182"/>
  <c r="AB182" i="182"/>
  <c r="Z5" i="182"/>
  <c r="AF11" i="182"/>
  <c r="AH87" i="182"/>
  <c r="AB101" i="182"/>
  <c r="AH115" i="182"/>
  <c r="Q5" i="182"/>
  <c r="T6" i="182"/>
  <c r="W10" i="182"/>
  <c r="K75" i="182"/>
  <c r="N76" i="182"/>
  <c r="Q80" i="182"/>
  <c r="T81" i="182"/>
  <c r="W82" i="182"/>
  <c r="H91" i="182"/>
  <c r="D117" i="182"/>
  <c r="Y117" i="182"/>
  <c r="Q122" i="182"/>
  <c r="S128" i="182"/>
  <c r="AB6" i="182"/>
  <c r="AD58" i="182"/>
  <c r="AL91" i="182"/>
  <c r="AF131" i="182"/>
  <c r="Z166" i="182"/>
  <c r="Z11" i="182"/>
  <c r="AH76" i="182"/>
  <c r="AL80" i="182"/>
  <c r="Z86" i="182"/>
  <c r="AB115" i="182"/>
  <c r="AH6" i="182"/>
  <c r="AB92" i="182"/>
  <c r="AH101" i="182"/>
  <c r="AD165" i="182"/>
  <c r="AF166" i="182"/>
  <c r="AD219" i="182"/>
  <c r="AB225" i="182"/>
  <c r="AH5" i="182"/>
  <c r="AL6" i="182"/>
  <c r="H20" i="182"/>
  <c r="AL29" i="182"/>
  <c r="AD75" i="182"/>
  <c r="AF76" i="182"/>
  <c r="AH80" i="182"/>
  <c r="AL81" i="182"/>
  <c r="Z87" i="182"/>
  <c r="AB91" i="182"/>
  <c r="AD92" i="182"/>
  <c r="AL101" i="182"/>
  <c r="H116" i="182"/>
  <c r="AB116" i="182"/>
  <c r="W127" i="182"/>
  <c r="Z132" i="182"/>
  <c r="N142" i="182"/>
  <c r="W151" i="182"/>
  <c r="AH166" i="182"/>
  <c r="N219" i="182"/>
  <c r="Q220" i="182"/>
  <c r="AR28" i="182"/>
  <c r="Z39" i="182"/>
  <c r="Z225" i="182"/>
  <c r="AD203" i="182"/>
  <c r="Z59" i="182"/>
  <c r="AF75" i="182"/>
  <c r="AB87" i="182"/>
  <c r="AF92" i="182"/>
  <c r="AD116" i="182"/>
  <c r="Z131" i="182"/>
  <c r="AB132" i="182"/>
  <c r="AH165" i="182"/>
  <c r="AH219" i="182"/>
  <c r="AB39" i="182"/>
  <c r="AL76" i="182"/>
  <c r="Z82" i="182"/>
  <c r="AD115" i="182"/>
  <c r="Z127" i="182"/>
  <c r="AF165" i="182"/>
  <c r="AD11" i="182"/>
  <c r="Z29" i="182"/>
  <c r="AB82" i="182"/>
  <c r="AF87" i="182"/>
  <c r="Z101" i="182"/>
  <c r="W165" i="182"/>
  <c r="Z80" i="182"/>
  <c r="AB81" i="182"/>
  <c r="AF86" i="182"/>
  <c r="AB221" i="182"/>
  <c r="AD226" i="182"/>
  <c r="AD126" i="182"/>
  <c r="AD221" i="182"/>
  <c r="AR219" i="182"/>
  <c r="AA107" i="182"/>
  <c r="AB107" i="182" s="1"/>
  <c r="AB106" i="182"/>
  <c r="Y171" i="182"/>
  <c r="Z170" i="182"/>
  <c r="AK20" i="182"/>
  <c r="AL19" i="182"/>
  <c r="H29" i="182"/>
  <c r="AA171" i="182"/>
  <c r="AB171" i="182" s="1"/>
  <c r="AB170" i="182"/>
  <c r="H5" i="182"/>
  <c r="AB5" i="182"/>
  <c r="K6" i="182"/>
  <c r="AD6" i="182"/>
  <c r="N10" i="182"/>
  <c r="AF10" i="182"/>
  <c r="Q11" i="182"/>
  <c r="AM20" i="182"/>
  <c r="AN19" i="182"/>
  <c r="H28" i="182"/>
  <c r="AB28" i="182"/>
  <c r="K29" i="182"/>
  <c r="AD29" i="182"/>
  <c r="T40" i="182"/>
  <c r="AK40" i="182"/>
  <c r="AL39" i="182"/>
  <c r="M60" i="182"/>
  <c r="AE60" i="182"/>
  <c r="AF58" i="182"/>
  <c r="Q59" i="182"/>
  <c r="AH59" i="182"/>
  <c r="AK64" i="182"/>
  <c r="AL63" i="182"/>
  <c r="Z76" i="182"/>
  <c r="H80" i="182"/>
  <c r="AB80" i="182"/>
  <c r="K81" i="182"/>
  <c r="AD81" i="182"/>
  <c r="N82" i="182"/>
  <c r="P88" i="182"/>
  <c r="AG88" i="182"/>
  <c r="AH86" i="182"/>
  <c r="T87" i="182"/>
  <c r="AL87" i="182"/>
  <c r="H100" i="182"/>
  <c r="K101" i="182"/>
  <c r="AD101" i="182"/>
  <c r="AE107" i="182"/>
  <c r="AF106" i="182"/>
  <c r="AG112" i="182"/>
  <c r="AH110" i="182"/>
  <c r="T115" i="182"/>
  <c r="AL115" i="182"/>
  <c r="W116" i="182"/>
  <c r="H122" i="182"/>
  <c r="K126" i="182"/>
  <c r="N127" i="182"/>
  <c r="AF127" i="182"/>
  <c r="Q131" i="182"/>
  <c r="AH131" i="182"/>
  <c r="T132" i="182"/>
  <c r="AL132" i="182"/>
  <c r="AF151" i="182"/>
  <c r="AK157" i="182"/>
  <c r="AL156" i="182"/>
  <c r="K171" i="182"/>
  <c r="AC171" i="182"/>
  <c r="AD170" i="182"/>
  <c r="AE175" i="182"/>
  <c r="AF174" i="182"/>
  <c r="AG179" i="182"/>
  <c r="AH178" i="182"/>
  <c r="T183" i="182"/>
  <c r="AK183" i="182"/>
  <c r="AL182" i="182"/>
  <c r="K199" i="182"/>
  <c r="AD199" i="182"/>
  <c r="AE204" i="182"/>
  <c r="AF203" i="182"/>
  <c r="Z219" i="182"/>
  <c r="H220" i="182"/>
  <c r="AB220" i="182"/>
  <c r="K221" i="182"/>
  <c r="AE226" i="182"/>
  <c r="AF226" i="182" s="1"/>
  <c r="AF225" i="182"/>
  <c r="AG230" i="182"/>
  <c r="AH229" i="182"/>
  <c r="AR92" i="182"/>
  <c r="Z96" i="182"/>
  <c r="AH100" i="182"/>
  <c r="AM97" i="182"/>
  <c r="AN96" i="182"/>
  <c r="AA175" i="182"/>
  <c r="AB175" i="182" s="1"/>
  <c r="AB174" i="182"/>
  <c r="AC107" i="182"/>
  <c r="AD106" i="182"/>
  <c r="AG157" i="182"/>
  <c r="AH156" i="182"/>
  <c r="AE179" i="182"/>
  <c r="AF178" i="182"/>
  <c r="H199" i="182"/>
  <c r="AR91" i="182"/>
  <c r="AL11" i="182"/>
  <c r="AD28" i="182"/>
  <c r="AF29" i="182"/>
  <c r="AH58" i="182"/>
  <c r="AL59" i="182"/>
  <c r="Z75" i="182"/>
  <c r="AB76" i="182"/>
  <c r="AD80" i="182"/>
  <c r="AF81" i="182"/>
  <c r="AH82" i="182"/>
  <c r="AL86" i="182"/>
  <c r="AN87" i="182"/>
  <c r="Z92" i="182"/>
  <c r="AD100" i="182"/>
  <c r="AF101" i="182"/>
  <c r="AG107" i="182"/>
  <c r="AH106" i="182"/>
  <c r="AL131" i="182"/>
  <c r="AH151" i="182"/>
  <c r="AE171" i="182"/>
  <c r="AF170" i="182"/>
  <c r="AG175" i="182"/>
  <c r="AH174" i="182"/>
  <c r="Y191" i="182"/>
  <c r="Z190" i="182"/>
  <c r="AF199" i="182"/>
  <c r="AG204" i="182"/>
  <c r="AH203" i="182"/>
  <c r="Z215" i="182"/>
  <c r="AB219" i="182"/>
  <c r="AD220" i="182"/>
  <c r="AF221" i="182"/>
  <c r="AG226" i="182"/>
  <c r="AH226" i="182" s="1"/>
  <c r="AH225" i="182"/>
  <c r="AR23" i="182"/>
  <c r="AQ97" i="182"/>
  <c r="AR96" i="182"/>
  <c r="AR166" i="182"/>
  <c r="H106" i="182"/>
  <c r="AB96" i="182"/>
  <c r="AG20" i="182"/>
  <c r="AH19" i="182"/>
  <c r="G175" i="182"/>
  <c r="H175" i="182" s="1"/>
  <c r="H174" i="182"/>
  <c r="AG40" i="182"/>
  <c r="AH39" i="182"/>
  <c r="AG64" i="182"/>
  <c r="AH63" i="182"/>
  <c r="AC175" i="182"/>
  <c r="AD174" i="182"/>
  <c r="AG183" i="182"/>
  <c r="AH183" i="182" s="1"/>
  <c r="AH182" i="182"/>
  <c r="AE230" i="182"/>
  <c r="AF229" i="182"/>
  <c r="AR19" i="182"/>
  <c r="AD5" i="182"/>
  <c r="AH10" i="182"/>
  <c r="Y20" i="182"/>
  <c r="Z19" i="182"/>
  <c r="AF28" i="182"/>
  <c r="AH29" i="182"/>
  <c r="AC97" i="182"/>
  <c r="AD97" i="182" s="1"/>
  <c r="AD96" i="182"/>
  <c r="AK107" i="182"/>
  <c r="AL106" i="182"/>
  <c r="AM112" i="182"/>
  <c r="AN110" i="182"/>
  <c r="AG171" i="182"/>
  <c r="AH170" i="182"/>
  <c r="AK175" i="182"/>
  <c r="AL174" i="182"/>
  <c r="AA191" i="182"/>
  <c r="AB190" i="182"/>
  <c r="AK204" i="182"/>
  <c r="AL203" i="182"/>
  <c r="H215" i="182"/>
  <c r="AK226" i="182"/>
  <c r="AL225" i="182"/>
  <c r="AR100" i="182"/>
  <c r="AQ171" i="182"/>
  <c r="AR170" i="182"/>
  <c r="AR221" i="182"/>
  <c r="AD182" i="182"/>
  <c r="AH190" i="182"/>
  <c r="AN221" i="182"/>
  <c r="AL178" i="182"/>
  <c r="AR58" i="182"/>
  <c r="AE157" i="182"/>
  <c r="AF156" i="182"/>
  <c r="AE183" i="182"/>
  <c r="AF183" i="182" s="1"/>
  <c r="AF182" i="182"/>
  <c r="AK191" i="182"/>
  <c r="AL190" i="182"/>
  <c r="AC208" i="182"/>
  <c r="W23" i="182"/>
  <c r="Q115" i="182"/>
  <c r="N131" i="182"/>
  <c r="AG30" i="182"/>
  <c r="AH28" i="182"/>
  <c r="Y64" i="182"/>
  <c r="Z63" i="182"/>
  <c r="AE97" i="182"/>
  <c r="AF97" i="182" s="1"/>
  <c r="AF96" i="182"/>
  <c r="AK128" i="182"/>
  <c r="AL126" i="182"/>
  <c r="Y157" i="182"/>
  <c r="Z156" i="182"/>
  <c r="AK171" i="182"/>
  <c r="AL170" i="182"/>
  <c r="AC191" i="182"/>
  <c r="AD190" i="182"/>
  <c r="AD215" i="182"/>
  <c r="AH220" i="182"/>
  <c r="AR5" i="182"/>
  <c r="AR101" i="182"/>
  <c r="AR126" i="182"/>
  <c r="AQ175" i="182"/>
  <c r="AR174" i="182"/>
  <c r="AQ204" i="182"/>
  <c r="AR203" i="182"/>
  <c r="Z178" i="182"/>
  <c r="AL110" i="182"/>
  <c r="AR63" i="182"/>
  <c r="AE64" i="182"/>
  <c r="AF63" i="182"/>
  <c r="AC112" i="182"/>
  <c r="AD110" i="182"/>
  <c r="AA204" i="182"/>
  <c r="AB203" i="182"/>
  <c r="AE112" i="182"/>
  <c r="AL112" i="182" s="1"/>
  <c r="AF110" i="182"/>
  <c r="AA20" i="182"/>
  <c r="AB20" i="182" s="1"/>
  <c r="AB19" i="182"/>
  <c r="AC20" i="182"/>
  <c r="AD19" i="182"/>
  <c r="H40" i="182"/>
  <c r="H64" i="182"/>
  <c r="AA64" i="182"/>
  <c r="AB64" i="182" s="1"/>
  <c r="AB63" i="182"/>
  <c r="H87" i="182"/>
  <c r="AG97" i="182"/>
  <c r="AH96" i="182"/>
  <c r="T100" i="182"/>
  <c r="Y112" i="182"/>
  <c r="Z110" i="182"/>
  <c r="H132" i="182"/>
  <c r="H157" i="182"/>
  <c r="AA157" i="182"/>
  <c r="AB157" i="182" s="1"/>
  <c r="AB156" i="182"/>
  <c r="T166" i="182"/>
  <c r="AM171" i="182"/>
  <c r="AN170" i="182"/>
  <c r="AE191" i="182"/>
  <c r="AF190" i="182"/>
  <c r="AB178" i="182"/>
  <c r="AD225" i="182"/>
  <c r="AE40" i="182"/>
  <c r="AF40" i="182" s="1"/>
  <c r="AF39" i="182"/>
  <c r="AC179" i="182"/>
  <c r="AD179" i="182" s="1"/>
  <c r="AD178" i="182"/>
  <c r="AD23" i="182"/>
  <c r="W5" i="182"/>
  <c r="AN5" i="182"/>
  <c r="H11" i="182"/>
  <c r="AB11" i="182"/>
  <c r="AE20" i="182"/>
  <c r="AF19" i="182"/>
  <c r="Q23" i="182"/>
  <c r="AH23" i="182"/>
  <c r="W28" i="182"/>
  <c r="K40" i="182"/>
  <c r="AC40" i="182"/>
  <c r="AD40" i="182" s="1"/>
  <c r="AD39" i="182"/>
  <c r="Z58" i="182"/>
  <c r="H59" i="182"/>
  <c r="AB59" i="182"/>
  <c r="AC64" i="182"/>
  <c r="AD63" i="182"/>
  <c r="Q75" i="182"/>
  <c r="AH75" i="182"/>
  <c r="T76" i="182"/>
  <c r="W80" i="182"/>
  <c r="H86" i="182"/>
  <c r="N91" i="182"/>
  <c r="AF91" i="182"/>
  <c r="Q92" i="182"/>
  <c r="AK97" i="182"/>
  <c r="AL96" i="182"/>
  <c r="W100" i="182"/>
  <c r="Y107" i="182"/>
  <c r="Z106" i="182"/>
  <c r="H112" i="182"/>
  <c r="AA112" i="182"/>
  <c r="AB112" i="182" s="1"/>
  <c r="AB110" i="182"/>
  <c r="K115" i="182"/>
  <c r="N116" i="182"/>
  <c r="AF116" i="182"/>
  <c r="H131" i="182"/>
  <c r="AB131" i="182"/>
  <c r="K132" i="182"/>
  <c r="AD132" i="182"/>
  <c r="K157" i="182"/>
  <c r="AC157" i="182"/>
  <c r="AD156" i="182"/>
  <c r="AL165" i="182"/>
  <c r="W166" i="182"/>
  <c r="Y175" i="182"/>
  <c r="Z174" i="182"/>
  <c r="Z115" i="182"/>
  <c r="Z182" i="182"/>
  <c r="AN199" i="182"/>
  <c r="AF215" i="182"/>
  <c r="AL220" i="182"/>
  <c r="W221" i="182"/>
  <c r="AR151" i="182"/>
  <c r="AD229" i="182"/>
  <c r="Q215" i="182"/>
  <c r="AH215" i="182"/>
  <c r="T219" i="182"/>
  <c r="AL219" i="182"/>
  <c r="AQ112" i="182"/>
  <c r="AR110" i="182"/>
  <c r="Z229" i="182"/>
  <c r="AB229" i="182"/>
  <c r="AR115" i="182"/>
  <c r="Z203" i="182"/>
  <c r="AR116" i="182"/>
  <c r="AR215" i="182"/>
  <c r="J111" i="26"/>
  <c r="J109" i="26"/>
  <c r="J112" i="26" s="1"/>
  <c r="T10" i="182"/>
  <c r="H23" i="182"/>
  <c r="N28" i="182"/>
  <c r="H75" i="182"/>
  <c r="K76" i="182"/>
  <c r="H92" i="182"/>
  <c r="K97" i="182"/>
  <c r="Q101" i="182"/>
  <c r="T127" i="182"/>
  <c r="T151" i="182"/>
  <c r="Q199" i="182"/>
  <c r="K92" i="182"/>
  <c r="E171" i="182"/>
  <c r="W6" i="182"/>
  <c r="N75" i="182"/>
  <c r="K91" i="182"/>
  <c r="H115" i="182"/>
  <c r="K116" i="182"/>
  <c r="W126" i="182"/>
  <c r="H183" i="182"/>
  <c r="N215" i="182"/>
  <c r="T165" i="182"/>
  <c r="W220" i="182"/>
  <c r="K23" i="182"/>
  <c r="N229" i="182"/>
  <c r="H6" i="182"/>
  <c r="K10" i="182"/>
  <c r="N11" i="182"/>
  <c r="K58" i="182"/>
  <c r="N59" i="182"/>
  <c r="W75" i="182"/>
  <c r="H81" i="182"/>
  <c r="K82" i="182"/>
  <c r="N86" i="182"/>
  <c r="Q87" i="182"/>
  <c r="T91" i="182"/>
  <c r="W92" i="182"/>
  <c r="H101" i="182"/>
  <c r="H126" i="182"/>
  <c r="H171" i="182"/>
  <c r="H156" i="182"/>
  <c r="H76" i="182"/>
  <c r="H166" i="182"/>
  <c r="W178" i="182"/>
  <c r="S64" i="182"/>
  <c r="T63" i="182"/>
  <c r="V93" i="182"/>
  <c r="W91" i="182"/>
  <c r="P230" i="182"/>
  <c r="Q229" i="182"/>
  <c r="T131" i="182"/>
  <c r="N5" i="182"/>
  <c r="Q6" i="182"/>
  <c r="W11" i="182"/>
  <c r="Q29" i="182"/>
  <c r="T58" i="182"/>
  <c r="W59" i="182"/>
  <c r="N80" i="182"/>
  <c r="Q81" i="182"/>
  <c r="T82" i="182"/>
  <c r="W86" i="182"/>
  <c r="N100" i="182"/>
  <c r="S107" i="182"/>
  <c r="T106" i="182"/>
  <c r="V112" i="182"/>
  <c r="W110" i="182"/>
  <c r="N122" i="182"/>
  <c r="Q126" i="182"/>
  <c r="W131" i="182"/>
  <c r="K165" i="182"/>
  <c r="N166" i="182"/>
  <c r="P171" i="182"/>
  <c r="Q171" i="182" s="1"/>
  <c r="Q170" i="182"/>
  <c r="S175" i="182"/>
  <c r="T174" i="182"/>
  <c r="H191" i="182"/>
  <c r="S204" i="182"/>
  <c r="T203" i="182"/>
  <c r="K219" i="182"/>
  <c r="N220" i="182"/>
  <c r="Q221" i="182"/>
  <c r="V230" i="182"/>
  <c r="W229" i="182"/>
  <c r="H182" i="182"/>
  <c r="K106" i="182"/>
  <c r="K156" i="182"/>
  <c r="K203" i="182"/>
  <c r="Q225" i="182"/>
  <c r="W96" i="182"/>
  <c r="P112" i="182"/>
  <c r="Q110" i="182"/>
  <c r="M204" i="182"/>
  <c r="N203" i="182"/>
  <c r="T11" i="182"/>
  <c r="T59" i="182"/>
  <c r="K80" i="182"/>
  <c r="W87" i="182"/>
  <c r="N126" i="182"/>
  <c r="Q151" i="182"/>
  <c r="V157" i="182"/>
  <c r="W156" i="182"/>
  <c r="P175" i="182"/>
  <c r="Q174" i="182"/>
  <c r="K220" i="182"/>
  <c r="S230" i="182"/>
  <c r="T229" i="182"/>
  <c r="N170" i="182"/>
  <c r="V60" i="182"/>
  <c r="W58" i="182"/>
  <c r="M97" i="182"/>
  <c r="N97" i="182" s="1"/>
  <c r="N96" i="182"/>
  <c r="V107" i="182"/>
  <c r="W106" i="182"/>
  <c r="M167" i="182"/>
  <c r="N165" i="182"/>
  <c r="S171" i="182"/>
  <c r="T170" i="182"/>
  <c r="V175" i="182"/>
  <c r="W174" i="182"/>
  <c r="J191" i="182"/>
  <c r="K190" i="182"/>
  <c r="V204" i="182"/>
  <c r="W203" i="182"/>
  <c r="V226" i="182"/>
  <c r="W225" i="182"/>
  <c r="H19" i="182"/>
  <c r="H63" i="182"/>
  <c r="H110" i="182"/>
  <c r="H203" i="182"/>
  <c r="V20" i="182"/>
  <c r="W19" i="182"/>
  <c r="N6" i="182"/>
  <c r="V64" i="182"/>
  <c r="W63" i="182"/>
  <c r="Q82" i="182"/>
  <c r="W115" i="182"/>
  <c r="K122" i="182"/>
  <c r="P204" i="182"/>
  <c r="Q203" i="182"/>
  <c r="T5" i="182"/>
  <c r="J20" i="182"/>
  <c r="K20" i="182" s="1"/>
  <c r="K19" i="182"/>
  <c r="N23" i="182"/>
  <c r="T28" i="182"/>
  <c r="W29" i="182"/>
  <c r="Q76" i="182"/>
  <c r="T80" i="182"/>
  <c r="W81" i="182"/>
  <c r="N92" i="182"/>
  <c r="P97" i="182"/>
  <c r="Q96" i="182"/>
  <c r="W101" i="182"/>
  <c r="Q142" i="182"/>
  <c r="Q165" i="182"/>
  <c r="V171" i="182"/>
  <c r="W170" i="182"/>
  <c r="M191" i="182"/>
  <c r="N190" i="182"/>
  <c r="W199" i="182"/>
  <c r="Q219" i="182"/>
  <c r="T220" i="182"/>
  <c r="H96" i="182"/>
  <c r="H225" i="182"/>
  <c r="Q86" i="182"/>
  <c r="Q182" i="182"/>
  <c r="K5" i="182"/>
  <c r="N29" i="182"/>
  <c r="V183" i="182"/>
  <c r="W183" i="182" s="1"/>
  <c r="W182" i="182"/>
  <c r="M20" i="182"/>
  <c r="N19" i="182"/>
  <c r="J64" i="182"/>
  <c r="K64" i="182" s="1"/>
  <c r="K63" i="182"/>
  <c r="S97" i="182"/>
  <c r="T96" i="182"/>
  <c r="G179" i="182"/>
  <c r="H179" i="182" s="1"/>
  <c r="H178" i="182"/>
  <c r="J183" i="182"/>
  <c r="K183" i="182" s="1"/>
  <c r="K182" i="182"/>
  <c r="P191" i="182"/>
  <c r="Q190" i="182"/>
  <c r="K96" i="182"/>
  <c r="K170" i="182"/>
  <c r="K229" i="182"/>
  <c r="T126" i="182"/>
  <c r="T225" i="182"/>
  <c r="P179" i="182"/>
  <c r="Q178" i="182"/>
  <c r="Q58" i="182"/>
  <c r="N81" i="182"/>
  <c r="S112" i="182"/>
  <c r="T110" i="182"/>
  <c r="K166" i="182"/>
  <c r="S179" i="182"/>
  <c r="T178" i="182"/>
  <c r="N221" i="182"/>
  <c r="T39" i="182"/>
  <c r="P20" i="182"/>
  <c r="Q19" i="182"/>
  <c r="M40" i="182"/>
  <c r="N40" i="182" s="1"/>
  <c r="N39" i="182"/>
  <c r="M64" i="182"/>
  <c r="N64" i="182" s="1"/>
  <c r="N63" i="182"/>
  <c r="T75" i="182"/>
  <c r="W76" i="182"/>
  <c r="Q91" i="182"/>
  <c r="T92" i="182"/>
  <c r="J112" i="182"/>
  <c r="K112" i="182" s="1"/>
  <c r="K110" i="182"/>
  <c r="N115" i="182"/>
  <c r="N132" i="182"/>
  <c r="N157" i="182"/>
  <c r="J179" i="182"/>
  <c r="K178" i="182"/>
  <c r="M183" i="182"/>
  <c r="Q183" i="182" s="1"/>
  <c r="N182" i="182"/>
  <c r="S191" i="182"/>
  <c r="T190" i="182"/>
  <c r="H39" i="182"/>
  <c r="H170" i="182"/>
  <c r="H190" i="182"/>
  <c r="H229" i="182"/>
  <c r="N58" i="182"/>
  <c r="Q39" i="182"/>
  <c r="Q100" i="182"/>
  <c r="M107" i="182"/>
  <c r="N107" i="182" s="1"/>
  <c r="N106" i="182"/>
  <c r="N151" i="182"/>
  <c r="S157" i="182"/>
  <c r="T156" i="182"/>
  <c r="M175" i="182"/>
  <c r="N174" i="182"/>
  <c r="M226" i="182"/>
  <c r="N225" i="182"/>
  <c r="V40" i="182"/>
  <c r="W40" i="182" s="1"/>
  <c r="W39" i="182"/>
  <c r="P107" i="182"/>
  <c r="Q106" i="182"/>
  <c r="W132" i="182"/>
  <c r="N171" i="182"/>
  <c r="S20" i="182"/>
  <c r="T19" i="182"/>
  <c r="P64" i="182"/>
  <c r="Q63" i="182"/>
  <c r="K107" i="182"/>
  <c r="M112" i="182"/>
  <c r="N110" i="182"/>
  <c r="T116" i="182"/>
  <c r="K127" i="182"/>
  <c r="Q132" i="182"/>
  <c r="K151" i="182"/>
  <c r="P157" i="182"/>
  <c r="Q157" i="182" s="1"/>
  <c r="Q156" i="182"/>
  <c r="J175" i="182"/>
  <c r="K174" i="182"/>
  <c r="M179" i="182"/>
  <c r="N178" i="182"/>
  <c r="V191" i="182"/>
  <c r="W190" i="182"/>
  <c r="W215" i="182"/>
  <c r="H221" i="182"/>
  <c r="J226" i="182"/>
  <c r="K226" i="182" s="1"/>
  <c r="K225" i="182"/>
  <c r="K39" i="182"/>
  <c r="N156" i="182"/>
  <c r="T182" i="182"/>
  <c r="D222" i="182"/>
  <c r="AQ93" i="182"/>
  <c r="M7" i="182"/>
  <c r="AE7" i="182"/>
  <c r="P12" i="182"/>
  <c r="AG12" i="182"/>
  <c r="S7" i="182"/>
  <c r="AK7" i="182"/>
  <c r="C102" i="182"/>
  <c r="Y222" i="182"/>
  <c r="G60" i="182"/>
  <c r="AA60" i="182"/>
  <c r="J88" i="182"/>
  <c r="AC88" i="182"/>
  <c r="P93" i="182"/>
  <c r="AG93" i="182"/>
  <c r="J133" i="182"/>
  <c r="AC133" i="182"/>
  <c r="E221" i="182"/>
  <c r="E23" i="182"/>
  <c r="G222" i="182"/>
  <c r="E40" i="182"/>
  <c r="E64" i="182"/>
  <c r="E87" i="182"/>
  <c r="E132" i="182"/>
  <c r="E157" i="182"/>
  <c r="E183" i="182"/>
  <c r="E82" i="182"/>
  <c r="E11" i="182"/>
  <c r="E59" i="182"/>
  <c r="E86" i="182"/>
  <c r="E112" i="182"/>
  <c r="D133" i="182"/>
  <c r="E6" i="182"/>
  <c r="E10" i="182"/>
  <c r="E58" i="182"/>
  <c r="E107" i="182"/>
  <c r="E127" i="182"/>
  <c r="E151" i="182"/>
  <c r="E175" i="182"/>
  <c r="E96" i="182"/>
  <c r="AC93" i="182"/>
  <c r="AA117" i="182"/>
  <c r="E5" i="182"/>
  <c r="E29" i="182"/>
  <c r="E81" i="182"/>
  <c r="E101" i="182"/>
  <c r="E126" i="182"/>
  <c r="E199" i="182"/>
  <c r="AE77" i="182"/>
  <c r="G117" i="182"/>
  <c r="P167" i="182"/>
  <c r="E28" i="182"/>
  <c r="E80" i="182"/>
  <c r="E100" i="182"/>
  <c r="E122" i="182"/>
  <c r="E166" i="182"/>
  <c r="E220" i="182"/>
  <c r="J93" i="182"/>
  <c r="E76" i="182"/>
  <c r="E97" i="182"/>
  <c r="E165" i="182"/>
  <c r="M77" i="182"/>
  <c r="C222" i="182"/>
  <c r="E75" i="182"/>
  <c r="E92" i="182"/>
  <c r="E191" i="182"/>
  <c r="E215" i="182"/>
  <c r="AA222" i="182"/>
  <c r="C128" i="182"/>
  <c r="AG167" i="182"/>
  <c r="E20" i="182"/>
  <c r="E91" i="182"/>
  <c r="E116" i="182"/>
  <c r="V30" i="182"/>
  <c r="G133" i="182"/>
  <c r="AA133" i="182"/>
  <c r="AQ102" i="182"/>
  <c r="E39" i="182"/>
  <c r="E178" i="182"/>
  <c r="E115" i="182"/>
  <c r="E182" i="182"/>
  <c r="E225" i="182"/>
  <c r="J128" i="182"/>
  <c r="AC128" i="182"/>
  <c r="P133" i="182"/>
  <c r="AG133" i="182"/>
  <c r="E131" i="182"/>
  <c r="E156" i="182"/>
  <c r="E170" i="182"/>
  <c r="E229" i="182"/>
  <c r="E106" i="182"/>
  <c r="E203" i="182"/>
  <c r="P7" i="182"/>
  <c r="AK12" i="182"/>
  <c r="E19" i="182"/>
  <c r="E174" i="182"/>
  <c r="E190" i="182"/>
  <c r="E219" i="182"/>
  <c r="E63" i="182"/>
  <c r="E110" i="182"/>
  <c r="C60" i="182"/>
  <c r="X7" i="182"/>
  <c r="G30" i="182"/>
  <c r="AA30" i="182"/>
  <c r="M88" i="182"/>
  <c r="AE88" i="182"/>
  <c r="S93" i="182"/>
  <c r="AK93" i="182"/>
  <c r="P117" i="182"/>
  <c r="AG117" i="182"/>
  <c r="G128" i="182"/>
  <c r="AA128" i="182"/>
  <c r="M133" i="182"/>
  <c r="AE133" i="182"/>
  <c r="X167" i="182"/>
  <c r="J12" i="182"/>
  <c r="AK88" i="182"/>
  <c r="V117" i="182"/>
  <c r="J7" i="182"/>
  <c r="M12" i="182"/>
  <c r="AE12" i="182"/>
  <c r="P30" i="182"/>
  <c r="G77" i="182"/>
  <c r="AA77" i="182"/>
  <c r="M102" i="182"/>
  <c r="AE102" i="182"/>
  <c r="P128" i="182"/>
  <c r="AG128" i="182"/>
  <c r="J167" i="182"/>
  <c r="AC167" i="182"/>
  <c r="D77" i="182"/>
  <c r="M128" i="182"/>
  <c r="AA167" i="182"/>
  <c r="J77" i="182"/>
  <c r="AC77" i="182"/>
  <c r="P83" i="182"/>
  <c r="AG83" i="182"/>
  <c r="G167" i="182"/>
  <c r="C30" i="182"/>
  <c r="AG7" i="182"/>
  <c r="S12" i="182"/>
  <c r="S102" i="182"/>
  <c r="AK102" i="182"/>
  <c r="AC12" i="182"/>
  <c r="S88" i="182"/>
  <c r="AE128" i="182"/>
  <c r="AQ117" i="182"/>
  <c r="C88" i="182"/>
  <c r="AG60" i="182"/>
  <c r="AA102" i="182"/>
  <c r="AK133" i="182"/>
  <c r="AC7" i="182"/>
  <c r="D30" i="182"/>
  <c r="Y30" i="182"/>
  <c r="S60" i="182"/>
  <c r="AK60" i="182"/>
  <c r="M93" i="182"/>
  <c r="AE93" i="182"/>
  <c r="J102" i="182"/>
  <c r="AC102" i="182"/>
  <c r="M117" i="182"/>
  <c r="AE117" i="182"/>
  <c r="V128" i="182"/>
  <c r="V133" i="182"/>
  <c r="V222" i="182"/>
  <c r="X30" i="182"/>
  <c r="S133" i="182"/>
  <c r="S167" i="182"/>
  <c r="Y133" i="182"/>
  <c r="P77" i="182"/>
  <c r="G102" i="182"/>
  <c r="AC117" i="182"/>
  <c r="M30" i="182"/>
  <c r="AE30" i="182"/>
  <c r="Y77" i="182"/>
  <c r="C133" i="182"/>
  <c r="P60" i="182"/>
  <c r="J117" i="182"/>
  <c r="AK167" i="182"/>
  <c r="X102" i="182"/>
  <c r="AG77" i="182"/>
  <c r="X88" i="182"/>
  <c r="S77" i="182"/>
  <c r="J222" i="182"/>
  <c r="AC222" i="182"/>
  <c r="AC30" i="182"/>
  <c r="Y7" i="182"/>
  <c r="V12" i="182"/>
  <c r="V83" i="182"/>
  <c r="Y93" i="182"/>
  <c r="G7" i="182"/>
  <c r="AA7" i="182"/>
  <c r="X12" i="182"/>
  <c r="X77" i="182"/>
  <c r="X83" i="182"/>
  <c r="D88" i="182"/>
  <c r="Y88" i="182"/>
  <c r="G93" i="182"/>
  <c r="AA93" i="182"/>
  <c r="D102" i="182"/>
  <c r="Y102" i="182"/>
  <c r="X117" i="182"/>
  <c r="D128" i="182"/>
  <c r="Y128" i="182"/>
  <c r="V167" i="182"/>
  <c r="M222" i="182"/>
  <c r="AE222" i="182"/>
  <c r="C117" i="182"/>
  <c r="S83" i="182"/>
  <c r="X93" i="182"/>
  <c r="C93" i="182"/>
  <c r="D93" i="182"/>
  <c r="D12" i="182"/>
  <c r="Y12" i="182"/>
  <c r="G12" i="182"/>
  <c r="AA12" i="182"/>
  <c r="S30" i="182"/>
  <c r="AK30" i="182"/>
  <c r="J60" i="182"/>
  <c r="AC60" i="182"/>
  <c r="Y83" i="182"/>
  <c r="G88" i="182"/>
  <c r="AA88" i="182"/>
  <c r="D167" i="182"/>
  <c r="Y167" i="182"/>
  <c r="P222" i="182"/>
  <c r="AG222" i="182"/>
  <c r="S222" i="182"/>
  <c r="AK222" i="182"/>
  <c r="AK77" i="182"/>
  <c r="D7" i="182"/>
  <c r="C167" i="182"/>
  <c r="G83" i="182"/>
  <c r="AA83" i="182"/>
  <c r="J30" i="182"/>
  <c r="X60" i="182"/>
  <c r="V77" i="182"/>
  <c r="X222" i="182"/>
  <c r="AK83" i="182"/>
  <c r="X128" i="182"/>
  <c r="V7" i="182"/>
  <c r="V88" i="182"/>
  <c r="V102" i="182"/>
  <c r="S117" i="182"/>
  <c r="AK117" i="182"/>
  <c r="D60" i="182"/>
  <c r="Y60" i="182"/>
  <c r="X133" i="182"/>
  <c r="J83" i="182"/>
  <c r="AC83" i="182"/>
  <c r="M83" i="182"/>
  <c r="AE83" i="182"/>
  <c r="C77" i="182"/>
  <c r="C83" i="182"/>
  <c r="C12" i="182"/>
  <c r="C7" i="182"/>
  <c r="H204" i="182" l="1"/>
  <c r="AR20" i="182"/>
  <c r="AD64" i="182"/>
  <c r="AB226" i="182"/>
  <c r="AB230" i="182"/>
  <c r="T226" i="182"/>
  <c r="Z179" i="182"/>
  <c r="K230" i="182"/>
  <c r="AD230" i="182"/>
  <c r="W226" i="182"/>
  <c r="AB179" i="182"/>
  <c r="AB204" i="182"/>
  <c r="AD204" i="182"/>
  <c r="Z204" i="182"/>
  <c r="AV97" i="182"/>
  <c r="AW110" i="182"/>
  <c r="AV112" i="182"/>
  <c r="N230" i="182"/>
  <c r="AY67" i="182"/>
  <c r="AX68" i="182"/>
  <c r="K204" i="182"/>
  <c r="AV64" i="182"/>
  <c r="AW100" i="182"/>
  <c r="AV102" i="182"/>
  <c r="AW126" i="182"/>
  <c r="AW115" i="182"/>
  <c r="AV117" i="182"/>
  <c r="AH204" i="182"/>
  <c r="AW170" i="182"/>
  <c r="AV171" i="182"/>
  <c r="AW23" i="182"/>
  <c r="AW91" i="182"/>
  <c r="AV93" i="182"/>
  <c r="AW174" i="182"/>
  <c r="AV175" i="182"/>
  <c r="E179" i="182"/>
  <c r="AW219" i="182"/>
  <c r="H230" i="182"/>
  <c r="AW20" i="182"/>
  <c r="AW179" i="182"/>
  <c r="AV246" i="182"/>
  <c r="AW5" i="182"/>
  <c r="AW204" i="182"/>
  <c r="AV263" i="182"/>
  <c r="AS64" i="182"/>
  <c r="AT64" i="182"/>
  <c r="AT175" i="182"/>
  <c r="AS175" i="182"/>
  <c r="AS171" i="182"/>
  <c r="AT171" i="182"/>
  <c r="AS102" i="182"/>
  <c r="AT102" i="182"/>
  <c r="AT93" i="182"/>
  <c r="AS93" i="182"/>
  <c r="AR112" i="182"/>
  <c r="AT112" i="182"/>
  <c r="AS112" i="182"/>
  <c r="E230" i="182"/>
  <c r="AV279" i="182"/>
  <c r="AT97" i="182"/>
  <c r="AS97" i="182"/>
  <c r="AF179" i="182"/>
  <c r="AT117" i="182"/>
  <c r="AS117" i="182"/>
  <c r="N204" i="182"/>
  <c r="AR64" i="182"/>
  <c r="AT204" i="182"/>
  <c r="AS204" i="182"/>
  <c r="E204" i="182"/>
  <c r="AT20" i="182"/>
  <c r="AS20" i="182"/>
  <c r="AD117" i="182"/>
  <c r="AF167" i="182"/>
  <c r="AL167" i="182"/>
  <c r="N93" i="182"/>
  <c r="AF222" i="182"/>
  <c r="K60" i="182"/>
  <c r="W7" i="182"/>
  <c r="AL204" i="182"/>
  <c r="AD30" i="182"/>
  <c r="K191" i="182"/>
  <c r="E117" i="182"/>
  <c r="Z133" i="182"/>
  <c r="AB191" i="182"/>
  <c r="Z93" i="182"/>
  <c r="AH191" i="182"/>
  <c r="T191" i="182"/>
  <c r="H117" i="182"/>
  <c r="Z230" i="182"/>
  <c r="W128" i="182"/>
  <c r="AN171" i="182"/>
  <c r="AN112" i="182"/>
  <c r="AF30" i="182"/>
  <c r="K222" i="182"/>
  <c r="Q77" i="182"/>
  <c r="Q102" i="182"/>
  <c r="T102" i="182"/>
  <c r="Z102" i="182"/>
  <c r="AB102" i="182"/>
  <c r="AF20" i="182"/>
  <c r="AR102" i="182"/>
  <c r="Z117" i="182"/>
  <c r="Z128" i="182"/>
  <c r="AD222" i="182"/>
  <c r="AH133" i="182"/>
  <c r="AL40" i="182"/>
  <c r="AF83" i="182"/>
  <c r="AH77" i="182"/>
  <c r="AF117" i="182"/>
  <c r="AD167" i="182"/>
  <c r="AB77" i="182"/>
  <c r="K7" i="182"/>
  <c r="H128" i="182"/>
  <c r="N112" i="182"/>
  <c r="AF191" i="182"/>
  <c r="AF171" i="182"/>
  <c r="Q167" i="182"/>
  <c r="T112" i="182"/>
  <c r="Z60" i="182"/>
  <c r="H83" i="182"/>
  <c r="K175" i="182"/>
  <c r="AL175" i="182"/>
  <c r="Z20" i="182"/>
  <c r="T133" i="182"/>
  <c r="K179" i="182"/>
  <c r="W88" i="182"/>
  <c r="Z30" i="182"/>
  <c r="AH7" i="182"/>
  <c r="AH128" i="182"/>
  <c r="T171" i="182"/>
  <c r="AL97" i="182"/>
  <c r="AH222" i="182"/>
  <c r="Z83" i="182"/>
  <c r="AF128" i="182"/>
  <c r="T128" i="182"/>
  <c r="AL88" i="182"/>
  <c r="AL93" i="182"/>
  <c r="Q64" i="182"/>
  <c r="N83" i="182"/>
  <c r="AL222" i="182"/>
  <c r="AB88" i="182"/>
  <c r="Z12" i="182"/>
  <c r="T83" i="182"/>
  <c r="E102" i="182"/>
  <c r="Z77" i="182"/>
  <c r="AH60" i="182"/>
  <c r="T12" i="182"/>
  <c r="K167" i="182"/>
  <c r="H77" i="182"/>
  <c r="AH117" i="182"/>
  <c r="AL12" i="182"/>
  <c r="AH93" i="182"/>
  <c r="Z64" i="182"/>
  <c r="AD175" i="182"/>
  <c r="AR97" i="182"/>
  <c r="AD171" i="182"/>
  <c r="AF107" i="182"/>
  <c r="AH88" i="182"/>
  <c r="AF60" i="182"/>
  <c r="AB93" i="182"/>
  <c r="AD102" i="182"/>
  <c r="AF77" i="182"/>
  <c r="Z40" i="182"/>
  <c r="AD107" i="182"/>
  <c r="AL183" i="182"/>
  <c r="AR117" i="182"/>
  <c r="AD88" i="182"/>
  <c r="AH12" i="182"/>
  <c r="W191" i="182"/>
  <c r="AL191" i="182"/>
  <c r="AD83" i="182"/>
  <c r="Z167" i="182"/>
  <c r="AF112" i="182"/>
  <c r="AH157" i="182"/>
  <c r="AL157" i="182"/>
  <c r="AB83" i="182"/>
  <c r="AB12" i="182"/>
  <c r="AL102" i="182"/>
  <c r="AL7" i="182"/>
  <c r="N191" i="182"/>
  <c r="Z183" i="182"/>
  <c r="AL179" i="182"/>
  <c r="AF175" i="182"/>
  <c r="AL20" i="182"/>
  <c r="AD7" i="182"/>
  <c r="AH97" i="182"/>
  <c r="Z157" i="182"/>
  <c r="AH102" i="182"/>
  <c r="AF230" i="182"/>
  <c r="Z191" i="182"/>
  <c r="AH107" i="182"/>
  <c r="T93" i="182"/>
  <c r="Z226" i="182"/>
  <c r="AD60" i="182"/>
  <c r="E128" i="182"/>
  <c r="K117" i="182"/>
  <c r="T88" i="182"/>
  <c r="AD77" i="182"/>
  <c r="AF133" i="182"/>
  <c r="AF88" i="182"/>
  <c r="AB222" i="182"/>
  <c r="AB117" i="182"/>
  <c r="AB60" i="182"/>
  <c r="Z222" i="182"/>
  <c r="AF7" i="182"/>
  <c r="W64" i="182"/>
  <c r="Z175" i="182"/>
  <c r="AR171" i="182"/>
  <c r="AH171" i="182"/>
  <c r="AH40" i="182"/>
  <c r="AN20" i="182"/>
  <c r="Z171" i="182"/>
  <c r="AH83" i="182"/>
  <c r="AF64" i="182"/>
  <c r="AH30" i="182"/>
  <c r="AH64" i="182"/>
  <c r="Z88" i="182"/>
  <c r="AF93" i="182"/>
  <c r="AL30" i="182"/>
  <c r="AL117" i="182"/>
  <c r="AL83" i="182"/>
  <c r="K30" i="182"/>
  <c r="T30" i="182"/>
  <c r="W167" i="182"/>
  <c r="AB7" i="182"/>
  <c r="T77" i="182"/>
  <c r="Q60" i="182"/>
  <c r="AL60" i="182"/>
  <c r="AL133" i="182"/>
  <c r="AD12" i="182"/>
  <c r="AF102" i="182"/>
  <c r="AF12" i="182"/>
  <c r="N88" i="182"/>
  <c r="AD128" i="182"/>
  <c r="E222" i="182"/>
  <c r="AD93" i="182"/>
  <c r="H222" i="182"/>
  <c r="Q20" i="182"/>
  <c r="AD157" i="182"/>
  <c r="AR204" i="182"/>
  <c r="AF157" i="182"/>
  <c r="AL226" i="182"/>
  <c r="AF204" i="182"/>
  <c r="AH179" i="182"/>
  <c r="AL64" i="182"/>
  <c r="E30" i="182"/>
  <c r="T117" i="182"/>
  <c r="AL77" i="182"/>
  <c r="AB128" i="182"/>
  <c r="AD133" i="182"/>
  <c r="AR93" i="182"/>
  <c r="Q204" i="182"/>
  <c r="AL171" i="182"/>
  <c r="AH167" i="182"/>
  <c r="K133" i="182"/>
  <c r="AR175" i="182"/>
  <c r="AD191" i="182"/>
  <c r="AL128" i="182"/>
  <c r="AH112" i="182"/>
  <c r="H12" i="182"/>
  <c r="Z7" i="182"/>
  <c r="AB167" i="182"/>
  <c r="AB30" i="182"/>
  <c r="AB133" i="182"/>
  <c r="N20" i="182"/>
  <c r="W171" i="182"/>
  <c r="Z107" i="182"/>
  <c r="Z112" i="182"/>
  <c r="AD20" i="182"/>
  <c r="AD112" i="182"/>
  <c r="AL107" i="182"/>
  <c r="AH20" i="182"/>
  <c r="AH175" i="182"/>
  <c r="AN97" i="182"/>
  <c r="AH230" i="182"/>
  <c r="J114" i="26"/>
  <c r="T222" i="182"/>
  <c r="H30" i="182"/>
  <c r="W175" i="182"/>
  <c r="Q191" i="182"/>
  <c r="T97" i="182"/>
  <c r="Q30" i="182"/>
  <c r="N175" i="182"/>
  <c r="W107" i="182"/>
  <c r="T204" i="182"/>
  <c r="W83" i="182"/>
  <c r="Q175" i="182"/>
  <c r="N222" i="182"/>
  <c r="H102" i="182"/>
  <c r="K77" i="182"/>
  <c r="N133" i="182"/>
  <c r="K93" i="182"/>
  <c r="Q107" i="182"/>
  <c r="W12" i="182"/>
  <c r="N102" i="182"/>
  <c r="Q179" i="182"/>
  <c r="N7" i="182"/>
  <c r="W102" i="182"/>
  <c r="W222" i="182"/>
  <c r="N117" i="182"/>
  <c r="T7" i="182"/>
  <c r="N179" i="182"/>
  <c r="Q88" i="182"/>
  <c r="W204" i="182"/>
  <c r="N167" i="182"/>
  <c r="Q230" i="182"/>
  <c r="K128" i="182"/>
  <c r="W117" i="182"/>
  <c r="Q117" i="182"/>
  <c r="Q7" i="182"/>
  <c r="N77" i="182"/>
  <c r="N226" i="182"/>
  <c r="N60" i="182"/>
  <c r="W157" i="182"/>
  <c r="W112" i="182"/>
  <c r="H93" i="182"/>
  <c r="N30" i="182"/>
  <c r="W133" i="182"/>
  <c r="K102" i="182"/>
  <c r="N128" i="182"/>
  <c r="Q128" i="182"/>
  <c r="H133" i="182"/>
  <c r="Q93" i="182"/>
  <c r="T230" i="182"/>
  <c r="Q40" i="182"/>
  <c r="H88" i="182"/>
  <c r="K83" i="182"/>
  <c r="W77" i="182"/>
  <c r="Q222" i="182"/>
  <c r="H167" i="182"/>
  <c r="Q83" i="182"/>
  <c r="Q97" i="182"/>
  <c r="W60" i="182"/>
  <c r="T175" i="182"/>
  <c r="T107" i="182"/>
  <c r="W97" i="182"/>
  <c r="T167" i="182"/>
  <c r="K88" i="182"/>
  <c r="Q112" i="182"/>
  <c r="W93" i="182"/>
  <c r="K12" i="182"/>
  <c r="Q133" i="182"/>
  <c r="Q12" i="182"/>
  <c r="T157" i="182"/>
  <c r="N183" i="182"/>
  <c r="T179" i="182"/>
  <c r="W179" i="182"/>
  <c r="W20" i="182"/>
  <c r="H7" i="182"/>
  <c r="T60" i="182"/>
  <c r="N12" i="182"/>
  <c r="W30" i="182"/>
  <c r="H60" i="182"/>
  <c r="T20" i="182"/>
  <c r="W230" i="182"/>
  <c r="T64" i="182"/>
  <c r="Q226" i="182"/>
  <c r="E133" i="182"/>
  <c r="E60" i="182"/>
  <c r="E88" i="182"/>
  <c r="E167" i="182"/>
  <c r="E7" i="182"/>
  <c r="E12" i="182"/>
  <c r="E83" i="182"/>
  <c r="E93" i="182"/>
  <c r="E77" i="182"/>
  <c r="AW97" i="182" l="1"/>
  <c r="AX174" i="182"/>
  <c r="AW175" i="182"/>
  <c r="AX91" i="182"/>
  <c r="AW93" i="182"/>
  <c r="AX126" i="182"/>
  <c r="AX110" i="182"/>
  <c r="AW112" i="182"/>
  <c r="AZ67" i="182"/>
  <c r="AZ68" i="182" s="1"/>
  <c r="AY68" i="182"/>
  <c r="AX100" i="182"/>
  <c r="AW102" i="182"/>
  <c r="AX115" i="182"/>
  <c r="AW117" i="182"/>
  <c r="AX23" i="182"/>
  <c r="AW64" i="182"/>
  <c r="AX219" i="182"/>
  <c r="AX170" i="182"/>
  <c r="AW171" i="182"/>
  <c r="AX20" i="182"/>
  <c r="AX204" i="182"/>
  <c r="AW263" i="182"/>
  <c r="AX5" i="182"/>
  <c r="AW279" i="182"/>
  <c r="AX179" i="182"/>
  <c r="AW246" i="182"/>
  <c r="L20" i="181"/>
  <c r="L22" i="181" s="1"/>
  <c r="L25" i="181" s="1"/>
  <c r="L26" i="181" s="1"/>
  <c r="K20" i="181"/>
  <c r="K22" i="181" s="1"/>
  <c r="K25" i="181" s="1"/>
  <c r="K26" i="181" s="1"/>
  <c r="J20" i="181"/>
  <c r="J22" i="181" s="1"/>
  <c r="J25" i="181" s="1"/>
  <c r="J26" i="181" s="1"/>
  <c r="I20" i="181"/>
  <c r="I22" i="181" s="1"/>
  <c r="I25" i="181" s="1"/>
  <c r="I26" i="181" s="1"/>
  <c r="H20" i="181"/>
  <c r="H22" i="181" s="1"/>
  <c r="H25" i="181" s="1"/>
  <c r="H26" i="181" s="1"/>
  <c r="G20" i="181"/>
  <c r="G22" i="181" s="1"/>
  <c r="G25" i="181" s="1"/>
  <c r="G26" i="181" s="1"/>
  <c r="F20" i="181"/>
  <c r="F22" i="181" s="1"/>
  <c r="F25" i="181" s="1"/>
  <c r="F26" i="181" s="1"/>
  <c r="L16" i="181"/>
  <c r="L17" i="181" s="1"/>
  <c r="L18" i="181" s="1"/>
  <c r="K16" i="181"/>
  <c r="K17" i="181" s="1"/>
  <c r="K18" i="181" s="1"/>
  <c r="J16" i="181"/>
  <c r="I16" i="181"/>
  <c r="H16" i="181"/>
  <c r="G16" i="181"/>
  <c r="G17" i="181" s="1"/>
  <c r="G18" i="181" s="1"/>
  <c r="F16" i="181"/>
  <c r="F17" i="181" s="1"/>
  <c r="F18" i="181" s="1"/>
  <c r="L11" i="181"/>
  <c r="K11" i="181"/>
  <c r="J11" i="181"/>
  <c r="I11" i="181"/>
  <c r="H11" i="181"/>
  <c r="G11" i="181"/>
  <c r="F11" i="181"/>
  <c r="E11" i="181"/>
  <c r="C15" i="181"/>
  <c r="D16" i="181"/>
  <c r="C16" i="181"/>
  <c r="D11" i="181"/>
  <c r="C11" i="181"/>
  <c r="C13" i="181" s="1"/>
  <c r="D5" i="181" s="1"/>
  <c r="J17" i="181"/>
  <c r="J18" i="181" s="1"/>
  <c r="I17" i="181"/>
  <c r="I18" i="181" s="1"/>
  <c r="H17" i="181"/>
  <c r="H18" i="181" s="1"/>
  <c r="B17" i="181"/>
  <c r="B18" i="181" s="1"/>
  <c r="B13" i="181"/>
  <c r="AY91" i="182" l="1"/>
  <c r="AX93" i="182"/>
  <c r="AY170" i="182"/>
  <c r="AX171" i="182"/>
  <c r="AX64" i="182"/>
  <c r="AY110" i="182"/>
  <c r="AX112" i="182"/>
  <c r="AY174" i="182"/>
  <c r="AX175" i="182"/>
  <c r="AX97" i="182"/>
  <c r="AY219" i="182"/>
  <c r="AY100" i="182"/>
  <c r="AX102" i="182"/>
  <c r="AY126" i="182"/>
  <c r="AY23" i="182"/>
  <c r="AY115" i="182"/>
  <c r="AX117" i="182"/>
  <c r="AZ20" i="182"/>
  <c r="AY20" i="182"/>
  <c r="AY5" i="182"/>
  <c r="AY179" i="182"/>
  <c r="AX246" i="182"/>
  <c r="AY204" i="182"/>
  <c r="AX263" i="182"/>
  <c r="AX279" i="182"/>
  <c r="D13" i="181"/>
  <c r="C17" i="181"/>
  <c r="C18" i="181" s="1"/>
  <c r="AZ219" i="182" l="1"/>
  <c r="AZ97" i="182"/>
  <c r="AY97" i="182"/>
  <c r="AZ64" i="182"/>
  <c r="AY64" i="182"/>
  <c r="AZ91" i="182"/>
  <c r="AZ93" i="182" s="1"/>
  <c r="AY93" i="182"/>
  <c r="AZ23" i="182"/>
  <c r="AZ174" i="182"/>
  <c r="AZ175" i="182" s="1"/>
  <c r="AY175" i="182"/>
  <c r="AZ115" i="182"/>
  <c r="AZ117" i="182" s="1"/>
  <c r="AY117" i="182"/>
  <c r="AZ126" i="182"/>
  <c r="AZ110" i="182"/>
  <c r="AZ112" i="182" s="1"/>
  <c r="AY112" i="182"/>
  <c r="AZ170" i="182"/>
  <c r="AZ171" i="182" s="1"/>
  <c r="AY171" i="182"/>
  <c r="AZ100" i="182"/>
  <c r="AZ102" i="182" s="1"/>
  <c r="AY102" i="182"/>
  <c r="AY263" i="182"/>
  <c r="AZ279" i="182"/>
  <c r="AY279" i="182"/>
  <c r="AY246" i="182"/>
  <c r="AZ5" i="182"/>
  <c r="E5" i="181"/>
  <c r="E13" i="181" s="1"/>
  <c r="F5" i="181" s="1"/>
  <c r="F13" i="181" s="1"/>
  <c r="G5" i="181" s="1"/>
  <c r="G13" i="181" s="1"/>
  <c r="H5" i="181" s="1"/>
  <c r="H13" i="181" s="1"/>
  <c r="I5" i="181" s="1"/>
  <c r="I13" i="181" s="1"/>
  <c r="J5" i="181" s="1"/>
  <c r="J13" i="181" s="1"/>
  <c r="K5" i="181" s="1"/>
  <c r="K13" i="181" s="1"/>
  <c r="L5" i="181" s="1"/>
  <c r="L13" i="181" s="1"/>
  <c r="AZ263" i="182" l="1"/>
  <c r="AZ204" i="182"/>
  <c r="AZ246" i="182"/>
  <c r="AZ179" i="182"/>
  <c r="R103" i="26"/>
  <c r="F16" i="158" l="1"/>
  <c r="F15" i="158"/>
  <c r="F14" i="158"/>
  <c r="B16" i="158"/>
  <c r="B15" i="158"/>
  <c r="B14" i="158"/>
  <c r="B13" i="158"/>
  <c r="B12" i="158"/>
  <c r="I26" i="133" l="1"/>
  <c r="I27" i="133" s="1"/>
  <c r="H27" i="133"/>
  <c r="H26" i="133"/>
  <c r="H23" i="133"/>
  <c r="H22" i="133"/>
  <c r="I22" i="133" s="1"/>
  <c r="H21" i="133"/>
  <c r="I21" i="133" s="1"/>
  <c r="H20" i="133"/>
  <c r="I20" i="133" s="1"/>
  <c r="H19" i="133"/>
  <c r="I19" i="133" s="1"/>
  <c r="H18" i="133"/>
  <c r="I18" i="133" s="1"/>
  <c r="H17" i="133"/>
  <c r="I17" i="133" s="1"/>
  <c r="H16" i="133"/>
  <c r="I16" i="133" s="1"/>
  <c r="H15" i="133"/>
  <c r="I15" i="133" s="1"/>
  <c r="I14" i="133"/>
  <c r="H14" i="133"/>
  <c r="S10" i="48" l="1"/>
  <c r="Q12" i="17"/>
  <c r="Q12" i="35"/>
  <c r="Q14" i="30"/>
  <c r="O32" i="4"/>
  <c r="O31" i="4"/>
  <c r="O30" i="4"/>
  <c r="O29" i="4"/>
  <c r="O28" i="4"/>
  <c r="O50" i="5"/>
  <c r="O49" i="5"/>
  <c r="O48" i="5"/>
  <c r="O47" i="5"/>
  <c r="O46" i="5"/>
  <c r="O45" i="5"/>
  <c r="O44" i="5"/>
  <c r="O43" i="5"/>
  <c r="O42" i="5"/>
  <c r="O41" i="5"/>
  <c r="O40" i="5"/>
  <c r="O39" i="5"/>
  <c r="O38" i="5"/>
  <c r="P145" i="12"/>
  <c r="O145" i="12"/>
  <c r="P136" i="12"/>
  <c r="O136" i="12"/>
  <c r="O143" i="12"/>
  <c r="O142" i="12"/>
  <c r="O141" i="12"/>
  <c r="O140" i="12"/>
  <c r="O139" i="12"/>
  <c r="O138" i="12"/>
  <c r="O137" i="12"/>
  <c r="O135" i="12"/>
  <c r="O133" i="12"/>
  <c r="O132" i="12"/>
  <c r="O131" i="12"/>
  <c r="O129" i="12"/>
  <c r="O128" i="12"/>
  <c r="O127" i="12"/>
  <c r="O126" i="12"/>
  <c r="O125" i="12"/>
  <c r="O124" i="12"/>
  <c r="O123" i="12"/>
  <c r="O122" i="12"/>
  <c r="O121" i="12"/>
  <c r="O120" i="12"/>
  <c r="O119" i="12"/>
  <c r="O118" i="12"/>
  <c r="O117" i="12"/>
  <c r="O116" i="12"/>
  <c r="O115" i="12"/>
  <c r="O113" i="12"/>
  <c r="O112" i="12"/>
  <c r="O110" i="12"/>
  <c r="O109" i="12"/>
  <c r="O108" i="12"/>
  <c r="O107" i="12"/>
  <c r="O106" i="12"/>
  <c r="O105" i="12"/>
  <c r="O104" i="12"/>
  <c r="O103" i="12"/>
  <c r="O102" i="12"/>
  <c r="O101" i="12"/>
  <c r="O100" i="12"/>
  <c r="O98" i="12"/>
  <c r="O97" i="12"/>
  <c r="O95" i="12"/>
  <c r="O30" i="171"/>
  <c r="O29" i="171"/>
  <c r="O28" i="171"/>
  <c r="O27" i="171"/>
  <c r="Q145" i="12" l="1"/>
  <c r="Q136" i="12"/>
  <c r="R136" i="12" s="1"/>
  <c r="Q47" i="24"/>
  <c r="AK198" i="182" s="1"/>
  <c r="Q16" i="24"/>
  <c r="AK197" i="182" s="1"/>
  <c r="O99" i="24"/>
  <c r="O118" i="24"/>
  <c r="O117" i="24"/>
  <c r="O116" i="24"/>
  <c r="O115" i="24"/>
  <c r="O114" i="24"/>
  <c r="O113" i="24"/>
  <c r="O112" i="24"/>
  <c r="O111" i="24"/>
  <c r="O110" i="24"/>
  <c r="O109" i="24"/>
  <c r="O108" i="24"/>
  <c r="O107" i="24"/>
  <c r="O106" i="24"/>
  <c r="O105" i="24"/>
  <c r="O104" i="24"/>
  <c r="O103" i="24"/>
  <c r="O102" i="24"/>
  <c r="O101" i="24"/>
  <c r="O100" i="24"/>
  <c r="O98" i="24"/>
  <c r="O97" i="24"/>
  <c r="O96" i="24"/>
  <c r="O95" i="24"/>
  <c r="O94" i="24"/>
  <c r="O93" i="24"/>
  <c r="O92" i="24"/>
  <c r="O91" i="24"/>
  <c r="O90" i="24"/>
  <c r="O89" i="24"/>
  <c r="O88" i="24"/>
  <c r="O87" i="24"/>
  <c r="O86" i="24"/>
  <c r="O84" i="24"/>
  <c r="O83" i="24"/>
  <c r="O82" i="24"/>
  <c r="O49" i="93"/>
  <c r="O48" i="93"/>
  <c r="O47" i="93"/>
  <c r="O46" i="93"/>
  <c r="O45" i="93"/>
  <c r="O44" i="93"/>
  <c r="O43" i="93"/>
  <c r="O42" i="93"/>
  <c r="O41" i="93"/>
  <c r="O40" i="93"/>
  <c r="O39" i="93"/>
  <c r="O38" i="93"/>
  <c r="O37" i="93"/>
  <c r="O36" i="93"/>
  <c r="O31" i="54"/>
  <c r="O36" i="53"/>
  <c r="O35" i="53"/>
  <c r="O34" i="53"/>
  <c r="O33" i="53"/>
  <c r="O32" i="53"/>
  <c r="O31" i="53"/>
  <c r="O30" i="53"/>
  <c r="P30" i="52"/>
  <c r="Q30" i="52" s="1"/>
  <c r="O30" i="52"/>
  <c r="R30" i="52" s="1"/>
  <c r="O31" i="52"/>
  <c r="O29" i="52"/>
  <c r="O28" i="52"/>
  <c r="O27" i="52"/>
  <c r="O26" i="52"/>
  <c r="O21" i="50"/>
  <c r="O20" i="50"/>
  <c r="O21" i="135"/>
  <c r="O57" i="49"/>
  <c r="O56" i="49"/>
  <c r="O55" i="49"/>
  <c r="O54" i="49"/>
  <c r="O53" i="49"/>
  <c r="O52" i="49"/>
  <c r="O51" i="49"/>
  <c r="O50" i="49"/>
  <c r="O49" i="49"/>
  <c r="O48" i="49"/>
  <c r="O47" i="49"/>
  <c r="O46" i="49"/>
  <c r="O7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24" i="10"/>
  <c r="O23" i="10"/>
  <c r="O22" i="10"/>
  <c r="O50" i="9"/>
  <c r="O49" i="9"/>
  <c r="O48" i="9"/>
  <c r="O47" i="9"/>
  <c r="O46" i="9"/>
  <c r="O45" i="9"/>
  <c r="O44" i="9"/>
  <c r="O43" i="9"/>
  <c r="O42" i="9"/>
  <c r="O41" i="9"/>
  <c r="O40" i="9"/>
  <c r="O39" i="9"/>
  <c r="O38" i="9"/>
  <c r="O83" i="8"/>
  <c r="O82" i="8"/>
  <c r="O81" i="8"/>
  <c r="O80" i="8"/>
  <c r="O78" i="8"/>
  <c r="O77" i="8"/>
  <c r="O76" i="8"/>
  <c r="O75" i="8"/>
  <c r="O74" i="8"/>
  <c r="O73" i="8"/>
  <c r="O72" i="8"/>
  <c r="O71" i="8"/>
  <c r="O70" i="8"/>
  <c r="O69" i="8"/>
  <c r="O68" i="8"/>
  <c r="O67" i="8"/>
  <c r="O66" i="8"/>
  <c r="O65" i="8"/>
  <c r="O64" i="8"/>
  <c r="O63" i="8"/>
  <c r="O62" i="8"/>
  <c r="O61" i="8"/>
  <c r="O60" i="8"/>
  <c r="O59" i="8"/>
  <c r="O58" i="8"/>
  <c r="P30" i="7"/>
  <c r="Q30" i="7" s="1"/>
  <c r="O30" i="7"/>
  <c r="P29" i="7"/>
  <c r="O29" i="7"/>
  <c r="O28" i="7"/>
  <c r="O25" i="165"/>
  <c r="O23" i="165"/>
  <c r="O22" i="165"/>
  <c r="P45" i="22"/>
  <c r="Q45" i="22" s="1"/>
  <c r="O45" i="22"/>
  <c r="O44" i="22"/>
  <c r="P44" i="22"/>
  <c r="O48" i="22"/>
  <c r="O47" i="22"/>
  <c r="O46" i="22"/>
  <c r="O43" i="22"/>
  <c r="O42" i="22"/>
  <c r="O41" i="22"/>
  <c r="O40" i="22"/>
  <c r="O39" i="22"/>
  <c r="O38" i="22"/>
  <c r="O37" i="22"/>
  <c r="O36" i="22"/>
  <c r="O35" i="22"/>
  <c r="O32" i="18"/>
  <c r="O31" i="18"/>
  <c r="O30" i="18"/>
  <c r="O29" i="18"/>
  <c r="O28" i="18"/>
  <c r="O27" i="18"/>
  <c r="O26" i="18"/>
  <c r="P30" i="23"/>
  <c r="O30" i="23"/>
  <c r="O33" i="23"/>
  <c r="O31" i="23"/>
  <c r="O29" i="23"/>
  <c r="O28" i="23"/>
  <c r="O27" i="23"/>
  <c r="O101" i="17"/>
  <c r="O100" i="17"/>
  <c r="O99" i="17"/>
  <c r="O98" i="17"/>
  <c r="O97" i="17"/>
  <c r="O96" i="17"/>
  <c r="O93" i="17"/>
  <c r="O92" i="17"/>
  <c r="O91" i="17"/>
  <c r="O90" i="17"/>
  <c r="O89" i="17"/>
  <c r="O88" i="17"/>
  <c r="O87" i="17"/>
  <c r="O86" i="17"/>
  <c r="O85" i="17"/>
  <c r="O84" i="17"/>
  <c r="O83" i="17"/>
  <c r="O82" i="17"/>
  <c r="O81" i="17"/>
  <c r="O80" i="17"/>
  <c r="O79" i="17"/>
  <c r="O78" i="17"/>
  <c r="O77" i="17"/>
  <c r="O76" i="17"/>
  <c r="O73" i="17"/>
  <c r="O72" i="17"/>
  <c r="O71" i="17"/>
  <c r="O70" i="17"/>
  <c r="O69" i="17"/>
  <c r="O68" i="17"/>
  <c r="O67" i="17"/>
  <c r="O66" i="17"/>
  <c r="O65" i="17"/>
  <c r="O64" i="17"/>
  <c r="O63" i="17"/>
  <c r="O43" i="56"/>
  <c r="O42" i="56"/>
  <c r="O41" i="56"/>
  <c r="O40" i="56"/>
  <c r="O39" i="56"/>
  <c r="O38" i="56"/>
  <c r="O37" i="56"/>
  <c r="O36" i="56"/>
  <c r="O35" i="56"/>
  <c r="O34" i="56"/>
  <c r="O30" i="86"/>
  <c r="O29" i="86"/>
  <c r="O28" i="86"/>
  <c r="O27" i="86"/>
  <c r="O26" i="86"/>
  <c r="O25" i="86"/>
  <c r="O18" i="48"/>
  <c r="O35" i="47"/>
  <c r="O34" i="47"/>
  <c r="O33" i="47"/>
  <c r="O32" i="47"/>
  <c r="O31" i="47"/>
  <c r="O30" i="47"/>
  <c r="O29" i="47"/>
  <c r="O26" i="46"/>
  <c r="O23" i="46"/>
  <c r="O20" i="45"/>
  <c r="O67" i="44"/>
  <c r="O66" i="44"/>
  <c r="O65" i="44"/>
  <c r="O64" i="44"/>
  <c r="O63" i="44"/>
  <c r="O62" i="44"/>
  <c r="O61" i="44"/>
  <c r="O60" i="44"/>
  <c r="O59" i="44"/>
  <c r="O58" i="44"/>
  <c r="O57" i="44"/>
  <c r="O56" i="44"/>
  <c r="O55" i="44"/>
  <c r="O54" i="44"/>
  <c r="O53" i="44"/>
  <c r="O52" i="44"/>
  <c r="O51" i="44"/>
  <c r="O50" i="44"/>
  <c r="O49" i="44"/>
  <c r="O59" i="60"/>
  <c r="O58" i="60"/>
  <c r="O57" i="60"/>
  <c r="O56" i="60"/>
  <c r="O54" i="60"/>
  <c r="O53" i="60"/>
  <c r="O52" i="60"/>
  <c r="O51" i="60"/>
  <c r="O50" i="60"/>
  <c r="O49" i="60"/>
  <c r="O48" i="60"/>
  <c r="O47" i="60"/>
  <c r="O46" i="60"/>
  <c r="O136" i="43"/>
  <c r="O135" i="43"/>
  <c r="O134" i="43"/>
  <c r="O133" i="43"/>
  <c r="O132" i="43"/>
  <c r="O131" i="43"/>
  <c r="O130" i="43"/>
  <c r="O129" i="43"/>
  <c r="O128" i="43"/>
  <c r="O127" i="43"/>
  <c r="O126" i="43"/>
  <c r="O125" i="43"/>
  <c r="O124" i="43"/>
  <c r="O121" i="43"/>
  <c r="O120" i="43"/>
  <c r="O119" i="43"/>
  <c r="O118" i="43"/>
  <c r="O117" i="43"/>
  <c r="O116" i="43"/>
  <c r="O115" i="43"/>
  <c r="O114" i="43"/>
  <c r="O113" i="43"/>
  <c r="O112" i="43"/>
  <c r="O111" i="43"/>
  <c r="O110" i="43"/>
  <c r="O109" i="43"/>
  <c r="O108" i="43"/>
  <c r="O107" i="43"/>
  <c r="O106" i="43"/>
  <c r="O105" i="43"/>
  <c r="O104" i="43"/>
  <c r="O103" i="43"/>
  <c r="O102" i="43"/>
  <c r="O101" i="43"/>
  <c r="O100" i="43"/>
  <c r="O99" i="43"/>
  <c r="O98" i="43"/>
  <c r="O97" i="43"/>
  <c r="O96" i="43"/>
  <c r="O95" i="43"/>
  <c r="O94" i="43"/>
  <c r="O93" i="43"/>
  <c r="O92" i="43"/>
  <c r="O28" i="139"/>
  <c r="O26" i="139"/>
  <c r="O49" i="87"/>
  <c r="O29" i="41"/>
  <c r="O28" i="41"/>
  <c r="O27" i="41"/>
  <c r="O26" i="41"/>
  <c r="O25" i="41"/>
  <c r="O24" i="41"/>
  <c r="O47" i="40"/>
  <c r="O46" i="40"/>
  <c r="O63" i="40"/>
  <c r="O62" i="40"/>
  <c r="O61" i="40"/>
  <c r="O60" i="40"/>
  <c r="O59" i="40"/>
  <c r="O58" i="40"/>
  <c r="O57" i="40"/>
  <c r="O56" i="40"/>
  <c r="O55" i="40"/>
  <c r="O54" i="40"/>
  <c r="O52" i="40"/>
  <c r="O49" i="40"/>
  <c r="O48" i="40"/>
  <c r="O88" i="38"/>
  <c r="O87" i="38"/>
  <c r="O86" i="38"/>
  <c r="O85" i="38"/>
  <c r="O84" i="38"/>
  <c r="O83" i="38"/>
  <c r="O82" i="38"/>
  <c r="O80" i="38"/>
  <c r="O79" i="38"/>
  <c r="O75" i="38"/>
  <c r="O74" i="38"/>
  <c r="O73" i="38"/>
  <c r="O72" i="38"/>
  <c r="O71" i="38"/>
  <c r="O69" i="38"/>
  <c r="O67" i="38"/>
  <c r="O66" i="38"/>
  <c r="O65" i="38"/>
  <c r="O41" i="77"/>
  <c r="O40" i="77"/>
  <c r="O37" i="77"/>
  <c r="O36" i="77"/>
  <c r="O35" i="77"/>
  <c r="O34" i="77"/>
  <c r="O33" i="77"/>
  <c r="O32" i="77"/>
  <c r="O31" i="77"/>
  <c r="O30" i="77"/>
  <c r="O56" i="149"/>
  <c r="O55" i="149"/>
  <c r="O53" i="149"/>
  <c r="O52" i="149"/>
  <c r="O51" i="149"/>
  <c r="O50" i="149"/>
  <c r="O49" i="149"/>
  <c r="O48" i="149"/>
  <c r="O47" i="149"/>
  <c r="O46" i="149"/>
  <c r="O45" i="149"/>
  <c r="O44" i="149"/>
  <c r="O43" i="149"/>
  <c r="O24" i="36"/>
  <c r="O23" i="36"/>
  <c r="O22" i="36"/>
  <c r="AK261" i="182" l="1"/>
  <c r="AK260" i="182"/>
  <c r="Q29" i="7"/>
  <c r="O107" i="11"/>
  <c r="R45" i="22"/>
  <c r="O75" i="35"/>
  <c r="O74" i="35"/>
  <c r="O73" i="35"/>
  <c r="O72" i="35"/>
  <c r="O71" i="35"/>
  <c r="O70" i="35"/>
  <c r="O69" i="35"/>
  <c r="O68" i="35"/>
  <c r="O66" i="35"/>
  <c r="O65" i="35"/>
  <c r="O63" i="35"/>
  <c r="O61" i="35"/>
  <c r="O60" i="35"/>
  <c r="O59" i="35"/>
  <c r="O58" i="35"/>
  <c r="O57" i="35"/>
  <c r="O55" i="35"/>
  <c r="O81" i="34"/>
  <c r="O80" i="34"/>
  <c r="O79" i="34"/>
  <c r="O78" i="34"/>
  <c r="O77" i="34"/>
  <c r="O76" i="34"/>
  <c r="O75" i="34"/>
  <c r="O74" i="34"/>
  <c r="O73" i="34"/>
  <c r="O71" i="34"/>
  <c r="O70" i="34"/>
  <c r="O69" i="34"/>
  <c r="O68" i="34"/>
  <c r="O67" i="34"/>
  <c r="O66" i="34"/>
  <c r="O65" i="34"/>
  <c r="O64" i="34"/>
  <c r="O63" i="34"/>
  <c r="O62" i="34"/>
  <c r="O60" i="34"/>
  <c r="O59" i="34"/>
  <c r="O58" i="34"/>
  <c r="O57" i="34"/>
  <c r="O54" i="33"/>
  <c r="O53" i="33"/>
  <c r="O52" i="33"/>
  <c r="O51" i="33"/>
  <c r="O50" i="33"/>
  <c r="O49" i="33"/>
  <c r="O48" i="33"/>
  <c r="O47" i="33"/>
  <c r="O46" i="33"/>
  <c r="O45" i="33"/>
  <c r="O44" i="33"/>
  <c r="O42" i="33"/>
  <c r="O39" i="33"/>
  <c r="Q41" i="33"/>
  <c r="R41" i="33" s="1"/>
  <c r="P41" i="33"/>
  <c r="O41" i="33"/>
  <c r="O51" i="30"/>
  <c r="O69" i="30"/>
  <c r="O68" i="30"/>
  <c r="O67" i="30"/>
  <c r="O66" i="30"/>
  <c r="O65" i="30"/>
  <c r="O64" i="30"/>
  <c r="O63" i="30"/>
  <c r="O62" i="30"/>
  <c r="O61" i="30"/>
  <c r="O59" i="30"/>
  <c r="O58" i="30"/>
  <c r="O57" i="30"/>
  <c r="O56" i="30"/>
  <c r="O55" i="30"/>
  <c r="O54" i="30"/>
  <c r="O53" i="30"/>
  <c r="O52" i="30"/>
  <c r="O50" i="30"/>
  <c r="O38" i="29"/>
  <c r="O37" i="29"/>
  <c r="O36" i="29"/>
  <c r="O35" i="29"/>
  <c r="O34" i="29"/>
  <c r="O33" i="29"/>
  <c r="O32" i="29"/>
  <c r="O31" i="29"/>
  <c r="O30" i="29"/>
  <c r="O29" i="29"/>
  <c r="C32" i="136"/>
  <c r="C15" i="136"/>
  <c r="C9" i="173"/>
  <c r="C8" i="173"/>
  <c r="C7" i="173"/>
  <c r="C6" i="173"/>
  <c r="C5" i="173"/>
  <c r="C4" i="173"/>
  <c r="P73" i="15"/>
  <c r="R78" i="12"/>
  <c r="P58" i="38"/>
  <c r="C10" i="173" l="1"/>
  <c r="I23" i="178" l="1"/>
  <c r="I24" i="178"/>
  <c r="R13" i="66"/>
  <c r="R27" i="66" l="1"/>
  <c r="R25" i="66"/>
  <c r="R23" i="66"/>
  <c r="R22" i="66"/>
  <c r="R21" i="66"/>
  <c r="R20" i="66"/>
  <c r="R19" i="66"/>
  <c r="R18" i="66"/>
  <c r="R17" i="66"/>
  <c r="R12" i="66"/>
  <c r="R11" i="66"/>
  <c r="R9" i="66"/>
  <c r="Q29" i="66"/>
  <c r="Q28" i="66"/>
  <c r="Q27" i="66"/>
  <c r="Q26" i="66"/>
  <c r="Q25" i="66"/>
  <c r="Q21" i="66"/>
  <c r="Q20" i="66"/>
  <c r="Q19" i="66"/>
  <c r="Q18" i="66"/>
  <c r="Q17" i="66"/>
  <c r="Q15" i="66"/>
  <c r="Q12" i="66"/>
  <c r="Q11" i="66"/>
  <c r="Q9" i="66"/>
  <c r="R39" i="49"/>
  <c r="P39" i="49"/>
  <c r="U21" i="172"/>
  <c r="T21" i="172"/>
  <c r="Q115" i="66"/>
  <c r="M144" i="129"/>
  <c r="K144" i="129"/>
  <c r="S13" i="12"/>
  <c r="S14" i="24"/>
  <c r="P63" i="24"/>
  <c r="P62" i="24"/>
  <c r="R38" i="49"/>
  <c r="P68" i="11"/>
  <c r="R68" i="11" s="1"/>
  <c r="D109" i="137" s="1"/>
  <c r="P67" i="11"/>
  <c r="P66" i="11"/>
  <c r="P65" i="11"/>
  <c r="P64" i="11"/>
  <c r="P63" i="11"/>
  <c r="P62" i="11"/>
  <c r="P61" i="11"/>
  <c r="P60" i="11"/>
  <c r="P59" i="11"/>
  <c r="P58" i="11"/>
  <c r="P56" i="11"/>
  <c r="R55" i="11"/>
  <c r="P32" i="9"/>
  <c r="P50" i="8"/>
  <c r="R49" i="8"/>
  <c r="S12" i="17"/>
  <c r="P90" i="15"/>
  <c r="P88" i="15"/>
  <c r="P85" i="15"/>
  <c r="P84" i="15"/>
  <c r="P82" i="15"/>
  <c r="P80" i="15"/>
  <c r="P79" i="15"/>
  <c r="P78" i="15"/>
  <c r="P76" i="15"/>
  <c r="P75" i="15"/>
  <c r="L20" i="141"/>
  <c r="K20" i="141"/>
  <c r="J20" i="141"/>
  <c r="I20" i="141"/>
  <c r="H20" i="141"/>
  <c r="G20" i="141"/>
  <c r="F20" i="141"/>
  <c r="E20" i="141"/>
  <c r="D20" i="141"/>
  <c r="L19" i="141"/>
  <c r="K19" i="141"/>
  <c r="J19" i="141"/>
  <c r="I19" i="141"/>
  <c r="P72" i="15" s="1"/>
  <c r="H19" i="141"/>
  <c r="G19" i="141"/>
  <c r="F19" i="141"/>
  <c r="E19" i="141"/>
  <c r="D19" i="141"/>
  <c r="L18" i="141"/>
  <c r="K18" i="141"/>
  <c r="J18" i="141"/>
  <c r="I18" i="141"/>
  <c r="H18" i="141"/>
  <c r="G18" i="141"/>
  <c r="F18" i="141"/>
  <c r="E18" i="141"/>
  <c r="D18" i="141"/>
  <c r="C20" i="141"/>
  <c r="C19" i="141"/>
  <c r="C18" i="141"/>
  <c r="P71" i="15"/>
  <c r="R70" i="15"/>
  <c r="P43" i="44"/>
  <c r="R42" i="44"/>
  <c r="S13" i="60"/>
  <c r="P41" i="60"/>
  <c r="P40" i="60"/>
  <c r="P39" i="60"/>
  <c r="P38" i="60"/>
  <c r="P37" i="60"/>
  <c r="P36" i="60"/>
  <c r="S17" i="43"/>
  <c r="P86" i="43"/>
  <c r="P85" i="43"/>
  <c r="P84" i="43"/>
  <c r="P83" i="43"/>
  <c r="P82" i="43"/>
  <c r="P81" i="43"/>
  <c r="P80" i="43"/>
  <c r="P79" i="43"/>
  <c r="P78" i="43"/>
  <c r="P77" i="43"/>
  <c r="P76" i="43"/>
  <c r="P75" i="43"/>
  <c r="P74" i="43"/>
  <c r="P73" i="43"/>
  <c r="P72" i="43"/>
  <c r="P71" i="43"/>
  <c r="P70" i="43"/>
  <c r="P69" i="43"/>
  <c r="K119" i="129" l="1"/>
  <c r="P39" i="40" l="1"/>
  <c r="R38" i="40"/>
  <c r="V60" i="38"/>
  <c r="P59" i="38"/>
  <c r="R54" i="38"/>
  <c r="V47" i="35"/>
  <c r="P45" i="35"/>
  <c r="R42" i="35"/>
  <c r="P49" i="34"/>
  <c r="R48" i="34"/>
  <c r="R34" i="33"/>
  <c r="P45" i="30" l="1"/>
  <c r="P44" i="30"/>
  <c r="E29" i="112"/>
  <c r="E28" i="112"/>
  <c r="E27" i="112"/>
  <c r="E26" i="112"/>
  <c r="U61" i="51"/>
  <c r="T61" i="51"/>
  <c r="U31" i="51"/>
  <c r="T31" i="51"/>
  <c r="T147" i="66"/>
  <c r="S147" i="66"/>
  <c r="L11" i="141" l="1"/>
  <c r="K11" i="141"/>
  <c r="J11" i="141"/>
  <c r="I11" i="141"/>
  <c r="H11" i="141"/>
  <c r="G11" i="141"/>
  <c r="L14" i="141"/>
  <c r="K14" i="141"/>
  <c r="J14" i="141"/>
  <c r="I14" i="141"/>
  <c r="H14" i="141"/>
  <c r="G14" i="141"/>
  <c r="F14" i="141"/>
  <c r="E14" i="141"/>
  <c r="D14" i="141"/>
  <c r="C14" i="141"/>
  <c r="L13" i="141"/>
  <c r="K13" i="141"/>
  <c r="J13" i="141"/>
  <c r="I13" i="141"/>
  <c r="H13" i="141"/>
  <c r="G13" i="141"/>
  <c r="F13" i="141"/>
  <c r="E13" i="141"/>
  <c r="D13" i="141"/>
  <c r="C13" i="141"/>
  <c r="L12" i="141"/>
  <c r="K12" i="141"/>
  <c r="J12" i="141"/>
  <c r="I12" i="141"/>
  <c r="H12" i="141"/>
  <c r="G12" i="141"/>
  <c r="F12" i="141"/>
  <c r="E12" i="141"/>
  <c r="D12" i="141"/>
  <c r="C12" i="141"/>
  <c r="L10" i="141"/>
  <c r="K10" i="141"/>
  <c r="J10" i="141"/>
  <c r="I10" i="141"/>
  <c r="H10" i="141"/>
  <c r="G10" i="141"/>
  <c r="F10" i="141"/>
  <c r="E10" i="141"/>
  <c r="D10" i="141"/>
  <c r="C10" i="141"/>
  <c r="L9" i="141"/>
  <c r="K9" i="141"/>
  <c r="J9" i="141"/>
  <c r="I9" i="141"/>
  <c r="H9" i="141"/>
  <c r="G9" i="141"/>
  <c r="F9" i="141"/>
  <c r="E9" i="141"/>
  <c r="D9" i="141"/>
  <c r="C9" i="141"/>
  <c r="L8" i="141"/>
  <c r="K8" i="141"/>
  <c r="J8" i="141"/>
  <c r="I8" i="141"/>
  <c r="H8" i="141"/>
  <c r="G8" i="141"/>
  <c r="F8" i="141"/>
  <c r="E8" i="141"/>
  <c r="D8" i="141"/>
  <c r="C8" i="141"/>
  <c r="L7" i="141"/>
  <c r="K7" i="141"/>
  <c r="J7" i="141"/>
  <c r="I7" i="141"/>
  <c r="H7" i="141"/>
  <c r="G7" i="141"/>
  <c r="F7" i="141"/>
  <c r="E7" i="141"/>
  <c r="D7" i="141"/>
  <c r="C7" i="141"/>
  <c r="L6" i="141"/>
  <c r="K6" i="141"/>
  <c r="J6" i="141"/>
  <c r="I6" i="141"/>
  <c r="H6" i="141"/>
  <c r="G6" i="141"/>
  <c r="F6" i="141"/>
  <c r="E6" i="141"/>
  <c r="D6" i="141"/>
  <c r="C6" i="141"/>
  <c r="L5" i="141"/>
  <c r="K5" i="141"/>
  <c r="J5" i="141"/>
  <c r="I5" i="141"/>
  <c r="H5" i="141"/>
  <c r="G5" i="141"/>
  <c r="F5" i="141"/>
  <c r="E5" i="141"/>
  <c r="D5" i="141"/>
  <c r="C5" i="141"/>
  <c r="L4" i="141"/>
  <c r="K4" i="141"/>
  <c r="J4" i="141"/>
  <c r="I4" i="141"/>
  <c r="H4" i="141"/>
  <c r="G4" i="141"/>
  <c r="F4" i="141"/>
  <c r="E4" i="141"/>
  <c r="D4" i="141"/>
  <c r="C4" i="141"/>
  <c r="L9" i="161"/>
  <c r="L10" i="161"/>
  <c r="L8" i="161"/>
  <c r="L7" i="161"/>
  <c r="L6" i="161"/>
  <c r="K10" i="161"/>
  <c r="J10" i="161"/>
  <c r="I10" i="161"/>
  <c r="H10" i="161"/>
  <c r="G10" i="161"/>
  <c r="F10" i="161"/>
  <c r="E10" i="161"/>
  <c r="D10" i="161"/>
  <c r="C10" i="161"/>
  <c r="B10" i="161"/>
  <c r="K9" i="161"/>
  <c r="J9" i="161"/>
  <c r="I9" i="161"/>
  <c r="H9" i="161"/>
  <c r="G9" i="161"/>
  <c r="F9" i="161"/>
  <c r="E9" i="161"/>
  <c r="D9" i="161"/>
  <c r="C9" i="161"/>
  <c r="B9" i="161"/>
  <c r="K8" i="161"/>
  <c r="J8" i="161"/>
  <c r="I8" i="161"/>
  <c r="H8" i="161"/>
  <c r="G8" i="161"/>
  <c r="F8" i="161"/>
  <c r="E8" i="161"/>
  <c r="D8" i="161"/>
  <c r="C8" i="161"/>
  <c r="B8" i="161"/>
  <c r="K7" i="161"/>
  <c r="J7" i="161"/>
  <c r="I7" i="161"/>
  <c r="H7" i="161"/>
  <c r="G7" i="161"/>
  <c r="F7" i="161"/>
  <c r="E7" i="161"/>
  <c r="D7" i="161"/>
  <c r="C7" i="161"/>
  <c r="B7" i="161"/>
  <c r="K6" i="161"/>
  <c r="J6" i="161"/>
  <c r="I6" i="161"/>
  <c r="H6" i="161"/>
  <c r="G6" i="161"/>
  <c r="F6" i="161"/>
  <c r="E6" i="161"/>
  <c r="D6" i="161"/>
  <c r="C6" i="161"/>
  <c r="B6" i="161"/>
  <c r="I10" i="138"/>
  <c r="H10" i="138"/>
  <c r="G10" i="138"/>
  <c r="F10" i="138"/>
  <c r="I9" i="138"/>
  <c r="H9" i="138"/>
  <c r="G9" i="138"/>
  <c r="F9" i="138"/>
  <c r="I7" i="138"/>
  <c r="H7" i="138"/>
  <c r="G7" i="138"/>
  <c r="F7" i="138"/>
  <c r="E7" i="138"/>
  <c r="D7" i="138"/>
  <c r="C7" i="138"/>
  <c r="B7" i="138"/>
  <c r="I6" i="138"/>
  <c r="H6" i="138"/>
  <c r="G6" i="138"/>
  <c r="F6" i="138"/>
  <c r="E6" i="138"/>
  <c r="D6" i="138"/>
  <c r="C6" i="138"/>
  <c r="B6" i="138"/>
  <c r="P9" i="12"/>
  <c r="P9" i="52"/>
  <c r="P39" i="8"/>
  <c r="AG147" i="182" s="1"/>
  <c r="P29" i="15"/>
  <c r="P58" i="15"/>
  <c r="AG122" i="182" s="1"/>
  <c r="O58" i="15"/>
  <c r="AE122" i="182" s="1"/>
  <c r="P26" i="56"/>
  <c r="O26" i="56"/>
  <c r="O11" i="43"/>
  <c r="O14" i="43"/>
  <c r="P17" i="180"/>
  <c r="P14" i="180"/>
  <c r="P10" i="180"/>
  <c r="K47" i="143"/>
  <c r="K46" i="143"/>
  <c r="K45" i="143"/>
  <c r="K42" i="143"/>
  <c r="K39" i="143"/>
  <c r="H24" i="2"/>
  <c r="H27" i="2" s="1"/>
  <c r="H29" i="2" s="1"/>
  <c r="C69" i="143"/>
  <c r="R12" i="33"/>
  <c r="AM23" i="182" s="1"/>
  <c r="Q12" i="33"/>
  <c r="P12" i="33"/>
  <c r="N12" i="33"/>
  <c r="M12" i="33"/>
  <c r="K48" i="143" l="1"/>
  <c r="AN23" i="182"/>
  <c r="D32" i="133"/>
  <c r="P105" i="26"/>
  <c r="P93" i="26"/>
  <c r="P83" i="26"/>
  <c r="P69" i="26"/>
  <c r="Q23" i="66" s="1"/>
  <c r="P66" i="26"/>
  <c r="P52" i="26"/>
  <c r="P58" i="26" s="1"/>
  <c r="Q8" i="66" s="1"/>
  <c r="P27" i="26"/>
  <c r="P28" i="26" s="1"/>
  <c r="P31" i="26" s="1"/>
  <c r="Q7" i="66" l="1"/>
  <c r="P78" i="26"/>
  <c r="Q22" i="66"/>
  <c r="P106" i="26"/>
  <c r="P108" i="26"/>
  <c r="P111" i="26" l="1"/>
  <c r="P109" i="26"/>
  <c r="P112" i="26" s="1"/>
  <c r="P114" i="26" l="1"/>
  <c r="G21" i="2" l="1"/>
  <c r="G17" i="2"/>
  <c r="G19" i="2"/>
  <c r="G18" i="2"/>
  <c r="G16" i="2"/>
  <c r="G12" i="2"/>
  <c r="G11" i="2"/>
  <c r="G8" i="2"/>
  <c r="G7" i="2"/>
  <c r="G14" i="2"/>
  <c r="G9" i="2"/>
  <c r="P271" i="66"/>
  <c r="Q131" i="66"/>
  <c r="Q130" i="66"/>
  <c r="Q132" i="66" s="1"/>
  <c r="Q124" i="66"/>
  <c r="K145" i="129" s="1"/>
  <c r="Q117" i="66"/>
  <c r="K120" i="129" s="1"/>
  <c r="Q106" i="66"/>
  <c r="K87" i="129" s="1"/>
  <c r="P106" i="66"/>
  <c r="Q99" i="66"/>
  <c r="K74" i="129" s="1"/>
  <c r="Q94" i="66"/>
  <c r="K70" i="129" s="1"/>
  <c r="Q93" i="66"/>
  <c r="K69" i="129" s="1"/>
  <c r="P93" i="66"/>
  <c r="Q92" i="66"/>
  <c r="K68" i="129" s="1"/>
  <c r="Q86" i="66"/>
  <c r="K63" i="129" s="1"/>
  <c r="Q68" i="66"/>
  <c r="K41" i="129" s="1"/>
  <c r="Q67" i="66"/>
  <c r="K40" i="129" s="1"/>
  <c r="P67" i="66"/>
  <c r="Q66" i="66"/>
  <c r="P66" i="66"/>
  <c r="Q65" i="66"/>
  <c r="K39" i="129" s="1"/>
  <c r="Q64" i="66"/>
  <c r="K38" i="129" s="1"/>
  <c r="Q63" i="66"/>
  <c r="K37" i="129" s="1"/>
  <c r="Q62" i="66"/>
  <c r="K36" i="129" s="1"/>
  <c r="Q60" i="66"/>
  <c r="K27" i="129" s="1"/>
  <c r="Q59" i="66"/>
  <c r="K26" i="129" s="1"/>
  <c r="Q54" i="66"/>
  <c r="K22" i="129" s="1"/>
  <c r="Q52" i="66"/>
  <c r="K20" i="129" s="1"/>
  <c r="Q47" i="66"/>
  <c r="K15" i="129" s="1"/>
  <c r="Q45" i="66"/>
  <c r="P45" i="66"/>
  <c r="Q44" i="66"/>
  <c r="K13" i="129" s="1"/>
  <c r="Q42" i="66"/>
  <c r="K11" i="129" s="1"/>
  <c r="Q39" i="66"/>
  <c r="K8" i="129" s="1"/>
  <c r="P15" i="4"/>
  <c r="P18" i="4" s="1"/>
  <c r="P118" i="66" s="1"/>
  <c r="U29" i="6"/>
  <c r="T29" i="6"/>
  <c r="S29" i="6"/>
  <c r="T59" i="6"/>
  <c r="T56" i="6"/>
  <c r="S59" i="6"/>
  <c r="S54" i="6"/>
  <c r="S53" i="6"/>
  <c r="S52" i="6"/>
  <c r="S51" i="6"/>
  <c r="S50" i="6"/>
  <c r="S49" i="6"/>
  <c r="S48" i="6"/>
  <c r="S47" i="6"/>
  <c r="S46" i="6"/>
  <c r="S45" i="6"/>
  <c r="S44" i="6"/>
  <c r="S43" i="6"/>
  <c r="S42" i="6"/>
  <c r="S41" i="6"/>
  <c r="S39" i="6"/>
  <c r="S38" i="6"/>
  <c r="S37" i="6"/>
  <c r="S36" i="6"/>
  <c r="S35" i="6"/>
  <c r="S34" i="6"/>
  <c r="S33" i="6"/>
  <c r="S32" i="6"/>
  <c r="S56" i="6" s="1"/>
  <c r="S27" i="6"/>
  <c r="S26" i="6"/>
  <c r="S25" i="6"/>
  <c r="S24" i="6"/>
  <c r="S23" i="6"/>
  <c r="S22" i="6"/>
  <c r="S21" i="6"/>
  <c r="S20" i="6"/>
  <c r="S19" i="6"/>
  <c r="S18" i="6"/>
  <c r="S17" i="6"/>
  <c r="S16" i="6"/>
  <c r="S15" i="6"/>
  <c r="S14" i="6"/>
  <c r="S13" i="6"/>
  <c r="S12" i="6"/>
  <c r="Q59" i="6"/>
  <c r="Q61" i="6" s="1"/>
  <c r="P59" i="6"/>
  <c r="Q56" i="6"/>
  <c r="P56" i="6"/>
  <c r="Q29" i="6"/>
  <c r="P29" i="6"/>
  <c r="P27" i="5"/>
  <c r="O27" i="5"/>
  <c r="P24" i="5"/>
  <c r="P12" i="5"/>
  <c r="Q27" i="5"/>
  <c r="Q24" i="5"/>
  <c r="Q10" i="5"/>
  <c r="Q12" i="5" s="1"/>
  <c r="Q9" i="5"/>
  <c r="P16" i="12"/>
  <c r="AG213" i="182" s="1"/>
  <c r="P64" i="12"/>
  <c r="AG214" i="182" s="1"/>
  <c r="Q53" i="12"/>
  <c r="O134" i="12" s="1"/>
  <c r="Q49" i="12"/>
  <c r="O130" i="12" s="1"/>
  <c r="Q40" i="12"/>
  <c r="Q39" i="12"/>
  <c r="Q38" i="12"/>
  <c r="Q16" i="12"/>
  <c r="P14" i="171"/>
  <c r="P17" i="171" s="1"/>
  <c r="Q13" i="171"/>
  <c r="U18" i="172"/>
  <c r="T18" i="172"/>
  <c r="U12" i="172"/>
  <c r="T12" i="172"/>
  <c r="S21" i="172"/>
  <c r="S16" i="172"/>
  <c r="S15" i="172"/>
  <c r="S18" i="172" s="1"/>
  <c r="S10" i="172"/>
  <c r="S9" i="172"/>
  <c r="S12" i="172" s="1"/>
  <c r="P18" i="172"/>
  <c r="P12" i="172"/>
  <c r="Q18" i="172"/>
  <c r="Q12" i="172"/>
  <c r="P16" i="24"/>
  <c r="AG197" i="182" s="1"/>
  <c r="P47" i="24"/>
  <c r="AG198" i="182" s="1"/>
  <c r="Q51" i="24"/>
  <c r="AK199" i="182" s="1"/>
  <c r="P26" i="93"/>
  <c r="P20" i="93"/>
  <c r="Q26" i="93"/>
  <c r="Q20" i="93"/>
  <c r="P21" i="54"/>
  <c r="P23" i="54" s="1"/>
  <c r="Q21" i="54"/>
  <c r="Q23" i="54" s="1"/>
  <c r="P18" i="53"/>
  <c r="P20" i="53" s="1"/>
  <c r="Q18" i="53"/>
  <c r="Q20" i="53" s="1"/>
  <c r="AK186" i="182" s="1"/>
  <c r="P16" i="52"/>
  <c r="P102" i="66" s="1"/>
  <c r="Q16" i="52"/>
  <c r="Q102" i="66" s="1"/>
  <c r="K77" i="129" s="1"/>
  <c r="S31" i="51"/>
  <c r="S59" i="51"/>
  <c r="S61" i="51" s="1"/>
  <c r="S54" i="51"/>
  <c r="S53" i="51"/>
  <c r="S52" i="51"/>
  <c r="S51" i="51"/>
  <c r="S50" i="51"/>
  <c r="S49" i="51"/>
  <c r="S48" i="51"/>
  <c r="S47" i="51"/>
  <c r="S46" i="51"/>
  <c r="S45" i="51"/>
  <c r="S43" i="51"/>
  <c r="S42" i="51"/>
  <c r="S41" i="51"/>
  <c r="S39" i="51"/>
  <c r="S38" i="51"/>
  <c r="S37" i="51"/>
  <c r="S56" i="51" s="1"/>
  <c r="S36" i="51"/>
  <c r="S35" i="51"/>
  <c r="S34" i="51"/>
  <c r="S29" i="51"/>
  <c r="S28" i="51"/>
  <c r="S27" i="51"/>
  <c r="S26" i="51"/>
  <c r="S25" i="51"/>
  <c r="S24" i="51"/>
  <c r="S23" i="51"/>
  <c r="S22" i="51"/>
  <c r="S21" i="51"/>
  <c r="S20" i="51"/>
  <c r="S18" i="51"/>
  <c r="S17" i="51"/>
  <c r="S16" i="51"/>
  <c r="S15" i="51"/>
  <c r="S14" i="51"/>
  <c r="S13" i="51"/>
  <c r="S12" i="51"/>
  <c r="S11" i="51"/>
  <c r="Q61" i="51"/>
  <c r="Q64" i="51" s="1"/>
  <c r="P61" i="51"/>
  <c r="Q56" i="51"/>
  <c r="P56" i="51"/>
  <c r="Q31" i="51"/>
  <c r="P31" i="51"/>
  <c r="P11" i="50"/>
  <c r="P14" i="50" s="1"/>
  <c r="P94" i="66" s="1"/>
  <c r="Q11" i="50"/>
  <c r="Q14" i="50" s="1"/>
  <c r="P12" i="135"/>
  <c r="P15" i="135" s="1"/>
  <c r="Q12" i="135"/>
  <c r="Q15" i="135" s="1"/>
  <c r="P27" i="49"/>
  <c r="P13" i="49"/>
  <c r="Q27" i="49"/>
  <c r="Q13" i="49"/>
  <c r="P44" i="11"/>
  <c r="P41" i="11"/>
  <c r="AG161" i="182" s="1"/>
  <c r="P16" i="11"/>
  <c r="AG160" i="182" s="1"/>
  <c r="Q44" i="11"/>
  <c r="Q41" i="11"/>
  <c r="AK161" i="182" s="1"/>
  <c r="Q16" i="11"/>
  <c r="AK160" i="182" s="1"/>
  <c r="P12" i="10"/>
  <c r="P15" i="10" s="1"/>
  <c r="P86" i="66" s="1"/>
  <c r="Q12" i="10"/>
  <c r="Q15" i="10" s="1"/>
  <c r="P24" i="9"/>
  <c r="AG152" i="182" s="1"/>
  <c r="P11" i="9"/>
  <c r="Q24" i="9"/>
  <c r="Q11" i="9"/>
  <c r="P21" i="8"/>
  <c r="AG146" i="182" s="1"/>
  <c r="Q39" i="8"/>
  <c r="AK147" i="182" s="1"/>
  <c r="Q21" i="8"/>
  <c r="AK146" i="182" s="1"/>
  <c r="P20" i="7"/>
  <c r="AG142" i="182" s="1"/>
  <c r="P17" i="7"/>
  <c r="AG141" i="182" s="1"/>
  <c r="Q20" i="7"/>
  <c r="AK142" i="182" s="1"/>
  <c r="Q17" i="7"/>
  <c r="AK141" i="182" s="1"/>
  <c r="P13" i="165"/>
  <c r="Q13" i="165"/>
  <c r="P25" i="22"/>
  <c r="P27" i="22" s="1"/>
  <c r="P76" i="66" s="1"/>
  <c r="P13" i="22"/>
  <c r="Q25" i="22"/>
  <c r="Q13" i="22"/>
  <c r="P18" i="18"/>
  <c r="P12" i="18"/>
  <c r="Q18" i="18"/>
  <c r="Q20" i="18" s="1"/>
  <c r="Q75" i="66" s="1"/>
  <c r="K47" i="129" s="1"/>
  <c r="Q12" i="18"/>
  <c r="P19" i="23"/>
  <c r="P13" i="23"/>
  <c r="Q19" i="23"/>
  <c r="Q13" i="23"/>
  <c r="P16" i="17"/>
  <c r="P9" i="15"/>
  <c r="Q53" i="17"/>
  <c r="Q58" i="15" s="1"/>
  <c r="Q50" i="17"/>
  <c r="Q16" i="17"/>
  <c r="P22" i="56"/>
  <c r="P12" i="56"/>
  <c r="Q22" i="56"/>
  <c r="Q12" i="56"/>
  <c r="P59" i="15"/>
  <c r="P74" i="66" s="1"/>
  <c r="P54" i="15"/>
  <c r="P53" i="15"/>
  <c r="P52" i="15"/>
  <c r="P51" i="15"/>
  <c r="P50" i="15"/>
  <c r="P49" i="15"/>
  <c r="P48" i="15"/>
  <c r="P47" i="15"/>
  <c r="P46" i="15"/>
  <c r="P45" i="15"/>
  <c r="P44" i="15"/>
  <c r="P43" i="15"/>
  <c r="P42" i="15"/>
  <c r="P41" i="15"/>
  <c r="P39" i="15"/>
  <c r="P38" i="15"/>
  <c r="P37" i="15"/>
  <c r="P36" i="15"/>
  <c r="P35" i="15"/>
  <c r="P34" i="15"/>
  <c r="P33" i="15"/>
  <c r="P32" i="15"/>
  <c r="P31" i="15"/>
  <c r="P30" i="15"/>
  <c r="P28" i="15"/>
  <c r="P27" i="15"/>
  <c r="P26" i="15"/>
  <c r="P25" i="15"/>
  <c r="P24" i="15"/>
  <c r="P23" i="15"/>
  <c r="P22" i="15"/>
  <c r="P21" i="15"/>
  <c r="P20" i="15"/>
  <c r="P19" i="15"/>
  <c r="P16" i="15"/>
  <c r="P15" i="15"/>
  <c r="P14" i="15"/>
  <c r="P13" i="15"/>
  <c r="P12" i="15"/>
  <c r="P11" i="15"/>
  <c r="P10" i="15"/>
  <c r="Q54" i="15"/>
  <c r="Q53" i="15"/>
  <c r="Q52" i="15"/>
  <c r="Q51" i="15"/>
  <c r="Q50" i="15"/>
  <c r="Q49" i="15"/>
  <c r="Q48" i="15"/>
  <c r="Q47" i="15"/>
  <c r="Q46" i="15"/>
  <c r="Q45" i="15"/>
  <c r="Q44" i="15"/>
  <c r="Q43" i="15"/>
  <c r="Q42" i="15"/>
  <c r="Q41" i="15"/>
  <c r="Q39" i="15"/>
  <c r="Q38" i="15"/>
  <c r="Q37" i="15"/>
  <c r="Q36" i="15"/>
  <c r="Q35" i="15"/>
  <c r="Q34" i="15"/>
  <c r="Q33" i="15"/>
  <c r="Q32" i="15"/>
  <c r="Q31" i="15"/>
  <c r="Q30" i="15"/>
  <c r="Q29" i="15"/>
  <c r="Q28" i="15"/>
  <c r="Q27" i="15"/>
  <c r="Q26" i="15"/>
  <c r="Q25" i="15"/>
  <c r="Q24" i="15"/>
  <c r="Q23" i="15"/>
  <c r="Q22" i="15"/>
  <c r="Q21" i="15"/>
  <c r="Q20" i="15"/>
  <c r="Q19" i="15"/>
  <c r="Q16" i="15"/>
  <c r="Q15" i="15"/>
  <c r="Q14" i="15"/>
  <c r="Q13" i="15"/>
  <c r="Q12" i="15"/>
  <c r="Q11" i="15"/>
  <c r="P14" i="13"/>
  <c r="P19" i="13" s="1"/>
  <c r="P11" i="13"/>
  <c r="P130" i="66" s="1"/>
  <c r="Q14" i="13"/>
  <c r="Q9" i="13"/>
  <c r="Q11" i="13" s="1"/>
  <c r="P17" i="86"/>
  <c r="P10" i="86"/>
  <c r="Q17" i="86"/>
  <c r="Q19" i="86" s="1"/>
  <c r="Q10" i="86"/>
  <c r="P12" i="48"/>
  <c r="Q10" i="48"/>
  <c r="Q12" i="48" s="1"/>
  <c r="P10" i="48"/>
  <c r="P19" i="47"/>
  <c r="P16" i="47"/>
  <c r="P65" i="66" s="1"/>
  <c r="Q19" i="47"/>
  <c r="Q21" i="47" s="1"/>
  <c r="Q16" i="47"/>
  <c r="P14" i="46"/>
  <c r="P10" i="46"/>
  <c r="Q14" i="46"/>
  <c r="Q16" i="46" s="1"/>
  <c r="Q10" i="46"/>
  <c r="Q10" i="45"/>
  <c r="Q12" i="45" s="1"/>
  <c r="P10" i="45"/>
  <c r="P12" i="45" s="1"/>
  <c r="P63" i="66" s="1"/>
  <c r="P33" i="44"/>
  <c r="P20" i="44"/>
  <c r="Q33" i="44"/>
  <c r="Q20" i="44"/>
  <c r="P24" i="60"/>
  <c r="P19" i="60"/>
  <c r="Q24" i="60"/>
  <c r="Q11" i="60"/>
  <c r="Q19" i="60"/>
  <c r="P57" i="43"/>
  <c r="P60" i="66" s="1"/>
  <c r="P54" i="43"/>
  <c r="O54" i="43"/>
  <c r="O57" i="43"/>
  <c r="P28" i="43"/>
  <c r="Q57" i="43"/>
  <c r="Q54" i="43"/>
  <c r="Q16" i="43"/>
  <c r="Q28" i="43"/>
  <c r="P14" i="139"/>
  <c r="P10" i="139"/>
  <c r="Q14" i="139"/>
  <c r="Q17" i="139" s="1"/>
  <c r="Q10" i="139"/>
  <c r="P39" i="87"/>
  <c r="Q39" i="87"/>
  <c r="P15" i="41"/>
  <c r="P18" i="41" s="1"/>
  <c r="P52" i="66" s="1"/>
  <c r="Q15" i="41"/>
  <c r="Q18" i="41" s="1"/>
  <c r="P30" i="40"/>
  <c r="P13" i="40"/>
  <c r="Q30" i="40"/>
  <c r="Q13" i="40"/>
  <c r="P18" i="38"/>
  <c r="AG53" i="182" s="1"/>
  <c r="P39" i="38"/>
  <c r="AG54" i="182" s="1"/>
  <c r="Q20" i="38"/>
  <c r="O70" i="38" s="1"/>
  <c r="Q18" i="38"/>
  <c r="AK53" i="182" s="1"/>
  <c r="P22" i="77"/>
  <c r="Q17" i="77"/>
  <c r="O38" i="77" s="1"/>
  <c r="P28" i="149"/>
  <c r="AG44" i="182" s="1"/>
  <c r="P11" i="149"/>
  <c r="AG43" i="182" s="1"/>
  <c r="Q28" i="149"/>
  <c r="Q11" i="149"/>
  <c r="AK43" i="182" s="1"/>
  <c r="P13" i="36"/>
  <c r="P16" i="36" s="1"/>
  <c r="P47" i="66" s="1"/>
  <c r="Q13" i="36"/>
  <c r="Q16" i="36" s="1"/>
  <c r="P32" i="35"/>
  <c r="AG34" i="182" s="1"/>
  <c r="P16" i="35"/>
  <c r="AG33" i="182" s="1"/>
  <c r="Q32" i="35"/>
  <c r="AK34" i="182" s="1"/>
  <c r="O56" i="35"/>
  <c r="S10" i="35"/>
  <c r="S32" i="35"/>
  <c r="AQ34" i="182" s="1"/>
  <c r="P16" i="34"/>
  <c r="P40" i="34"/>
  <c r="P37" i="34"/>
  <c r="Q40" i="34"/>
  <c r="Q37" i="34"/>
  <c r="Q16" i="34"/>
  <c r="P27" i="33"/>
  <c r="AG24" i="182" s="1"/>
  <c r="Q27" i="33"/>
  <c r="AK24" i="182" s="1"/>
  <c r="P11" i="32"/>
  <c r="P14" i="32" s="1"/>
  <c r="P42" i="66" s="1"/>
  <c r="Q11" i="32"/>
  <c r="Q14" i="32" s="1"/>
  <c r="P34" i="30"/>
  <c r="P19" i="30"/>
  <c r="P17" i="31"/>
  <c r="Q17" i="31"/>
  <c r="Q34" i="30"/>
  <c r="Q19" i="30"/>
  <c r="P21" i="29"/>
  <c r="P10" i="29"/>
  <c r="Q23" i="29"/>
  <c r="Q21" i="29"/>
  <c r="Q10" i="29"/>
  <c r="Q15" i="165" l="1"/>
  <c r="Q77" i="66" s="1"/>
  <c r="K49" i="129" s="1"/>
  <c r="AK136" i="182"/>
  <c r="P15" i="165"/>
  <c r="P77" i="66" s="1"/>
  <c r="AG136" i="182"/>
  <c r="P105" i="66"/>
  <c r="P108" i="66" s="1"/>
  <c r="AG186" i="182"/>
  <c r="Q105" i="66"/>
  <c r="K86" i="129" s="1"/>
  <c r="AK187" i="182"/>
  <c r="AK247" i="182"/>
  <c r="AG260" i="182"/>
  <c r="AG200" i="182"/>
  <c r="AG261" i="182"/>
  <c r="AK262" i="182"/>
  <c r="AL199" i="182"/>
  <c r="AK200" i="182"/>
  <c r="P20" i="31"/>
  <c r="P41" i="66" s="1"/>
  <c r="AG15" i="182"/>
  <c r="Q20" i="31"/>
  <c r="Q41" i="66" s="1"/>
  <c r="K10" i="129" s="1"/>
  <c r="AK15" i="182"/>
  <c r="P125" i="66"/>
  <c r="AG207" i="182"/>
  <c r="Q14" i="171"/>
  <c r="Q17" i="171" s="1"/>
  <c r="O31" i="171"/>
  <c r="Q30" i="93"/>
  <c r="AG148" i="182"/>
  <c r="AK148" i="182"/>
  <c r="AK25" i="182"/>
  <c r="AG25" i="182"/>
  <c r="Q41" i="87"/>
  <c r="Q53" i="66" s="1"/>
  <c r="K21" i="129" s="1"/>
  <c r="AK71" i="182"/>
  <c r="P41" i="87"/>
  <c r="P53" i="66" s="1"/>
  <c r="AG71" i="182"/>
  <c r="Q26" i="9"/>
  <c r="Q85" i="66" s="1"/>
  <c r="K62" i="129" s="1"/>
  <c r="AK152" i="182"/>
  <c r="AG153" i="182"/>
  <c r="AG278" i="182"/>
  <c r="AG216" i="182"/>
  <c r="AG277" i="182"/>
  <c r="AG282" i="182" s="1"/>
  <c r="Q14" i="4"/>
  <c r="AK213" i="182"/>
  <c r="Q59" i="15"/>
  <c r="Q74" i="66" s="1"/>
  <c r="AK122" i="182"/>
  <c r="AL122" i="182" s="1"/>
  <c r="Q22" i="77"/>
  <c r="P24" i="77"/>
  <c r="P49" i="66" s="1"/>
  <c r="AG49" i="182"/>
  <c r="AG45" i="182"/>
  <c r="AK45" i="182"/>
  <c r="Q30" i="149"/>
  <c r="Q48" i="66" s="1"/>
  <c r="K16" i="129" s="1"/>
  <c r="AK44" i="182"/>
  <c r="AG245" i="182"/>
  <c r="AG143" i="182"/>
  <c r="AK143" i="182"/>
  <c r="Q39" i="38"/>
  <c r="AK54" i="182" s="1"/>
  <c r="AG55" i="182"/>
  <c r="U56" i="51"/>
  <c r="U64" i="51" s="1"/>
  <c r="T56" i="51"/>
  <c r="T64" i="51" s="1"/>
  <c r="S99" i="66" s="1"/>
  <c r="M74" i="129" s="1"/>
  <c r="C70" i="143"/>
  <c r="S64" i="51"/>
  <c r="AG35" i="182"/>
  <c r="AS34" i="182"/>
  <c r="AR34" i="182"/>
  <c r="AT34" i="182"/>
  <c r="AV34" i="182" s="1"/>
  <c r="AW34" i="182" s="1"/>
  <c r="AX34" i="182" s="1"/>
  <c r="AY34" i="182" s="1"/>
  <c r="AZ34" i="182" s="1"/>
  <c r="AG162" i="182"/>
  <c r="AG244" i="182"/>
  <c r="AK162" i="182"/>
  <c r="Q22" i="7"/>
  <c r="Q78" i="66" s="1"/>
  <c r="K50" i="129" s="1"/>
  <c r="Q16" i="35"/>
  <c r="P61" i="6"/>
  <c r="P117" i="66" s="1"/>
  <c r="P29" i="5"/>
  <c r="P116" i="66" s="1"/>
  <c r="Q64" i="12"/>
  <c r="P69" i="12"/>
  <c r="P114" i="66" s="1"/>
  <c r="P21" i="172"/>
  <c r="P124" i="66" s="1"/>
  <c r="P54" i="24"/>
  <c r="P123" i="66" s="1"/>
  <c r="P30" i="93"/>
  <c r="P64" i="51"/>
  <c r="P99" i="66" s="1"/>
  <c r="P29" i="49"/>
  <c r="P92" i="66" s="1"/>
  <c r="P46" i="11"/>
  <c r="P91" i="66" s="1"/>
  <c r="P26" i="9"/>
  <c r="P85" i="66" s="1"/>
  <c r="P41" i="8"/>
  <c r="P84" i="66" s="1"/>
  <c r="P22" i="7"/>
  <c r="P78" i="66" s="1"/>
  <c r="P20" i="18"/>
  <c r="P75" i="66" s="1"/>
  <c r="P21" i="23"/>
  <c r="P17" i="15"/>
  <c r="AG120" i="182" s="1"/>
  <c r="AG243" i="182" s="1"/>
  <c r="P131" i="66"/>
  <c r="P132" i="66" s="1"/>
  <c r="P19" i="86"/>
  <c r="P68" i="66" s="1"/>
  <c r="P21" i="47"/>
  <c r="P16" i="46"/>
  <c r="P64" i="66" s="1"/>
  <c r="P35" i="44"/>
  <c r="P62" i="66" s="1"/>
  <c r="P26" i="60"/>
  <c r="P61" i="66" s="1"/>
  <c r="P59" i="43"/>
  <c r="P59" i="66" s="1"/>
  <c r="P17" i="139"/>
  <c r="P54" i="66" s="1"/>
  <c r="P32" i="40"/>
  <c r="P51" i="66" s="1"/>
  <c r="P30" i="149"/>
  <c r="P48" i="66" s="1"/>
  <c r="P34" i="35"/>
  <c r="P46" i="66" s="1"/>
  <c r="P42" i="34"/>
  <c r="P44" i="66" s="1"/>
  <c r="P36" i="30"/>
  <c r="P40" i="66" s="1"/>
  <c r="P23" i="29"/>
  <c r="P39" i="66" s="1"/>
  <c r="I9" i="2"/>
  <c r="P29" i="33"/>
  <c r="P43" i="66" s="1"/>
  <c r="S61" i="6"/>
  <c r="S62" i="6" s="1"/>
  <c r="T62" i="6" s="1"/>
  <c r="Q29" i="5"/>
  <c r="Q116" i="66" s="1"/>
  <c r="K129" i="129" s="1"/>
  <c r="Q21" i="172"/>
  <c r="Q54" i="24"/>
  <c r="Q123" i="66" s="1"/>
  <c r="Q29" i="49"/>
  <c r="Q46" i="11"/>
  <c r="Q91" i="66" s="1"/>
  <c r="Q41" i="8"/>
  <c r="Q84" i="66" s="1"/>
  <c r="Q27" i="22"/>
  <c r="Q76" i="66" s="1"/>
  <c r="K48" i="129" s="1"/>
  <c r="Q21" i="23"/>
  <c r="P56" i="15"/>
  <c r="AG121" i="182" s="1"/>
  <c r="Q55" i="17"/>
  <c r="Q26" i="56"/>
  <c r="Q9" i="15"/>
  <c r="Q17" i="15" s="1"/>
  <c r="AK120" i="182" s="1"/>
  <c r="Q56" i="15"/>
  <c r="AK121" i="182" s="1"/>
  <c r="Q19" i="13"/>
  <c r="Q35" i="44"/>
  <c r="Q26" i="60"/>
  <c r="Q61" i="66" s="1"/>
  <c r="K28" i="129" s="1"/>
  <c r="Q59" i="43"/>
  <c r="Q32" i="40"/>
  <c r="Q51" i="66" s="1"/>
  <c r="K19" i="129" s="1"/>
  <c r="P41" i="38"/>
  <c r="P50" i="66" s="1"/>
  <c r="Q41" i="38"/>
  <c r="Q42" i="34"/>
  <c r="Q29" i="33"/>
  <c r="Q43" i="66" s="1"/>
  <c r="Q36" i="30"/>
  <c r="Q40" i="66" s="1"/>
  <c r="K9" i="129" s="1"/>
  <c r="Q108" i="66" l="1"/>
  <c r="AG137" i="182"/>
  <c r="AK137" i="182"/>
  <c r="AG247" i="182"/>
  <c r="AG187" i="182"/>
  <c r="AK16" i="182"/>
  <c r="AG16" i="182"/>
  <c r="Q70" i="66"/>
  <c r="AG264" i="182"/>
  <c r="AG208" i="182"/>
  <c r="AH207" i="182"/>
  <c r="Q125" i="66"/>
  <c r="K146" i="129" s="1"/>
  <c r="AK207" i="182"/>
  <c r="AG72" i="182"/>
  <c r="AK72" i="182"/>
  <c r="AK153" i="182"/>
  <c r="AK277" i="182"/>
  <c r="Q15" i="4"/>
  <c r="Q18" i="4" s="1"/>
  <c r="O33" i="4"/>
  <c r="Q69" i="12"/>
  <c r="Q114" i="66" s="1"/>
  <c r="K118" i="129" s="1"/>
  <c r="AK214" i="182"/>
  <c r="AG285" i="182"/>
  <c r="AG287" i="182"/>
  <c r="AG288" i="182"/>
  <c r="AG289" i="182"/>
  <c r="AG232" i="182"/>
  <c r="AG286" i="182"/>
  <c r="AG290" i="182" s="1"/>
  <c r="AK245" i="182"/>
  <c r="AG123" i="182"/>
  <c r="AK123" i="182"/>
  <c r="AG50" i="182"/>
  <c r="Q24" i="77"/>
  <c r="Q49" i="66" s="1"/>
  <c r="K17" i="129" s="1"/>
  <c r="AK49" i="182"/>
  <c r="AK55" i="182"/>
  <c r="Q50" i="66"/>
  <c r="K18" i="129" s="1"/>
  <c r="AQ178" i="182"/>
  <c r="S65" i="51"/>
  <c r="T65" i="51" s="1"/>
  <c r="R99" i="66"/>
  <c r="L74" i="129" s="1"/>
  <c r="Q34" i="35"/>
  <c r="Q46" i="66" s="1"/>
  <c r="K14" i="129" s="1"/>
  <c r="AK33" i="182"/>
  <c r="AG248" i="182"/>
  <c r="AG252" i="182" s="1"/>
  <c r="AQ225" i="182"/>
  <c r="T61" i="6"/>
  <c r="S117" i="66" s="1"/>
  <c r="M120" i="129" s="1"/>
  <c r="U61" i="6"/>
  <c r="T117" i="66" s="1"/>
  <c r="R117" i="66"/>
  <c r="L120" i="129" s="1"/>
  <c r="K143" i="129"/>
  <c r="Q96" i="66"/>
  <c r="K67" i="129"/>
  <c r="Q88" i="66"/>
  <c r="K54" i="129"/>
  <c r="Q73" i="66"/>
  <c r="Q80" i="66" s="1"/>
  <c r="K12" i="129"/>
  <c r="P120" i="66"/>
  <c r="P127" i="66"/>
  <c r="P96" i="66"/>
  <c r="P88" i="66"/>
  <c r="P73" i="66"/>
  <c r="P80" i="66" s="1"/>
  <c r="P61" i="15"/>
  <c r="P70" i="66"/>
  <c r="P56" i="66"/>
  <c r="Q61" i="15"/>
  <c r="B9" i="173"/>
  <c r="Y271" i="66"/>
  <c r="V270" i="66"/>
  <c r="T270" i="66"/>
  <c r="Q127" i="66" l="1"/>
  <c r="AG210" i="182"/>
  <c r="AH208" i="182"/>
  <c r="AG265" i="182"/>
  <c r="AG272" i="182" s="1"/>
  <c r="AK264" i="182"/>
  <c r="AK208" i="182"/>
  <c r="AK278" i="182"/>
  <c r="Q118" i="66"/>
  <c r="K121" i="129" s="1"/>
  <c r="AK229" i="182"/>
  <c r="AK216" i="182"/>
  <c r="AG193" i="182"/>
  <c r="AK50" i="182"/>
  <c r="AK244" i="182"/>
  <c r="Q56" i="66"/>
  <c r="Q110" i="66" s="1"/>
  <c r="AR178" i="182"/>
  <c r="AQ179" i="182"/>
  <c r="AT178" i="182"/>
  <c r="AV179" i="182" s="1"/>
  <c r="AS178" i="182"/>
  <c r="AQ246" i="182"/>
  <c r="AK35" i="182"/>
  <c r="AK243" i="182"/>
  <c r="AG251" i="182"/>
  <c r="AG253" i="182"/>
  <c r="AG255" i="182"/>
  <c r="AG254" i="182"/>
  <c r="AT225" i="182"/>
  <c r="AQ280" i="182"/>
  <c r="AS225" i="182"/>
  <c r="AQ226" i="182"/>
  <c r="AR225" i="182"/>
  <c r="K45" i="129"/>
  <c r="P110" i="66"/>
  <c r="S11" i="15"/>
  <c r="S29" i="15"/>
  <c r="D41" i="167"/>
  <c r="D40" i="167"/>
  <c r="AG234" i="182" l="1"/>
  <c r="Q120" i="66"/>
  <c r="Q136" i="66" s="1"/>
  <c r="AG270" i="182"/>
  <c r="AG271" i="182"/>
  <c r="AG268" i="182"/>
  <c r="AG269" i="182"/>
  <c r="AK210" i="182"/>
  <c r="AK265" i="182"/>
  <c r="AK272" i="182" s="1"/>
  <c r="AK281" i="182"/>
  <c r="AK230" i="182"/>
  <c r="AL229" i="182"/>
  <c r="AR179" i="182"/>
  <c r="AS179" i="182"/>
  <c r="AT179" i="182"/>
  <c r="AK193" i="182"/>
  <c r="AK248" i="182"/>
  <c r="AK251" i="182" s="1"/>
  <c r="P136" i="66"/>
  <c r="P273" i="66" s="1"/>
  <c r="P278" i="66" s="1"/>
  <c r="Q111" i="66"/>
  <c r="AG256" i="182"/>
  <c r="AR226" i="182"/>
  <c r="AS226" i="182"/>
  <c r="AT226" i="182"/>
  <c r="P101" i="11"/>
  <c r="S53" i="12"/>
  <c r="AG273" i="182" l="1"/>
  <c r="AK270" i="182"/>
  <c r="AK269" i="182"/>
  <c r="AK271" i="182"/>
  <c r="AK268" i="182"/>
  <c r="AK232" i="182"/>
  <c r="AL230" i="182"/>
  <c r="AK282" i="182"/>
  <c r="AK252" i="182"/>
  <c r="AK253" i="182"/>
  <c r="AK255" i="182"/>
  <c r="AK254" i="182"/>
  <c r="Q101" i="11"/>
  <c r="R101" i="11" s="1"/>
  <c r="S269" i="66"/>
  <c r="T269" i="66" s="1"/>
  <c r="AK273" i="182" l="1"/>
  <c r="AK286" i="182"/>
  <c r="AK287" i="182"/>
  <c r="AK288" i="182"/>
  <c r="AK285" i="182"/>
  <c r="AK289" i="182"/>
  <c r="AK234" i="182"/>
  <c r="AK256" i="182"/>
  <c r="R57" i="38"/>
  <c r="AK290" i="182" l="1"/>
  <c r="V256" i="66"/>
  <c r="V255" i="66"/>
  <c r="S9" i="5"/>
  <c r="R27" i="26" l="1"/>
  <c r="N27" i="26"/>
  <c r="S149" i="66"/>
  <c r="S28" i="26" l="1"/>
  <c r="S31" i="26" s="1"/>
  <c r="H12" i="167"/>
  <c r="H13" i="167" s="1"/>
  <c r="J12" i="167"/>
  <c r="J13" i="167" s="1"/>
  <c r="L12" i="167"/>
  <c r="L13" i="167" s="1"/>
  <c r="H21" i="167" l="1"/>
  <c r="H22" i="167" s="1"/>
  <c r="H43" i="167"/>
  <c r="H44" i="167" s="1"/>
  <c r="J21" i="167"/>
  <c r="L21" i="167"/>
  <c r="J22" i="167" l="1"/>
  <c r="J43" i="167"/>
  <c r="J44" i="167" s="1"/>
  <c r="L22" i="167"/>
  <c r="L43" i="167"/>
  <c r="L44" i="167" s="1"/>
  <c r="I12" i="167" l="1"/>
  <c r="T190" i="66" l="1"/>
  <c r="S190" i="66"/>
  <c r="T22" i="66"/>
  <c r="S259" i="66" l="1"/>
  <c r="T259" i="66" s="1"/>
  <c r="S166" i="66"/>
  <c r="T166" i="66" s="1"/>
  <c r="P57" i="44"/>
  <c r="S10" i="5"/>
  <c r="P47" i="5"/>
  <c r="C5" i="26"/>
  <c r="Q57" i="44" l="1"/>
  <c r="R57" i="44" s="1"/>
  <c r="Q47" i="5"/>
  <c r="AA259" i="66"/>
  <c r="R17" i="7"/>
  <c r="AM141" i="182" s="1"/>
  <c r="R33" i="44"/>
  <c r="AM92" i="182" s="1"/>
  <c r="AN92" i="182" s="1"/>
  <c r="R20" i="44"/>
  <c r="AM91" i="182" s="1"/>
  <c r="AN91" i="182" l="1"/>
  <c r="AM93" i="182"/>
  <c r="AN93" i="182" s="1"/>
  <c r="AN141" i="182"/>
  <c r="E101" i="143"/>
  <c r="E100" i="143"/>
  <c r="E99" i="143"/>
  <c r="D100" i="143"/>
  <c r="C81" i="143"/>
  <c r="D101" i="143"/>
  <c r="D99" i="143"/>
  <c r="L16" i="144" l="1"/>
  <c r="L22" i="144" s="1"/>
  <c r="P92" i="24" l="1"/>
  <c r="P118" i="24"/>
  <c r="P116" i="24"/>
  <c r="P115" i="24"/>
  <c r="P114" i="24"/>
  <c r="P113" i="24"/>
  <c r="P112" i="24"/>
  <c r="P111" i="24"/>
  <c r="P110" i="24"/>
  <c r="P109" i="24"/>
  <c r="P108" i="24"/>
  <c r="P107" i="24"/>
  <c r="P106" i="24"/>
  <c r="P105" i="24"/>
  <c r="P104" i="24"/>
  <c r="P103" i="24"/>
  <c r="P102" i="24"/>
  <c r="P101" i="24"/>
  <c r="P100" i="24"/>
  <c r="P99" i="24"/>
  <c r="P98" i="24"/>
  <c r="P97" i="24"/>
  <c r="P96" i="24"/>
  <c r="P95" i="24"/>
  <c r="P94" i="24"/>
  <c r="P93" i="24"/>
  <c r="P91" i="24"/>
  <c r="P90" i="24"/>
  <c r="P89" i="24"/>
  <c r="P88" i="24"/>
  <c r="P87" i="24"/>
  <c r="P86" i="24"/>
  <c r="P85" i="24"/>
  <c r="O85" i="24"/>
  <c r="O119" i="24" s="1"/>
  <c r="P84" i="24"/>
  <c r="S51" i="24"/>
  <c r="AQ199" i="182" s="1"/>
  <c r="AV199" i="182" l="1"/>
  <c r="AQ262" i="182"/>
  <c r="AT199" i="182"/>
  <c r="AS199" i="182"/>
  <c r="AR199" i="182"/>
  <c r="N144" i="129"/>
  <c r="L144" i="129"/>
  <c r="Q92" i="24"/>
  <c r="R92" i="24" s="1"/>
  <c r="R85" i="24"/>
  <c r="Q85" i="24"/>
  <c r="Q91" i="24"/>
  <c r="R91" i="24" s="1"/>
  <c r="Q96" i="24"/>
  <c r="R96" i="24" s="1"/>
  <c r="Q100" i="24"/>
  <c r="R100" i="24" s="1"/>
  <c r="Q104" i="24"/>
  <c r="R104" i="24" s="1"/>
  <c r="Q108" i="24"/>
  <c r="R108" i="24" s="1"/>
  <c r="Q112" i="24"/>
  <c r="R112" i="24" s="1"/>
  <c r="Q116" i="24"/>
  <c r="R116" i="24" s="1"/>
  <c r="Q87" i="24"/>
  <c r="R87" i="24" s="1"/>
  <c r="Q89" i="24"/>
  <c r="R89" i="24" s="1"/>
  <c r="Q94" i="24"/>
  <c r="R94" i="24" s="1"/>
  <c r="Q98" i="24"/>
  <c r="R98" i="24" s="1"/>
  <c r="Q102" i="24"/>
  <c r="R102" i="24" s="1"/>
  <c r="Q106" i="24"/>
  <c r="R106" i="24" s="1"/>
  <c r="Q110" i="24"/>
  <c r="R110" i="24" s="1"/>
  <c r="Q114" i="24"/>
  <c r="R114" i="24" s="1"/>
  <c r="Q84" i="24"/>
  <c r="R84" i="24" s="1"/>
  <c r="Q86" i="24"/>
  <c r="R86" i="24" s="1"/>
  <c r="Q88" i="24"/>
  <c r="R88" i="24" s="1"/>
  <c r="Q90" i="24"/>
  <c r="R90" i="24" s="1"/>
  <c r="Q93" i="24"/>
  <c r="R93" i="24" s="1"/>
  <c r="Q95" i="24"/>
  <c r="R95" i="24" s="1"/>
  <c r="Q97" i="24"/>
  <c r="R97" i="24" s="1"/>
  <c r="Q99" i="24"/>
  <c r="R99" i="24" s="1"/>
  <c r="Q101" i="24"/>
  <c r="R101" i="24" s="1"/>
  <c r="Q103" i="24"/>
  <c r="R103" i="24" s="1"/>
  <c r="Q105" i="24"/>
  <c r="R105" i="24" s="1"/>
  <c r="Q107" i="24"/>
  <c r="R107" i="24" s="1"/>
  <c r="Q109" i="24"/>
  <c r="R109" i="24" s="1"/>
  <c r="Q111" i="24"/>
  <c r="R111" i="24" s="1"/>
  <c r="Q113" i="24"/>
  <c r="R113" i="24" s="1"/>
  <c r="Q115" i="24"/>
  <c r="R115" i="24" s="1"/>
  <c r="Q118" i="24"/>
  <c r="R118" i="24" s="1"/>
  <c r="U51" i="24"/>
  <c r="AW199" i="182" l="1"/>
  <c r="AV262" i="182"/>
  <c r="S10" i="23"/>
  <c r="S10" i="15" s="1"/>
  <c r="T202" i="66"/>
  <c r="S202" i="66"/>
  <c r="T201" i="66"/>
  <c r="S201" i="66"/>
  <c r="T192" i="66"/>
  <c r="S192" i="66"/>
  <c r="S256" i="66"/>
  <c r="T256" i="66" s="1"/>
  <c r="S255" i="66"/>
  <c r="T255" i="66" s="1"/>
  <c r="S158" i="66"/>
  <c r="S194" i="66"/>
  <c r="T194" i="66" s="1"/>
  <c r="S252" i="66"/>
  <c r="T252" i="66" s="1"/>
  <c r="T191" i="66"/>
  <c r="S191" i="66"/>
  <c r="T239" i="66"/>
  <c r="S239" i="66"/>
  <c r="T240" i="66"/>
  <c r="S240" i="66"/>
  <c r="AA240" i="66"/>
  <c r="AA239" i="66"/>
  <c r="N28" i="180"/>
  <c r="M28" i="180"/>
  <c r="L28" i="180"/>
  <c r="K28" i="180"/>
  <c r="N26" i="180"/>
  <c r="M26" i="180"/>
  <c r="M30" i="180" s="1"/>
  <c r="L26" i="180"/>
  <c r="L30" i="180" s="1"/>
  <c r="E17" i="180"/>
  <c r="U14" i="180"/>
  <c r="S14" i="180"/>
  <c r="R14" i="180"/>
  <c r="R17" i="180" s="1"/>
  <c r="O14" i="180"/>
  <c r="N14" i="180"/>
  <c r="M14" i="180"/>
  <c r="L14" i="180"/>
  <c r="L17" i="180" s="1"/>
  <c r="K14" i="180"/>
  <c r="K17" i="180" s="1"/>
  <c r="J14" i="180"/>
  <c r="J17" i="180" s="1"/>
  <c r="I14" i="180"/>
  <c r="I17" i="180" s="1"/>
  <c r="H14" i="180"/>
  <c r="H17" i="180" s="1"/>
  <c r="G14" i="180"/>
  <c r="G17" i="180" s="1"/>
  <c r="F14" i="180"/>
  <c r="F17" i="180" s="1"/>
  <c r="E14" i="180"/>
  <c r="D14" i="180"/>
  <c r="D17" i="180" s="1"/>
  <c r="C14" i="180"/>
  <c r="C17" i="180" s="1"/>
  <c r="S10" i="180"/>
  <c r="R10" i="180"/>
  <c r="N10" i="180"/>
  <c r="M10" i="180"/>
  <c r="L10" i="180"/>
  <c r="K10" i="180"/>
  <c r="O9" i="180"/>
  <c r="O10" i="180" s="1"/>
  <c r="AX199" i="182" l="1"/>
  <c r="AW262" i="182"/>
  <c r="N30" i="180"/>
  <c r="S17" i="180"/>
  <c r="T17" i="180" s="1"/>
  <c r="O28" i="180"/>
  <c r="R28" i="180" s="1"/>
  <c r="M17" i="180"/>
  <c r="K26" i="180"/>
  <c r="K30" i="180" s="1"/>
  <c r="N17" i="180"/>
  <c r="V201" i="66"/>
  <c r="V202" i="66"/>
  <c r="V192" i="66"/>
  <c r="V191" i="66"/>
  <c r="O17" i="180"/>
  <c r="U17" i="180"/>
  <c r="O26" i="180"/>
  <c r="AY199" i="182" l="1"/>
  <c r="AX262" i="182"/>
  <c r="R26" i="180"/>
  <c r="O30" i="180"/>
  <c r="R30" i="180" s="1"/>
  <c r="AZ199" i="182" l="1"/>
  <c r="AZ262" i="182" s="1"/>
  <c r="AY262" i="182"/>
  <c r="P32" i="54"/>
  <c r="J32" i="54"/>
  <c r="P24" i="36"/>
  <c r="P23" i="36"/>
  <c r="Q23" i="36" l="1"/>
  <c r="R23" i="36" s="1"/>
  <c r="Q24" i="36"/>
  <c r="R24" i="36" s="1"/>
  <c r="Q32" i="54"/>
  <c r="R32" i="54" s="1"/>
  <c r="R98" i="15" l="1"/>
  <c r="R69" i="11" l="1"/>
  <c r="S11" i="11" s="1"/>
  <c r="P78" i="11" s="1"/>
  <c r="Q78" i="11" s="1"/>
  <c r="R78" i="11" l="1"/>
  <c r="P56" i="149" l="1"/>
  <c r="P55" i="149"/>
  <c r="Q55" i="149" s="1"/>
  <c r="P53" i="149"/>
  <c r="P52" i="149"/>
  <c r="P51" i="149"/>
  <c r="P50" i="149"/>
  <c r="Q50" i="149" s="1"/>
  <c r="P49" i="149"/>
  <c r="P48" i="149"/>
  <c r="P47" i="149"/>
  <c r="Q47" i="149" s="1"/>
  <c r="P46" i="149"/>
  <c r="Q46" i="149" s="1"/>
  <c r="P45" i="149"/>
  <c r="Q48" i="149" l="1"/>
  <c r="Q49" i="149"/>
  <c r="R49" i="149" s="1"/>
  <c r="Q51" i="149"/>
  <c r="R51" i="149" s="1"/>
  <c r="Q52" i="149"/>
  <c r="Q45" i="149"/>
  <c r="R45" i="149" s="1"/>
  <c r="Q53" i="149"/>
  <c r="R53" i="149" s="1"/>
  <c r="Q56" i="149"/>
  <c r="R56" i="149" s="1"/>
  <c r="R52" i="149"/>
  <c r="R50" i="149"/>
  <c r="R46" i="149"/>
  <c r="R47" i="149"/>
  <c r="R48" i="149"/>
  <c r="R55" i="149"/>
  <c r="T14" i="66" l="1"/>
  <c r="W14" i="66" s="1"/>
  <c r="M74" i="33"/>
  <c r="U70" i="11"/>
  <c r="S13" i="11" s="1"/>
  <c r="S14" i="66" l="1"/>
  <c r="P30" i="139"/>
  <c r="P31" i="54"/>
  <c r="P24" i="10"/>
  <c r="P23" i="10"/>
  <c r="P22" i="10"/>
  <c r="S172" i="66"/>
  <c r="O30" i="139" l="1"/>
  <c r="P33" i="54"/>
  <c r="O9" i="45"/>
  <c r="O9" i="50"/>
  <c r="O18" i="11"/>
  <c r="O17" i="87"/>
  <c r="O16" i="87"/>
  <c r="O15" i="87"/>
  <c r="O14" i="87"/>
  <c r="O13" i="87"/>
  <c r="O11" i="87"/>
  <c r="O10" i="87"/>
  <c r="O9" i="12"/>
  <c r="O9" i="11"/>
  <c r="O9" i="17"/>
  <c r="O9" i="56"/>
  <c r="O10" i="43"/>
  <c r="O9" i="43"/>
  <c r="O9" i="38"/>
  <c r="O9" i="35"/>
  <c r="O9" i="33"/>
  <c r="O12" i="33" s="1"/>
  <c r="O19" i="12"/>
  <c r="O18" i="12"/>
  <c r="O56" i="12"/>
  <c r="O11" i="12"/>
  <c r="O44" i="17"/>
  <c r="O11" i="18"/>
  <c r="O11" i="17"/>
  <c r="O12" i="17"/>
  <c r="O10" i="22"/>
  <c r="O9" i="23"/>
  <c r="O12" i="49"/>
  <c r="O10" i="49"/>
  <c r="O9" i="49"/>
  <c r="O13" i="11"/>
  <c r="O10" i="11"/>
  <c r="O9" i="9"/>
  <c r="O9" i="8"/>
  <c r="O15" i="44"/>
  <c r="O9" i="44"/>
  <c r="O13" i="60"/>
  <c r="O11" i="60"/>
  <c r="O10" i="60"/>
  <c r="O8" i="60"/>
  <c r="O12" i="35"/>
  <c r="O8" i="34"/>
  <c r="O48" i="43"/>
  <c r="O15" i="43"/>
  <c r="M271" i="66"/>
  <c r="O261" i="66" l="1"/>
  <c r="O271" i="66" s="1"/>
  <c r="M29" i="66"/>
  <c r="M28" i="66"/>
  <c r="M26" i="66"/>
  <c r="M25" i="66"/>
  <c r="M20" i="66"/>
  <c r="M19" i="66"/>
  <c r="M17" i="66"/>
  <c r="M11" i="66"/>
  <c r="M9" i="66"/>
  <c r="K74" i="66"/>
  <c r="K54" i="66"/>
  <c r="F19" i="2"/>
  <c r="F24" i="2" l="1"/>
  <c r="L105" i="26"/>
  <c r="L93" i="26"/>
  <c r="L83" i="26"/>
  <c r="L78" i="26"/>
  <c r="L52" i="26"/>
  <c r="L58" i="26" s="1"/>
  <c r="L27" i="26"/>
  <c r="L28" i="26" s="1"/>
  <c r="L31" i="26" s="1"/>
  <c r="M8" i="66" l="1"/>
  <c r="M7" i="66"/>
  <c r="N28" i="26"/>
  <c r="L106" i="26"/>
  <c r="L108" i="26"/>
  <c r="L111" i="26" s="1"/>
  <c r="L109" i="26" l="1"/>
  <c r="L112" i="26" s="1"/>
  <c r="L114" i="26" l="1"/>
  <c r="K32" i="161" l="1"/>
  <c r="J32" i="161"/>
  <c r="I32" i="161"/>
  <c r="I21" i="161" s="1"/>
  <c r="H32" i="161"/>
  <c r="H21" i="161" s="1"/>
  <c r="G32" i="161"/>
  <c r="G21" i="161" s="1"/>
  <c r="R82" i="15" s="1"/>
  <c r="D80" i="137" s="1"/>
  <c r="F32" i="161"/>
  <c r="E32" i="161"/>
  <c r="D32" i="161"/>
  <c r="D21" i="161" s="1"/>
  <c r="K31" i="161"/>
  <c r="K20" i="161" s="1"/>
  <c r="J31" i="161"/>
  <c r="J20" i="161" s="1"/>
  <c r="I31" i="161"/>
  <c r="I20" i="161" s="1"/>
  <c r="H31" i="161"/>
  <c r="H20" i="161" s="1"/>
  <c r="G31" i="161"/>
  <c r="G20" i="161" s="1"/>
  <c r="F31" i="161"/>
  <c r="E31" i="161"/>
  <c r="D31" i="161"/>
  <c r="D20" i="161" s="1"/>
  <c r="K30" i="161"/>
  <c r="J30" i="161"/>
  <c r="I30" i="161"/>
  <c r="I19" i="161" s="1"/>
  <c r="H30" i="161"/>
  <c r="H19" i="161" s="1"/>
  <c r="G30" i="161"/>
  <c r="G19" i="161" s="1"/>
  <c r="F30" i="161"/>
  <c r="E30" i="161"/>
  <c r="D30" i="161"/>
  <c r="D19" i="161" s="1"/>
  <c r="K29" i="161"/>
  <c r="K18" i="161" s="1"/>
  <c r="J29" i="161"/>
  <c r="J18" i="161" s="1"/>
  <c r="I29" i="161"/>
  <c r="I18" i="161" s="1"/>
  <c r="H29" i="161"/>
  <c r="H18" i="161" s="1"/>
  <c r="G29" i="161"/>
  <c r="G18" i="161" s="1"/>
  <c r="F29" i="161"/>
  <c r="E29" i="161"/>
  <c r="D29" i="161"/>
  <c r="D18" i="161" s="1"/>
  <c r="K28" i="161"/>
  <c r="K17" i="161" s="1"/>
  <c r="J28" i="161"/>
  <c r="I28" i="161"/>
  <c r="I17" i="161" s="1"/>
  <c r="H28" i="161"/>
  <c r="H17" i="161" s="1"/>
  <c r="G28" i="161"/>
  <c r="G17" i="161" s="1"/>
  <c r="F28" i="161"/>
  <c r="E28" i="161"/>
  <c r="E17" i="161" s="1"/>
  <c r="D28" i="161"/>
  <c r="D17" i="161" s="1"/>
  <c r="C32" i="161"/>
  <c r="C31" i="161"/>
  <c r="C20" i="161" s="1"/>
  <c r="C30" i="161"/>
  <c r="C19" i="161" s="1"/>
  <c r="C29" i="161"/>
  <c r="C18" i="161" s="1"/>
  <c r="C28" i="161"/>
  <c r="C17" i="161" s="1"/>
  <c r="B32" i="161"/>
  <c r="B21" i="161" s="1"/>
  <c r="B31" i="161"/>
  <c r="B20" i="161" s="1"/>
  <c r="B30" i="161"/>
  <c r="B19" i="161" s="1"/>
  <c r="B29" i="161"/>
  <c r="B18" i="161" s="1"/>
  <c r="B28" i="161"/>
  <c r="B17" i="161" s="1"/>
  <c r="E20" i="161"/>
  <c r="K21" i="161"/>
  <c r="J21" i="161"/>
  <c r="F21" i="161"/>
  <c r="E21" i="161"/>
  <c r="C21" i="161"/>
  <c r="F20" i="161"/>
  <c r="K19" i="161"/>
  <c r="J19" i="161"/>
  <c r="F19" i="161"/>
  <c r="E19" i="161"/>
  <c r="F18" i="161"/>
  <c r="E18" i="161"/>
  <c r="J17" i="161"/>
  <c r="F17" i="161"/>
  <c r="N15" i="4"/>
  <c r="N18" i="4" s="1"/>
  <c r="N118" i="66" s="1"/>
  <c r="N59" i="6"/>
  <c r="N56" i="6"/>
  <c r="N29" i="6"/>
  <c r="N27" i="5"/>
  <c r="N24" i="5"/>
  <c r="N12" i="5"/>
  <c r="N12" i="12"/>
  <c r="N16" i="12" s="1"/>
  <c r="AC213" i="182" s="1"/>
  <c r="N64" i="12"/>
  <c r="AC214" i="182" s="1"/>
  <c r="N18" i="172"/>
  <c r="N21" i="172" s="1"/>
  <c r="N47" i="24"/>
  <c r="AC198" i="182" s="1"/>
  <c r="N16" i="24"/>
  <c r="AC197" i="182" s="1"/>
  <c r="N26" i="93"/>
  <c r="N20" i="93"/>
  <c r="N21" i="54"/>
  <c r="N18" i="53"/>
  <c r="N20" i="53" s="1"/>
  <c r="N16" i="52"/>
  <c r="N102" i="66" s="1"/>
  <c r="N11" i="50"/>
  <c r="N14" i="50" s="1"/>
  <c r="N94" i="66" s="1"/>
  <c r="N12" i="135"/>
  <c r="N15" i="135" s="1"/>
  <c r="N93" i="66" s="1"/>
  <c r="N27" i="49"/>
  <c r="N13" i="49"/>
  <c r="N44" i="11"/>
  <c r="N41" i="11"/>
  <c r="AC161" i="182" s="1"/>
  <c r="N16" i="11"/>
  <c r="AC160" i="182" s="1"/>
  <c r="N12" i="10"/>
  <c r="N15" i="10" s="1"/>
  <c r="N86" i="66" s="1"/>
  <c r="N24" i="9"/>
  <c r="N11" i="9"/>
  <c r="P70" i="8"/>
  <c r="P69" i="8"/>
  <c r="P80" i="8"/>
  <c r="S39" i="8"/>
  <c r="AQ147" i="182" s="1"/>
  <c r="R39" i="8"/>
  <c r="AM147" i="182" s="1"/>
  <c r="AN147" i="182" s="1"/>
  <c r="O39" i="8"/>
  <c r="AE147" i="182" s="1"/>
  <c r="N39" i="8"/>
  <c r="AC147" i="182" s="1"/>
  <c r="N21" i="8"/>
  <c r="AC146" i="182" s="1"/>
  <c r="N20" i="7"/>
  <c r="AC142" i="182" s="1"/>
  <c r="N17" i="7"/>
  <c r="AC141" i="182" s="1"/>
  <c r="N13" i="165"/>
  <c r="N25" i="22"/>
  <c r="N13" i="22"/>
  <c r="N18" i="18"/>
  <c r="N19" i="23"/>
  <c r="N13" i="23"/>
  <c r="N53" i="17"/>
  <c r="N50" i="17"/>
  <c r="N16" i="17"/>
  <c r="N22" i="56"/>
  <c r="N12" i="56"/>
  <c r="N58" i="15"/>
  <c r="N55" i="15"/>
  <c r="N54" i="15"/>
  <c r="N53" i="15"/>
  <c r="N52" i="15"/>
  <c r="N51" i="15"/>
  <c r="N50" i="15"/>
  <c r="N49" i="15"/>
  <c r="N48" i="15"/>
  <c r="N47" i="15"/>
  <c r="N46" i="15"/>
  <c r="N45" i="15"/>
  <c r="N44" i="15"/>
  <c r="N43" i="15"/>
  <c r="N42" i="15"/>
  <c r="N41" i="15"/>
  <c r="N39" i="15"/>
  <c r="N38" i="15"/>
  <c r="N37" i="15"/>
  <c r="N36" i="15"/>
  <c r="N35" i="15"/>
  <c r="N34" i="15"/>
  <c r="N33" i="15"/>
  <c r="N32" i="15"/>
  <c r="N31" i="15"/>
  <c r="N30" i="15"/>
  <c r="N29" i="15"/>
  <c r="N28" i="15"/>
  <c r="N27" i="15"/>
  <c r="N26" i="15"/>
  <c r="N25" i="15"/>
  <c r="N24" i="15"/>
  <c r="N23" i="15"/>
  <c r="N22" i="15"/>
  <c r="N21" i="15"/>
  <c r="N20" i="15"/>
  <c r="N19" i="15"/>
  <c r="N16" i="15"/>
  <c r="N15" i="15"/>
  <c r="N14" i="15"/>
  <c r="N13" i="15"/>
  <c r="N12" i="15"/>
  <c r="N11" i="15"/>
  <c r="N10" i="15"/>
  <c r="N9" i="15"/>
  <c r="N17" i="86"/>
  <c r="N10" i="86"/>
  <c r="N10" i="48"/>
  <c r="N12" i="48" s="1"/>
  <c r="N67" i="66" s="1"/>
  <c r="N19" i="47"/>
  <c r="N66" i="66" s="1"/>
  <c r="N16" i="47"/>
  <c r="N65" i="66" s="1"/>
  <c r="N14" i="46"/>
  <c r="N16" i="46" s="1"/>
  <c r="N64" i="66" s="1"/>
  <c r="N10" i="46"/>
  <c r="N10" i="45"/>
  <c r="N12" i="45" s="1"/>
  <c r="N63" i="66" s="1"/>
  <c r="N33" i="44"/>
  <c r="N20" i="44"/>
  <c r="N24" i="60"/>
  <c r="N19" i="60"/>
  <c r="N57" i="43"/>
  <c r="N60" i="66" s="1"/>
  <c r="N54" i="43"/>
  <c r="N28" i="43"/>
  <c r="N39" i="87"/>
  <c r="N14" i="139"/>
  <c r="N10" i="139"/>
  <c r="N15" i="41"/>
  <c r="N18" i="41" s="1"/>
  <c r="N52" i="66" s="1"/>
  <c r="N13" i="40"/>
  <c r="N30" i="40"/>
  <c r="N39" i="38"/>
  <c r="AC54" i="182" s="1"/>
  <c r="N18" i="38"/>
  <c r="AC53" i="182" s="1"/>
  <c r="N22" i="77"/>
  <c r="N28" i="149"/>
  <c r="AC44" i="182" s="1"/>
  <c r="N11" i="149"/>
  <c r="AC43" i="182" s="1"/>
  <c r="N13" i="36"/>
  <c r="N16" i="36" s="1"/>
  <c r="N47" i="66" s="1"/>
  <c r="N32" i="35"/>
  <c r="AC34" i="182" s="1"/>
  <c r="N16" i="35"/>
  <c r="AC33" i="182" s="1"/>
  <c r="N16" i="34"/>
  <c r="N40" i="34"/>
  <c r="N45" i="66" s="1"/>
  <c r="N37" i="34"/>
  <c r="N42" i="34" s="1"/>
  <c r="N44" i="66" s="1"/>
  <c r="P47" i="33"/>
  <c r="N27" i="33"/>
  <c r="AC24" i="182" s="1"/>
  <c r="N10" i="32"/>
  <c r="N11" i="32" s="1"/>
  <c r="N14" i="32" s="1"/>
  <c r="N42" i="66" s="1"/>
  <c r="P29" i="31"/>
  <c r="O29" i="31"/>
  <c r="N9" i="31"/>
  <c r="N34" i="30"/>
  <c r="N19" i="30"/>
  <c r="N21" i="29"/>
  <c r="N10" i="29"/>
  <c r="M58" i="15"/>
  <c r="M54" i="15"/>
  <c r="M53" i="15"/>
  <c r="M52" i="15"/>
  <c r="M51" i="15"/>
  <c r="M50" i="15"/>
  <c r="M49" i="15"/>
  <c r="M48" i="15"/>
  <c r="M47" i="15"/>
  <c r="M46" i="15"/>
  <c r="M45" i="15"/>
  <c r="M44" i="15"/>
  <c r="M43" i="15"/>
  <c r="M42" i="15"/>
  <c r="M41" i="15"/>
  <c r="M39" i="15"/>
  <c r="M38" i="15"/>
  <c r="M37" i="15"/>
  <c r="M36" i="15"/>
  <c r="M35" i="15"/>
  <c r="M34" i="15"/>
  <c r="M33" i="15"/>
  <c r="M32" i="15"/>
  <c r="M31" i="15"/>
  <c r="M30" i="15"/>
  <c r="M29" i="15"/>
  <c r="M28" i="15"/>
  <c r="M27" i="15"/>
  <c r="M26" i="15"/>
  <c r="M25" i="15"/>
  <c r="M24" i="15"/>
  <c r="M23" i="15"/>
  <c r="M22" i="15"/>
  <c r="M21" i="15"/>
  <c r="M20" i="15"/>
  <c r="M19" i="15"/>
  <c r="M16" i="15"/>
  <c r="M15" i="15"/>
  <c r="M14" i="15"/>
  <c r="M13" i="15"/>
  <c r="M12" i="15"/>
  <c r="M11" i="15"/>
  <c r="M10" i="15"/>
  <c r="M9" i="15"/>
  <c r="M15" i="4"/>
  <c r="M18" i="4" s="1"/>
  <c r="M118" i="66" s="1"/>
  <c r="M59" i="6"/>
  <c r="M61" i="6" s="1"/>
  <c r="M117" i="66" s="1"/>
  <c r="M56" i="6"/>
  <c r="M29" i="6"/>
  <c r="M27" i="5"/>
  <c r="M24" i="5"/>
  <c r="M12" i="5"/>
  <c r="M49" i="12"/>
  <c r="M48" i="12"/>
  <c r="M43" i="12"/>
  <c r="M40" i="12"/>
  <c r="M39" i="12"/>
  <c r="M38" i="12"/>
  <c r="M16" i="12"/>
  <c r="AA213" i="182" s="1"/>
  <c r="M14" i="171"/>
  <c r="M17" i="171" s="1"/>
  <c r="AA207" i="182" s="1"/>
  <c r="M18" i="172"/>
  <c r="M12" i="172"/>
  <c r="M35" i="24"/>
  <c r="M33" i="24"/>
  <c r="M27" i="24"/>
  <c r="M26" i="24"/>
  <c r="M25" i="24"/>
  <c r="M20" i="24"/>
  <c r="M16" i="24"/>
  <c r="AA197" i="182" s="1"/>
  <c r="M26" i="93"/>
  <c r="M20" i="93"/>
  <c r="M21" i="54"/>
  <c r="M18" i="53"/>
  <c r="M20" i="53" s="1"/>
  <c r="M10" i="52"/>
  <c r="M16" i="52" s="1"/>
  <c r="M102" i="66" s="1"/>
  <c r="M61" i="51"/>
  <c r="M56" i="51"/>
  <c r="M31" i="51"/>
  <c r="M11" i="50"/>
  <c r="M14" i="50" s="1"/>
  <c r="M94" i="66" s="1"/>
  <c r="M12" i="135"/>
  <c r="M15" i="135" s="1"/>
  <c r="M93" i="66" s="1"/>
  <c r="M15" i="49"/>
  <c r="M27" i="49" s="1"/>
  <c r="M13" i="49"/>
  <c r="M44" i="11"/>
  <c r="M41" i="11"/>
  <c r="AA161" i="182" s="1"/>
  <c r="M16" i="11"/>
  <c r="AA160" i="182" s="1"/>
  <c r="M12" i="10"/>
  <c r="M15" i="10" s="1"/>
  <c r="M86" i="66" s="1"/>
  <c r="M24" i="9"/>
  <c r="AA152" i="182" s="1"/>
  <c r="M11" i="9"/>
  <c r="M39" i="8"/>
  <c r="AA147" i="182" s="1"/>
  <c r="M9" i="8"/>
  <c r="M21" i="8" s="1"/>
  <c r="AA146" i="182" s="1"/>
  <c r="M20" i="7"/>
  <c r="AA142" i="182" s="1"/>
  <c r="M17" i="7"/>
  <c r="AA141" i="182" s="1"/>
  <c r="M13" i="165"/>
  <c r="M25" i="22"/>
  <c r="M13" i="22"/>
  <c r="M18" i="18"/>
  <c r="M11" i="18"/>
  <c r="M12" i="18" s="1"/>
  <c r="M19" i="23"/>
  <c r="M13" i="23"/>
  <c r="M53" i="17"/>
  <c r="M50" i="17"/>
  <c r="M16" i="17"/>
  <c r="M22" i="56"/>
  <c r="M12" i="56"/>
  <c r="M14" i="13"/>
  <c r="M9" i="13"/>
  <c r="M11" i="13" s="1"/>
  <c r="M130" i="66" s="1"/>
  <c r="M17" i="86"/>
  <c r="M10" i="86"/>
  <c r="M10" i="48"/>
  <c r="M12" i="48" s="1"/>
  <c r="M67" i="66" s="1"/>
  <c r="M19" i="47"/>
  <c r="M16" i="47"/>
  <c r="M65" i="66" s="1"/>
  <c r="M14" i="46"/>
  <c r="M16" i="46" s="1"/>
  <c r="M64" i="66" s="1"/>
  <c r="M10" i="46"/>
  <c r="M10" i="45"/>
  <c r="M12" i="45" s="1"/>
  <c r="M63" i="66" s="1"/>
  <c r="M33" i="44"/>
  <c r="M20" i="44"/>
  <c r="M24" i="60"/>
  <c r="M11" i="60"/>
  <c r="M19" i="60" s="1"/>
  <c r="M57" i="43"/>
  <c r="M60" i="66" s="1"/>
  <c r="M48" i="43"/>
  <c r="M54" i="43" s="1"/>
  <c r="M28" i="43"/>
  <c r="M39" i="87"/>
  <c r="M14" i="139"/>
  <c r="M17" i="139" s="1"/>
  <c r="M54" i="66" s="1"/>
  <c r="M10" i="139"/>
  <c r="M15" i="41"/>
  <c r="M18" i="41" s="1"/>
  <c r="M52" i="66" s="1"/>
  <c r="M30" i="40"/>
  <c r="M13" i="40"/>
  <c r="M39" i="38"/>
  <c r="AA54" i="182" s="1"/>
  <c r="M13" i="38"/>
  <c r="M18" i="38" s="1"/>
  <c r="AA53" i="182" s="1"/>
  <c r="M17" i="77"/>
  <c r="M22" i="77" s="1"/>
  <c r="M28" i="149"/>
  <c r="AA44" i="182" s="1"/>
  <c r="M11" i="149"/>
  <c r="AA43" i="182" s="1"/>
  <c r="M13" i="36"/>
  <c r="M16" i="36" s="1"/>
  <c r="M47" i="66" s="1"/>
  <c r="M32" i="35"/>
  <c r="M16" i="35"/>
  <c r="AA33" i="182" s="1"/>
  <c r="M40" i="34"/>
  <c r="M45" i="66" s="1"/>
  <c r="M37" i="34"/>
  <c r="M42" i="34" s="1"/>
  <c r="M44" i="66" s="1"/>
  <c r="M16" i="34"/>
  <c r="M27" i="33"/>
  <c r="AA24" i="182" s="1"/>
  <c r="M17" i="31"/>
  <c r="M11" i="32"/>
  <c r="M14" i="32" s="1"/>
  <c r="M42" i="66" s="1"/>
  <c r="M34" i="30"/>
  <c r="M19" i="30"/>
  <c r="M21" i="29"/>
  <c r="M23" i="29" s="1"/>
  <c r="M39" i="66" s="1"/>
  <c r="M10" i="29"/>
  <c r="M15" i="165" l="1"/>
  <c r="M77" i="66" s="1"/>
  <c r="AA136" i="182"/>
  <c r="N15" i="165"/>
  <c r="N77" i="66" s="1"/>
  <c r="AC136" i="182"/>
  <c r="M105" i="66"/>
  <c r="AA186" i="182"/>
  <c r="N105" i="66"/>
  <c r="AC186" i="182"/>
  <c r="AC260" i="182"/>
  <c r="AC200" i="182"/>
  <c r="AH197" i="182"/>
  <c r="AA260" i="182"/>
  <c r="AC261" i="182"/>
  <c r="AH198" i="182"/>
  <c r="M20" i="31"/>
  <c r="M41" i="66" s="1"/>
  <c r="AA15" i="182"/>
  <c r="AA208" i="182"/>
  <c r="AA264" i="182"/>
  <c r="AH147" i="182"/>
  <c r="AF147" i="182"/>
  <c r="AL147" i="182"/>
  <c r="AC148" i="182"/>
  <c r="AH146" i="182"/>
  <c r="AA148" i="182"/>
  <c r="AA25" i="182"/>
  <c r="AC25" i="182"/>
  <c r="AH24" i="182"/>
  <c r="AC71" i="182"/>
  <c r="N41" i="87"/>
  <c r="N53" i="66" s="1"/>
  <c r="M41" i="87"/>
  <c r="M53" i="66" s="1"/>
  <c r="AA71" i="182"/>
  <c r="AA153" i="182"/>
  <c r="N26" i="9"/>
  <c r="N85" i="66" s="1"/>
  <c r="AC152" i="182"/>
  <c r="AA277" i="182"/>
  <c r="AC277" i="182"/>
  <c r="AC216" i="182"/>
  <c r="AH213" i="182"/>
  <c r="AC278" i="182"/>
  <c r="AH214" i="182"/>
  <c r="N59" i="15"/>
  <c r="N74" i="66" s="1"/>
  <c r="AC122" i="182"/>
  <c r="AC245" i="182" s="1"/>
  <c r="M59" i="15"/>
  <c r="M74" i="66" s="1"/>
  <c r="AA122" i="182"/>
  <c r="N24" i="77"/>
  <c r="N49" i="66" s="1"/>
  <c r="AC49" i="182"/>
  <c r="M24" i="77"/>
  <c r="M49" i="66" s="1"/>
  <c r="AA49" i="182"/>
  <c r="AH44" i="182"/>
  <c r="AA45" i="182"/>
  <c r="AC45" i="182"/>
  <c r="AH43" i="182"/>
  <c r="AH142" i="182"/>
  <c r="AC143" i="182"/>
  <c r="AH141" i="182"/>
  <c r="AA143" i="182"/>
  <c r="AH54" i="182"/>
  <c r="AC55" i="182"/>
  <c r="AH53" i="182"/>
  <c r="AA55" i="182"/>
  <c r="AC35" i="182"/>
  <c r="M34" i="35"/>
  <c r="M46" i="66" s="1"/>
  <c r="AA34" i="182"/>
  <c r="AA162" i="182"/>
  <c r="AC162" i="182"/>
  <c r="AH160" i="182"/>
  <c r="AH161" i="182"/>
  <c r="Q70" i="8"/>
  <c r="R70" i="8"/>
  <c r="AR147" i="182"/>
  <c r="AS147" i="182"/>
  <c r="AT147" i="182"/>
  <c r="AV147" i="182" s="1"/>
  <c r="M36" i="30"/>
  <c r="M40" i="66" s="1"/>
  <c r="M19" i="86"/>
  <c r="M68" i="66" s="1"/>
  <c r="M21" i="23"/>
  <c r="N34" i="35"/>
  <c r="N46" i="66" s="1"/>
  <c r="M29" i="49"/>
  <c r="M92" i="66" s="1"/>
  <c r="M21" i="47"/>
  <c r="M66" i="66"/>
  <c r="M26" i="56"/>
  <c r="M26" i="9"/>
  <c r="M85" i="66" s="1"/>
  <c r="M30" i="93"/>
  <c r="N19" i="86"/>
  <c r="N68" i="66" s="1"/>
  <c r="M27" i="22"/>
  <c r="M76" i="66" s="1"/>
  <c r="M30" i="149"/>
  <c r="M48" i="66" s="1"/>
  <c r="M55" i="17"/>
  <c r="M19" i="13"/>
  <c r="M131" i="66"/>
  <c r="M132" i="66" s="1"/>
  <c r="N23" i="29"/>
  <c r="N39" i="66" s="1"/>
  <c r="M35" i="44"/>
  <c r="M62" i="66" s="1"/>
  <c r="M29" i="5"/>
  <c r="M116" i="66" s="1"/>
  <c r="M64" i="51"/>
  <c r="M99" i="66" s="1"/>
  <c r="M32" i="40"/>
  <c r="M51" i="66" s="1"/>
  <c r="N17" i="139"/>
  <c r="N54" i="66" s="1"/>
  <c r="N41" i="38"/>
  <c r="N50" i="66" s="1"/>
  <c r="M46" i="11"/>
  <c r="M91" i="66" s="1"/>
  <c r="N30" i="149"/>
  <c r="N48" i="66" s="1"/>
  <c r="M17" i="15"/>
  <c r="AA120" i="182" s="1"/>
  <c r="AA243" i="182" s="1"/>
  <c r="M56" i="15"/>
  <c r="N22" i="7"/>
  <c r="N78" i="66" s="1"/>
  <c r="M22" i="7"/>
  <c r="M78" i="66" s="1"/>
  <c r="N23" i="54"/>
  <c r="N106" i="66"/>
  <c r="N108" i="66" s="1"/>
  <c r="M23" i="54"/>
  <c r="M106" i="66"/>
  <c r="M108" i="66" s="1"/>
  <c r="M64" i="12"/>
  <c r="N36" i="30"/>
  <c r="N40" i="66" s="1"/>
  <c r="N61" i="6"/>
  <c r="N117" i="66" s="1"/>
  <c r="N29" i="5"/>
  <c r="N116" i="66" s="1"/>
  <c r="N69" i="12"/>
  <c r="N114" i="66" s="1"/>
  <c r="M21" i="172"/>
  <c r="M47" i="24"/>
  <c r="N54" i="24"/>
  <c r="N123" i="66" s="1"/>
  <c r="N30" i="93"/>
  <c r="N29" i="49"/>
  <c r="N92" i="66" s="1"/>
  <c r="N46" i="11"/>
  <c r="N91" i="66" s="1"/>
  <c r="N41" i="8"/>
  <c r="N84" i="66" s="1"/>
  <c r="N27" i="22"/>
  <c r="N76" i="66" s="1"/>
  <c r="N12" i="18"/>
  <c r="N20" i="18" s="1"/>
  <c r="N75" i="66" s="1"/>
  <c r="N21" i="23"/>
  <c r="N55" i="17"/>
  <c r="N56" i="15"/>
  <c r="AC121" i="182" s="1"/>
  <c r="N26" i="56"/>
  <c r="N17" i="15"/>
  <c r="AC120" i="182" s="1"/>
  <c r="N21" i="47"/>
  <c r="N35" i="44"/>
  <c r="N62" i="66" s="1"/>
  <c r="N26" i="60"/>
  <c r="N61" i="66" s="1"/>
  <c r="N59" i="43"/>
  <c r="N59" i="66" s="1"/>
  <c r="N32" i="40"/>
  <c r="N51" i="66" s="1"/>
  <c r="M29" i="33"/>
  <c r="M43" i="66" s="1"/>
  <c r="N29" i="33"/>
  <c r="N43" i="66" s="1"/>
  <c r="N17" i="31"/>
  <c r="M41" i="8"/>
  <c r="M84" i="66" s="1"/>
  <c r="M20" i="18"/>
  <c r="M75" i="66" s="1"/>
  <c r="M26" i="60"/>
  <c r="M61" i="66" s="1"/>
  <c r="M59" i="43"/>
  <c r="M59" i="66" s="1"/>
  <c r="M41" i="38"/>
  <c r="M50" i="66" s="1"/>
  <c r="AC137" i="182" l="1"/>
  <c r="AH136" i="182"/>
  <c r="AA137" i="182"/>
  <c r="AC247" i="182"/>
  <c r="AC187" i="182"/>
  <c r="AH186" i="182"/>
  <c r="AA247" i="182"/>
  <c r="AA187" i="182"/>
  <c r="M54" i="24"/>
  <c r="M123" i="66" s="1"/>
  <c r="AA198" i="182"/>
  <c r="AC210" i="182"/>
  <c r="AH210" i="182" s="1"/>
  <c r="AH200" i="182"/>
  <c r="AC265" i="182"/>
  <c r="AC268" i="182" s="1"/>
  <c r="N20" i="31"/>
  <c r="N41" i="66" s="1"/>
  <c r="N56" i="66" s="1"/>
  <c r="AC15" i="182"/>
  <c r="AA16" i="182"/>
  <c r="N88" i="66"/>
  <c r="AH148" i="182"/>
  <c r="AH25" i="182"/>
  <c r="AA72" i="182"/>
  <c r="AC72" i="182"/>
  <c r="AH71" i="182"/>
  <c r="AC153" i="182"/>
  <c r="AH152" i="182"/>
  <c r="M69" i="12"/>
  <c r="M114" i="66" s="1"/>
  <c r="M120" i="66" s="1"/>
  <c r="AA214" i="182"/>
  <c r="AC232" i="182"/>
  <c r="AH216" i="182"/>
  <c r="AC282" i="182"/>
  <c r="AC285" i="182" s="1"/>
  <c r="AF122" i="182"/>
  <c r="AA245" i="182"/>
  <c r="AH122" i="182"/>
  <c r="M73" i="66"/>
  <c r="M80" i="66" s="1"/>
  <c r="AA121" i="182"/>
  <c r="AA123" i="182" s="1"/>
  <c r="AH121" i="182"/>
  <c r="AC123" i="182"/>
  <c r="AH120" i="182"/>
  <c r="AC244" i="182"/>
  <c r="AC243" i="182"/>
  <c r="AA50" i="182"/>
  <c r="AC50" i="182"/>
  <c r="AH49" i="182"/>
  <c r="AH45" i="182"/>
  <c r="AH143" i="182"/>
  <c r="AH55" i="182"/>
  <c r="AA35" i="182"/>
  <c r="AH162" i="182"/>
  <c r="AW147" i="182"/>
  <c r="N96" i="66"/>
  <c r="M96" i="66"/>
  <c r="M70" i="66"/>
  <c r="M56" i="66"/>
  <c r="M88" i="66"/>
  <c r="M61" i="15"/>
  <c r="N120" i="66"/>
  <c r="N70" i="66"/>
  <c r="N73" i="66"/>
  <c r="N80" i="66" s="1"/>
  <c r="N61" i="15"/>
  <c r="S11" i="6"/>
  <c r="S10" i="6"/>
  <c r="S9" i="6"/>
  <c r="O40" i="12"/>
  <c r="O39" i="12"/>
  <c r="O38" i="12"/>
  <c r="O20" i="93"/>
  <c r="N31" i="51"/>
  <c r="N61" i="51"/>
  <c r="N56" i="51"/>
  <c r="O12" i="18"/>
  <c r="N14" i="13"/>
  <c r="N11" i="13"/>
  <c r="N130" i="66" s="1"/>
  <c r="O46" i="43"/>
  <c r="O41" i="43"/>
  <c r="O32" i="43"/>
  <c r="O13" i="40"/>
  <c r="O17" i="77"/>
  <c r="AH137" i="182" l="1"/>
  <c r="AH187" i="182"/>
  <c r="AA193" i="182"/>
  <c r="AC271" i="182"/>
  <c r="AC270" i="182"/>
  <c r="AC272" i="182"/>
  <c r="AC269" i="182"/>
  <c r="AC273" i="182" s="1"/>
  <c r="AA261" i="182"/>
  <c r="AA265" i="182" s="1"/>
  <c r="AA272" i="182" s="1"/>
  <c r="AA200" i="182"/>
  <c r="AC16" i="182"/>
  <c r="AH15" i="182"/>
  <c r="AC193" i="182"/>
  <c r="AC234" i="182" s="1"/>
  <c r="AH72" i="182"/>
  <c r="AH153" i="182"/>
  <c r="AC288" i="182"/>
  <c r="AC289" i="182"/>
  <c r="AC287" i="182"/>
  <c r="AH232" i="182"/>
  <c r="AC286" i="182"/>
  <c r="AC290" i="182" s="1"/>
  <c r="AA278" i="182"/>
  <c r="AA216" i="182"/>
  <c r="AC248" i="182"/>
  <c r="AC251" i="182" s="1"/>
  <c r="AH123" i="182"/>
  <c r="AA244" i="182"/>
  <c r="AA248" i="182" s="1"/>
  <c r="AA251" i="182" s="1"/>
  <c r="AH50" i="182"/>
  <c r="AX147" i="182"/>
  <c r="M110" i="66"/>
  <c r="I21" i="2"/>
  <c r="N19" i="13"/>
  <c r="N131" i="66"/>
  <c r="N132" i="66" s="1"/>
  <c r="N64" i="51"/>
  <c r="N99" i="66" s="1"/>
  <c r="N110" i="66" s="1"/>
  <c r="AA270" i="182" l="1"/>
  <c r="AA268" i="182"/>
  <c r="AA269" i="182"/>
  <c r="AA271" i="182"/>
  <c r="AA210" i="182"/>
  <c r="AA234" i="182" s="1"/>
  <c r="AH16" i="182"/>
  <c r="AH193" i="182"/>
  <c r="AC253" i="182"/>
  <c r="AC255" i="182"/>
  <c r="AC254" i="182"/>
  <c r="AC252" i="182"/>
  <c r="AA282" i="182"/>
  <c r="AA252" i="182"/>
  <c r="AA254" i="182"/>
  <c r="AA255" i="182"/>
  <c r="AA253" i="182"/>
  <c r="N136" i="66"/>
  <c r="N111" i="66"/>
  <c r="M136" i="66"/>
  <c r="M273" i="66" s="1"/>
  <c r="M278" i="66" s="1"/>
  <c r="AH234" i="182"/>
  <c r="AY147" i="182"/>
  <c r="T172" i="66"/>
  <c r="AA273" i="182" l="1"/>
  <c r="AC256" i="182"/>
  <c r="AA256" i="182"/>
  <c r="AA288" i="182"/>
  <c r="AA289" i="182"/>
  <c r="AA287" i="182"/>
  <c r="AA285" i="182"/>
  <c r="AA286" i="182"/>
  <c r="AZ147" i="182"/>
  <c r="V18" i="12"/>
  <c r="T18" i="53"/>
  <c r="S16" i="52"/>
  <c r="T167" i="66"/>
  <c r="T25" i="22"/>
  <c r="T13" i="22"/>
  <c r="B86" i="179"/>
  <c r="A89" i="179"/>
  <c r="C88" i="179"/>
  <c r="B88" i="179"/>
  <c r="A88" i="179"/>
  <c r="A84" i="179"/>
  <c r="C82" i="179"/>
  <c r="B82" i="179"/>
  <c r="A82" i="179"/>
  <c r="C81" i="179"/>
  <c r="A81" i="179"/>
  <c r="C80" i="179"/>
  <c r="A80" i="179"/>
  <c r="B79" i="179"/>
  <c r="A79" i="179"/>
  <c r="B78" i="179"/>
  <c r="A78" i="179"/>
  <c r="B77" i="179"/>
  <c r="A77" i="179"/>
  <c r="B76" i="179"/>
  <c r="A76" i="179"/>
  <c r="B75" i="179"/>
  <c r="A75" i="179"/>
  <c r="B74" i="179"/>
  <c r="A74" i="179"/>
  <c r="B73" i="179"/>
  <c r="A73" i="179"/>
  <c r="B72" i="179"/>
  <c r="A72" i="179"/>
  <c r="B71" i="179"/>
  <c r="A71" i="179"/>
  <c r="C70" i="179"/>
  <c r="B70" i="179"/>
  <c r="A70" i="179"/>
  <c r="C69" i="179"/>
  <c r="B69" i="179"/>
  <c r="A69" i="179"/>
  <c r="D63" i="179"/>
  <c r="AA290" i="182" l="1"/>
  <c r="S17" i="52"/>
  <c r="T17" i="52" s="1"/>
  <c r="AQ182" i="182"/>
  <c r="T27" i="22"/>
  <c r="B84" i="179"/>
  <c r="B22" i="179"/>
  <c r="B23" i="179" s="1"/>
  <c r="B26" i="179" s="1"/>
  <c r="B41" i="179"/>
  <c r="B47" i="179" s="1"/>
  <c r="B11" i="179"/>
  <c r="B14" i="179" s="1"/>
  <c r="C45" i="179"/>
  <c r="D45" i="179" s="1"/>
  <c r="C44" i="179"/>
  <c r="D44" i="179" s="1"/>
  <c r="C39" i="179"/>
  <c r="D39" i="179" s="1"/>
  <c r="C38" i="179"/>
  <c r="D38" i="179" s="1"/>
  <c r="C37" i="179"/>
  <c r="D37" i="179" s="1"/>
  <c r="C36" i="179"/>
  <c r="D36" i="179" s="1"/>
  <c r="C34" i="179"/>
  <c r="D34" i="179" s="1"/>
  <c r="C33" i="179"/>
  <c r="D33" i="179" s="1"/>
  <c r="C32" i="179"/>
  <c r="D32" i="179" s="1"/>
  <c r="C31" i="179"/>
  <c r="D31" i="179" s="1"/>
  <c r="C30" i="179"/>
  <c r="D30" i="179" s="1"/>
  <c r="C29" i="179"/>
  <c r="D29" i="179" s="1"/>
  <c r="C25" i="179"/>
  <c r="D25" i="179" s="1"/>
  <c r="C20" i="179"/>
  <c r="D20" i="179" s="1"/>
  <c r="C19" i="179"/>
  <c r="D19" i="179" s="1"/>
  <c r="C18" i="179"/>
  <c r="D18" i="179" s="1"/>
  <c r="C17" i="179"/>
  <c r="D17" i="179" s="1"/>
  <c r="C16" i="179"/>
  <c r="C13" i="179"/>
  <c r="D13" i="179" s="1"/>
  <c r="C10" i="179"/>
  <c r="D10" i="179" s="1"/>
  <c r="C8" i="179"/>
  <c r="D8" i="179" s="1"/>
  <c r="AT182" i="182" l="1"/>
  <c r="AV182" i="182" s="1"/>
  <c r="AS182" i="182"/>
  <c r="AR182" i="182"/>
  <c r="AQ183" i="182"/>
  <c r="B49" i="179"/>
  <c r="AS183" i="182" l="1"/>
  <c r="AR183" i="182"/>
  <c r="AT183" i="182"/>
  <c r="AW182" i="182"/>
  <c r="AV183" i="182"/>
  <c r="B19" i="167"/>
  <c r="U149" i="66"/>
  <c r="T149" i="66"/>
  <c r="AW183" i="182" l="1"/>
  <c r="AX182" i="182"/>
  <c r="AY182" i="182" l="1"/>
  <c r="AX183" i="182"/>
  <c r="S159" i="66"/>
  <c r="M31" i="143"/>
  <c r="M30" i="143"/>
  <c r="AZ182" i="182" l="1"/>
  <c r="AZ183" i="182" s="1"/>
  <c r="AY183" i="182"/>
  <c r="S203" i="66"/>
  <c r="T203" i="66" s="1"/>
  <c r="U203" i="66" s="1"/>
  <c r="T93" i="66" l="1"/>
  <c r="T66" i="66"/>
  <c r="S66" i="66"/>
  <c r="S45" i="66"/>
  <c r="T66" i="12"/>
  <c r="T39" i="8"/>
  <c r="T54" i="15"/>
  <c r="T53" i="15"/>
  <c r="T52" i="15"/>
  <c r="T51" i="15"/>
  <c r="T50" i="15"/>
  <c r="T49" i="15"/>
  <c r="T48" i="15"/>
  <c r="T47" i="15"/>
  <c r="T46" i="15"/>
  <c r="T45" i="15"/>
  <c r="T44" i="15"/>
  <c r="T43" i="15"/>
  <c r="T42" i="15"/>
  <c r="T41" i="15"/>
  <c r="T39" i="15"/>
  <c r="T38" i="15"/>
  <c r="T37" i="15"/>
  <c r="T36" i="15"/>
  <c r="T35" i="15"/>
  <c r="T34" i="15"/>
  <c r="T33" i="15"/>
  <c r="T32" i="15"/>
  <c r="T31" i="15"/>
  <c r="T30" i="15"/>
  <c r="T29" i="15"/>
  <c r="T28" i="15"/>
  <c r="T27" i="15"/>
  <c r="T26" i="15"/>
  <c r="T25" i="15"/>
  <c r="T24" i="15"/>
  <c r="T23" i="15"/>
  <c r="T22" i="15"/>
  <c r="T21" i="15"/>
  <c r="T20" i="15"/>
  <c r="T19" i="15"/>
  <c r="T16" i="15"/>
  <c r="T15" i="15"/>
  <c r="T14" i="15"/>
  <c r="T13" i="15"/>
  <c r="T12" i="15"/>
  <c r="T11" i="15"/>
  <c r="T19" i="23"/>
  <c r="T10" i="15"/>
  <c r="T53" i="17"/>
  <c r="T50" i="17"/>
  <c r="T19" i="30"/>
  <c r="S24" i="66"/>
  <c r="S10" i="66"/>
  <c r="S115" i="66" l="1"/>
  <c r="M119" i="129" s="1"/>
  <c r="I30" i="178" l="1"/>
  <c r="G30" i="178"/>
  <c r="J24" i="178"/>
  <c r="J23" i="178"/>
  <c r="K23" i="178" s="1"/>
  <c r="J30" i="178" s="1"/>
  <c r="K17" i="178"/>
  <c r="C13" i="178"/>
  <c r="D13" i="178" s="1"/>
  <c r="J12" i="178"/>
  <c r="J18" i="178" s="1"/>
  <c r="C12" i="178"/>
  <c r="J11" i="178"/>
  <c r="J17" i="178" s="1"/>
  <c r="C11" i="178"/>
  <c r="C10" i="178"/>
  <c r="C9" i="178"/>
  <c r="K24" i="178" l="1"/>
  <c r="D10" i="178"/>
  <c r="D12" i="178"/>
  <c r="K18" i="178"/>
  <c r="D11" i="178"/>
  <c r="K30" i="178"/>
  <c r="I13" i="167" l="1"/>
  <c r="P83" i="38" l="1"/>
  <c r="Q83" i="38" l="1"/>
  <c r="R83" i="38" s="1"/>
  <c r="C40" i="179"/>
  <c r="D40" i="179" s="1"/>
  <c r="R13" i="40" l="1"/>
  <c r="AM58" i="182" s="1"/>
  <c r="R27" i="33"/>
  <c r="AM24" i="182" s="1"/>
  <c r="AN58" i="182" l="1"/>
  <c r="AN24" i="182"/>
  <c r="AM25" i="182"/>
  <c r="AN25" i="182" s="1"/>
  <c r="S38" i="12"/>
  <c r="S39" i="12"/>
  <c r="S40" i="12"/>
  <c r="P143" i="12"/>
  <c r="B143" i="12"/>
  <c r="A143" i="12"/>
  <c r="P142" i="12"/>
  <c r="B142" i="12"/>
  <c r="A142" i="12"/>
  <c r="P141" i="12"/>
  <c r="B141" i="12"/>
  <c r="A141" i="12"/>
  <c r="P140" i="12"/>
  <c r="B140" i="12"/>
  <c r="A140" i="12"/>
  <c r="B139" i="12"/>
  <c r="A139" i="12"/>
  <c r="P138" i="12"/>
  <c r="B138" i="12"/>
  <c r="A138" i="12"/>
  <c r="P137" i="12"/>
  <c r="B137" i="12"/>
  <c r="A137" i="12"/>
  <c r="P135" i="12"/>
  <c r="B135" i="12"/>
  <c r="A135" i="12"/>
  <c r="P134" i="12"/>
  <c r="B134" i="12"/>
  <c r="A134" i="12"/>
  <c r="P133" i="12"/>
  <c r="B133" i="12"/>
  <c r="A133" i="12"/>
  <c r="P132" i="12"/>
  <c r="B132" i="12"/>
  <c r="A132" i="12"/>
  <c r="P131" i="12"/>
  <c r="B131" i="12"/>
  <c r="A131" i="12"/>
  <c r="P130" i="12"/>
  <c r="B130" i="12"/>
  <c r="A130" i="12"/>
  <c r="P129" i="12"/>
  <c r="B129" i="12"/>
  <c r="A129" i="12"/>
  <c r="P128" i="12"/>
  <c r="B128" i="12"/>
  <c r="A128" i="12"/>
  <c r="P127" i="12"/>
  <c r="B127" i="12"/>
  <c r="A127" i="12"/>
  <c r="P126" i="12"/>
  <c r="B126" i="12"/>
  <c r="A126" i="12"/>
  <c r="P125" i="12"/>
  <c r="B125" i="12"/>
  <c r="A125" i="12"/>
  <c r="P124" i="12"/>
  <c r="B124" i="12"/>
  <c r="A124" i="12"/>
  <c r="P123" i="12"/>
  <c r="B123" i="12"/>
  <c r="A123" i="12"/>
  <c r="P122" i="12"/>
  <c r="B122" i="12"/>
  <c r="A122" i="12"/>
  <c r="P121" i="12"/>
  <c r="B121" i="12"/>
  <c r="A121" i="12"/>
  <c r="P120" i="12"/>
  <c r="B120" i="12"/>
  <c r="A120" i="12"/>
  <c r="P119" i="12"/>
  <c r="B119" i="12"/>
  <c r="A119" i="12"/>
  <c r="P118" i="12"/>
  <c r="B118" i="12"/>
  <c r="A118" i="12"/>
  <c r="P117" i="12"/>
  <c r="B117" i="12"/>
  <c r="A117" i="12"/>
  <c r="P116" i="12"/>
  <c r="B116" i="12"/>
  <c r="A116" i="12"/>
  <c r="P115" i="12"/>
  <c r="B115" i="12"/>
  <c r="P113" i="12"/>
  <c r="B113" i="12"/>
  <c r="A113" i="12"/>
  <c r="P112" i="12"/>
  <c r="B112" i="12"/>
  <c r="A112" i="12"/>
  <c r="P110" i="12"/>
  <c r="B110" i="12"/>
  <c r="A110" i="12"/>
  <c r="P109" i="12"/>
  <c r="B109" i="12"/>
  <c r="A109" i="12"/>
  <c r="P108" i="12"/>
  <c r="B108" i="12"/>
  <c r="A108" i="12"/>
  <c r="P107" i="12"/>
  <c r="B107" i="12"/>
  <c r="A107" i="12"/>
  <c r="P106" i="12"/>
  <c r="B106" i="12"/>
  <c r="A106" i="12"/>
  <c r="P105" i="12"/>
  <c r="B105" i="12"/>
  <c r="A105" i="12"/>
  <c r="P104" i="12"/>
  <c r="B104" i="12"/>
  <c r="A104" i="12"/>
  <c r="P103" i="12"/>
  <c r="B103" i="12"/>
  <c r="A103" i="12"/>
  <c r="P102" i="12"/>
  <c r="B102" i="12"/>
  <c r="A102" i="12"/>
  <c r="Q126" i="12" l="1"/>
  <c r="Q134" i="12"/>
  <c r="R134" i="12" s="1"/>
  <c r="Q140" i="12"/>
  <c r="R140" i="12" s="1"/>
  <c r="Q142" i="12"/>
  <c r="R142" i="12" s="1"/>
  <c r="Q102" i="12"/>
  <c r="R102" i="12" s="1"/>
  <c r="Q117" i="12"/>
  <c r="R117" i="12" s="1"/>
  <c r="Q122" i="12"/>
  <c r="R122" i="12" s="1"/>
  <c r="Q104" i="12"/>
  <c r="R104" i="12" s="1"/>
  <c r="Q106" i="12"/>
  <c r="R106" i="12" s="1"/>
  <c r="Q103" i="12"/>
  <c r="R103" i="12" s="1"/>
  <c r="Q107" i="12"/>
  <c r="R107" i="12" s="1"/>
  <c r="Q112" i="12"/>
  <c r="R112" i="12" s="1"/>
  <c r="Q121" i="12"/>
  <c r="R121" i="12" s="1"/>
  <c r="R126" i="12"/>
  <c r="Q110" i="12"/>
  <c r="R110" i="12" s="1"/>
  <c r="Q137" i="12"/>
  <c r="R137" i="12" s="1"/>
  <c r="Q141" i="12"/>
  <c r="R141" i="12" s="1"/>
  <c r="Q118" i="12"/>
  <c r="R118" i="12" s="1"/>
  <c r="Q108" i="12"/>
  <c r="R108" i="12" s="1"/>
  <c r="Q119" i="12"/>
  <c r="R119" i="12" s="1"/>
  <c r="Q113" i="12"/>
  <c r="R113" i="12" s="1"/>
  <c r="Q116" i="12"/>
  <c r="R116" i="12" s="1"/>
  <c r="Q109" i="12"/>
  <c r="R109" i="12" s="1"/>
  <c r="Q120" i="12"/>
  <c r="R120" i="12" s="1"/>
  <c r="Q131" i="12"/>
  <c r="R131" i="12" s="1"/>
  <c r="Q115" i="12"/>
  <c r="R115" i="12" s="1"/>
  <c r="Q128" i="12"/>
  <c r="R128" i="12" s="1"/>
  <c r="Q135" i="12"/>
  <c r="R135" i="12" s="1"/>
  <c r="Q138" i="12"/>
  <c r="R138" i="12" s="1"/>
  <c r="Q123" i="12"/>
  <c r="R123" i="12" s="1"/>
  <c r="Q132" i="12"/>
  <c r="R132" i="12" s="1"/>
  <c r="Q127" i="12"/>
  <c r="R127" i="12" s="1"/>
  <c r="Q105" i="12"/>
  <c r="R105" i="12" s="1"/>
  <c r="Q143" i="12"/>
  <c r="R143" i="12" s="1"/>
  <c r="Q125" i="12"/>
  <c r="R125" i="12" s="1"/>
  <c r="Q133" i="12"/>
  <c r="R133" i="12" s="1"/>
  <c r="P30" i="31" l="1"/>
  <c r="O30" i="31"/>
  <c r="P73" i="34"/>
  <c r="Q73" i="34" l="1"/>
  <c r="R73" i="34" s="1"/>
  <c r="Q30" i="31"/>
  <c r="R30" i="31" s="1"/>
  <c r="T248" i="66" l="1"/>
  <c r="V248" i="66" l="1"/>
  <c r="P88" i="11" l="1"/>
  <c r="P87" i="11"/>
  <c r="P49" i="40"/>
  <c r="Q49" i="40" l="1"/>
  <c r="R49" i="40" s="1"/>
  <c r="Q87" i="11"/>
  <c r="R87" i="11" s="1"/>
  <c r="B8" i="173" l="1"/>
  <c r="B6" i="173"/>
  <c r="B5" i="173"/>
  <c r="B4" i="173"/>
  <c r="J130" i="129" l="1"/>
  <c r="J69" i="129"/>
  <c r="D38" i="170"/>
  <c r="R12" i="167"/>
  <c r="R21" i="167" s="1"/>
  <c r="A25" i="167"/>
  <c r="R43" i="167" l="1"/>
  <c r="R44" i="167" s="1"/>
  <c r="R22" i="167"/>
  <c r="R13" i="167"/>
  <c r="T160" i="66"/>
  <c r="T159" i="66"/>
  <c r="T237" i="66"/>
  <c r="T158" i="66"/>
  <c r="U158" i="66" s="1"/>
  <c r="AA257" i="66" l="1"/>
  <c r="X236" i="66"/>
  <c r="B25" i="167"/>
  <c r="D25" i="167" s="1"/>
  <c r="U237" i="66"/>
  <c r="X159" i="66"/>
  <c r="X271" i="66" s="1"/>
  <c r="V160" i="66"/>
  <c r="R26" i="66"/>
  <c r="AA22" i="66" l="1"/>
  <c r="S22" i="66"/>
  <c r="K16" i="144" l="1"/>
  <c r="AX18" i="172" l="1"/>
  <c r="AW18" i="172"/>
  <c r="AV18" i="172"/>
  <c r="AU18" i="172"/>
  <c r="AT18" i="172"/>
  <c r="AS18" i="172"/>
  <c r="AR18" i="172"/>
  <c r="AQ18" i="172"/>
  <c r="AP18" i="172"/>
  <c r="AO18" i="172"/>
  <c r="AN18" i="172"/>
  <c r="AM18" i="172"/>
  <c r="AL18" i="172"/>
  <c r="AK18" i="172"/>
  <c r="AJ18" i="172"/>
  <c r="AI18" i="172"/>
  <c r="AH18" i="172"/>
  <c r="AG18" i="172"/>
  <c r="AF18" i="172"/>
  <c r="AE18" i="172"/>
  <c r="AD18" i="172"/>
  <c r="AC18" i="172"/>
  <c r="AB18" i="172"/>
  <c r="AA18" i="172"/>
  <c r="Z18" i="172"/>
  <c r="Y18" i="172"/>
  <c r="X18" i="172"/>
  <c r="W18" i="172"/>
  <c r="AX12" i="172"/>
  <c r="AX21" i="172" s="1"/>
  <c r="AW12" i="172"/>
  <c r="AV12" i="172"/>
  <c r="AU12" i="172"/>
  <c r="AT12" i="172"/>
  <c r="AS12" i="172"/>
  <c r="AR12" i="172"/>
  <c r="AQ12" i="172"/>
  <c r="AP12" i="172"/>
  <c r="AP21" i="172" s="1"/>
  <c r="AO12" i="172"/>
  <c r="AN12" i="172"/>
  <c r="AM12" i="172"/>
  <c r="AL12" i="172"/>
  <c r="AK12" i="172"/>
  <c r="AJ12" i="172"/>
  <c r="AI12" i="172"/>
  <c r="AI21" i="172" s="1"/>
  <c r="AH12" i="172"/>
  <c r="AG12" i="172"/>
  <c r="AF12" i="172"/>
  <c r="AE12" i="172"/>
  <c r="AD12" i="172"/>
  <c r="AC12" i="172"/>
  <c r="AB12" i="172"/>
  <c r="AA12" i="172"/>
  <c r="Z12" i="172"/>
  <c r="Y12" i="172"/>
  <c r="X12" i="172"/>
  <c r="W12" i="172"/>
  <c r="BA54" i="51"/>
  <c r="BA29" i="51"/>
  <c r="BA28" i="51"/>
  <c r="BA53" i="51"/>
  <c r="I19" i="2"/>
  <c r="AN21" i="172" l="1"/>
  <c r="AV21" i="172"/>
  <c r="AC21" i="172"/>
  <c r="AK21" i="172"/>
  <c r="AS21" i="172"/>
  <c r="AO21" i="172"/>
  <c r="AW21" i="172"/>
  <c r="AQ21" i="172"/>
  <c r="AR21" i="172"/>
  <c r="AL21" i="172"/>
  <c r="AT21" i="172"/>
  <c r="AM21" i="172"/>
  <c r="AU21" i="172"/>
  <c r="AA21" i="172"/>
  <c r="AG21" i="172"/>
  <c r="AF21" i="172"/>
  <c r="Y21" i="172"/>
  <c r="AH21" i="172"/>
  <c r="Z21" i="172"/>
  <c r="AJ21" i="172"/>
  <c r="AE21" i="172"/>
  <c r="AD21" i="172"/>
  <c r="AB21" i="172"/>
  <c r="X21" i="172"/>
  <c r="W21" i="172"/>
  <c r="P44" i="33" l="1"/>
  <c r="P101" i="17"/>
  <c r="P101" i="12"/>
  <c r="P100" i="12"/>
  <c r="J31" i="54"/>
  <c r="J24" i="10"/>
  <c r="J23" i="10"/>
  <c r="J22" i="10"/>
  <c r="O79" i="8"/>
  <c r="R29" i="7"/>
  <c r="O24" i="165"/>
  <c r="O27" i="165" s="1"/>
  <c r="O50" i="17"/>
  <c r="O95" i="17"/>
  <c r="O94" i="17"/>
  <c r="O75" i="17"/>
  <c r="O74" i="17"/>
  <c r="P26" i="46"/>
  <c r="O55" i="60"/>
  <c r="P104" i="43"/>
  <c r="P103" i="43"/>
  <c r="K28" i="139"/>
  <c r="K26" i="139"/>
  <c r="O50" i="40"/>
  <c r="O51" i="40"/>
  <c r="O78" i="38"/>
  <c r="O67" i="35"/>
  <c r="O72" i="34"/>
  <c r="O61" i="34"/>
  <c r="O43" i="33"/>
  <c r="O33" i="31"/>
  <c r="O32" i="31"/>
  <c r="O31" i="31"/>
  <c r="O28" i="31"/>
  <c r="O35" i="31" s="1"/>
  <c r="O27" i="31"/>
  <c r="O26" i="31"/>
  <c r="O60" i="30"/>
  <c r="O31" i="41" l="1"/>
  <c r="K30" i="139"/>
  <c r="Q44" i="33"/>
  <c r="R44" i="33" s="1"/>
  <c r="O103" i="17"/>
  <c r="O32" i="86"/>
  <c r="S49" i="34" l="1"/>
  <c r="C21" i="179" l="1"/>
  <c r="C22" i="179"/>
  <c r="D22" i="179" s="1"/>
  <c r="U29" i="26" l="1"/>
  <c r="D21" i="179"/>
  <c r="D23" i="179" s="1"/>
  <c r="D26" i="179" s="1"/>
  <c r="C23" i="179"/>
  <c r="C26" i="179" s="1"/>
  <c r="R31" i="26" l="1"/>
  <c r="L12" i="12"/>
  <c r="L32" i="12"/>
  <c r="L55" i="15"/>
  <c r="L26" i="43"/>
  <c r="L11" i="149"/>
  <c r="Y43" i="182" s="1"/>
  <c r="L16" i="34"/>
  <c r="T148" i="66"/>
  <c r="O12" i="66"/>
  <c r="O21" i="66"/>
  <c r="O27" i="66"/>
  <c r="O29" i="66"/>
  <c r="O28" i="66"/>
  <c r="O26" i="66"/>
  <c r="O25" i="66"/>
  <c r="O20" i="66"/>
  <c r="O19" i="66"/>
  <c r="O11" i="66"/>
  <c r="O9" i="66"/>
  <c r="N105" i="26"/>
  <c r="N108" i="26" s="1"/>
  <c r="N93" i="26"/>
  <c r="N83" i="26"/>
  <c r="N31" i="26"/>
  <c r="AD43" i="182" l="1"/>
  <c r="N32" i="26"/>
  <c r="N33" i="26" s="1"/>
  <c r="P32" i="26"/>
  <c r="P33" i="26" s="1"/>
  <c r="R7" i="66"/>
  <c r="R32" i="26"/>
  <c r="R33" i="26" s="1"/>
  <c r="O7" i="66"/>
  <c r="O17" i="66"/>
  <c r="N106" i="26"/>
  <c r="N52" i="26"/>
  <c r="N109" i="26"/>
  <c r="N112" i="26" s="1"/>
  <c r="N111" i="26"/>
  <c r="B7" i="173" l="1"/>
  <c r="N114" i="26"/>
  <c r="B10" i="173" l="1"/>
  <c r="N58" i="26"/>
  <c r="L15" i="4"/>
  <c r="L18" i="4" s="1"/>
  <c r="O59" i="6"/>
  <c r="L59" i="6"/>
  <c r="O56" i="6"/>
  <c r="L56" i="6"/>
  <c r="O29" i="6"/>
  <c r="L29" i="6"/>
  <c r="O12" i="5"/>
  <c r="L27" i="5"/>
  <c r="O24" i="5"/>
  <c r="O29" i="5" s="1"/>
  <c r="L24" i="5"/>
  <c r="L12" i="5"/>
  <c r="R64" i="12"/>
  <c r="AM214" i="182" s="1"/>
  <c r="K64" i="12"/>
  <c r="X214" i="182" s="1"/>
  <c r="J64" i="12"/>
  <c r="V214" i="182" s="1"/>
  <c r="L64" i="12"/>
  <c r="Y214" i="182" s="1"/>
  <c r="O16" i="12"/>
  <c r="AE213" i="182" s="1"/>
  <c r="L16" i="12"/>
  <c r="Y213" i="182" s="1"/>
  <c r="L14" i="171"/>
  <c r="L17" i="171" s="1"/>
  <c r="Y207" i="182" s="1"/>
  <c r="O12" i="172"/>
  <c r="O18" i="172"/>
  <c r="L18" i="172"/>
  <c r="L12" i="172"/>
  <c r="O16" i="24"/>
  <c r="AE197" i="182" s="1"/>
  <c r="L47" i="24"/>
  <c r="Y198" i="182" s="1"/>
  <c r="L16" i="24"/>
  <c r="Y197" i="182" s="1"/>
  <c r="S22" i="93"/>
  <c r="L26" i="93"/>
  <c r="L20" i="93"/>
  <c r="O21" i="54"/>
  <c r="L21" i="54"/>
  <c r="O18" i="53"/>
  <c r="O20" i="53" s="1"/>
  <c r="AE186" i="182" s="1"/>
  <c r="L18" i="53"/>
  <c r="L20" i="53" s="1"/>
  <c r="Y186" i="182" s="1"/>
  <c r="L16" i="52"/>
  <c r="O61" i="51"/>
  <c r="L61" i="51"/>
  <c r="O56" i="51"/>
  <c r="L56" i="51"/>
  <c r="O31" i="51"/>
  <c r="L31" i="51"/>
  <c r="O11" i="50"/>
  <c r="L11" i="50"/>
  <c r="L14" i="50" s="1"/>
  <c r="O12" i="135"/>
  <c r="O15" i="135" s="1"/>
  <c r="L12" i="135"/>
  <c r="L15" i="135" s="1"/>
  <c r="L93" i="66" s="1"/>
  <c r="L27" i="49"/>
  <c r="O13" i="49"/>
  <c r="L13" i="49"/>
  <c r="O44" i="11"/>
  <c r="L44" i="11"/>
  <c r="O41" i="11"/>
  <c r="AE161" i="182" s="1"/>
  <c r="L41" i="11"/>
  <c r="Y161" i="182" s="1"/>
  <c r="O16" i="11"/>
  <c r="AE160" i="182" s="1"/>
  <c r="L16" i="11"/>
  <c r="Y160" i="182" s="1"/>
  <c r="O12" i="10"/>
  <c r="L12" i="10"/>
  <c r="L15" i="10" s="1"/>
  <c r="O24" i="9"/>
  <c r="AE152" i="182" s="1"/>
  <c r="L24" i="9"/>
  <c r="Y152" i="182" s="1"/>
  <c r="O11" i="9"/>
  <c r="L11" i="9"/>
  <c r="O21" i="8"/>
  <c r="AE146" i="182" s="1"/>
  <c r="L21" i="8"/>
  <c r="Y146" i="182" s="1"/>
  <c r="L39" i="8"/>
  <c r="Y147" i="182" s="1"/>
  <c r="O20" i="7"/>
  <c r="AE142" i="182" s="1"/>
  <c r="L20" i="7"/>
  <c r="Y142" i="182" s="1"/>
  <c r="O17" i="7"/>
  <c r="AE141" i="182" s="1"/>
  <c r="L17" i="7"/>
  <c r="Y141" i="182" s="1"/>
  <c r="O13" i="165"/>
  <c r="AE136" i="182" s="1"/>
  <c r="L13" i="165"/>
  <c r="O25" i="22"/>
  <c r="L25" i="22"/>
  <c r="S12" i="18"/>
  <c r="O13" i="22"/>
  <c r="L13" i="22"/>
  <c r="O18" i="18"/>
  <c r="L18" i="18"/>
  <c r="L12" i="18"/>
  <c r="AE137" i="182" l="1"/>
  <c r="AF136" i="182"/>
  <c r="AL136" i="182"/>
  <c r="L15" i="165"/>
  <c r="Y136" i="182"/>
  <c r="Y247" i="182"/>
  <c r="Y187" i="182"/>
  <c r="AD186" i="182"/>
  <c r="AE247" i="182"/>
  <c r="AE187" i="182"/>
  <c r="AF186" i="182"/>
  <c r="AL186" i="182"/>
  <c r="Y260" i="182"/>
  <c r="Y200" i="182"/>
  <c r="AD197" i="182"/>
  <c r="Y261" i="182"/>
  <c r="AD198" i="182"/>
  <c r="AE260" i="182"/>
  <c r="AF197" i="182"/>
  <c r="AL197" i="182"/>
  <c r="Y208" i="182"/>
  <c r="Y264" i="182"/>
  <c r="AD207" i="182"/>
  <c r="AD147" i="182"/>
  <c r="Y148" i="182"/>
  <c r="AD146" i="182"/>
  <c r="AF146" i="182"/>
  <c r="AE148" i="182"/>
  <c r="AL146" i="182"/>
  <c r="Y153" i="182"/>
  <c r="AD152" i="182"/>
  <c r="AF152" i="182"/>
  <c r="AE153" i="182"/>
  <c r="AL152" i="182"/>
  <c r="AN214" i="182"/>
  <c r="Y277" i="182"/>
  <c r="Y216" i="182"/>
  <c r="AD213" i="182"/>
  <c r="AE277" i="182"/>
  <c r="AF213" i="182"/>
  <c r="AL213" i="182"/>
  <c r="X278" i="182"/>
  <c r="AB214" i="182"/>
  <c r="Y278" i="182"/>
  <c r="Z214" i="182"/>
  <c r="AD214" i="182"/>
  <c r="V278" i="182"/>
  <c r="Y143" i="182"/>
  <c r="AD141" i="182"/>
  <c r="AE143" i="182"/>
  <c r="AF141" i="182"/>
  <c r="AL141" i="182"/>
  <c r="AD142" i="182"/>
  <c r="AF142" i="182"/>
  <c r="AE245" i="182"/>
  <c r="AL142" i="182"/>
  <c r="AD161" i="182"/>
  <c r="AF161" i="182"/>
  <c r="AL161" i="182"/>
  <c r="Y162" i="182"/>
  <c r="AD160" i="182"/>
  <c r="AF160" i="182"/>
  <c r="AE162" i="182"/>
  <c r="AL160" i="182"/>
  <c r="P59" i="26"/>
  <c r="P60" i="26" s="1"/>
  <c r="N59" i="26"/>
  <c r="N60" i="26" s="1"/>
  <c r="L21" i="172"/>
  <c r="R30" i="7"/>
  <c r="O8" i="66"/>
  <c r="O13" i="171"/>
  <c r="O15" i="10"/>
  <c r="O27" i="22"/>
  <c r="O93" i="66"/>
  <c r="L94" i="66"/>
  <c r="J70" i="129"/>
  <c r="L102" i="66"/>
  <c r="J77" i="129"/>
  <c r="K131" i="129"/>
  <c r="J129" i="129"/>
  <c r="L86" i="66"/>
  <c r="J63" i="129"/>
  <c r="O14" i="50"/>
  <c r="O16" i="52"/>
  <c r="L77" i="66"/>
  <c r="J49" i="129"/>
  <c r="O86" i="66"/>
  <c r="O15" i="165"/>
  <c r="L118" i="66"/>
  <c r="J121" i="129"/>
  <c r="O147" i="12"/>
  <c r="L105" i="66"/>
  <c r="J86" i="129"/>
  <c r="O105" i="66"/>
  <c r="Q124" i="12"/>
  <c r="R124" i="12" s="1"/>
  <c r="Q129" i="12"/>
  <c r="R129" i="12" s="1"/>
  <c r="Q130" i="12"/>
  <c r="R130" i="12" s="1"/>
  <c r="L29" i="5"/>
  <c r="L116" i="66" s="1"/>
  <c r="O23" i="54"/>
  <c r="O106" i="66"/>
  <c r="O21" i="172"/>
  <c r="O124" i="66" s="1"/>
  <c r="O64" i="12"/>
  <c r="AE214" i="182" s="1"/>
  <c r="O27" i="49"/>
  <c r="O47" i="24"/>
  <c r="AE198" i="182" s="1"/>
  <c r="O61" i="6"/>
  <c r="L61" i="6"/>
  <c r="L54" i="24"/>
  <c r="L123" i="66" s="1"/>
  <c r="L30" i="93"/>
  <c r="L23" i="54"/>
  <c r="J87" i="129" s="1"/>
  <c r="L106" i="66"/>
  <c r="L29" i="49"/>
  <c r="L46" i="11"/>
  <c r="L26" i="9"/>
  <c r="L41" i="8"/>
  <c r="L22" i="7"/>
  <c r="L27" i="22"/>
  <c r="L20" i="18"/>
  <c r="L69" i="12"/>
  <c r="L64" i="51"/>
  <c r="O64" i="51"/>
  <c r="O46" i="11"/>
  <c r="O26" i="9"/>
  <c r="O41" i="8"/>
  <c r="O22" i="7"/>
  <c r="L19" i="23"/>
  <c r="L13" i="23"/>
  <c r="O19" i="23"/>
  <c r="O13" i="23"/>
  <c r="O16" i="17"/>
  <c r="O53" i="17"/>
  <c r="L53" i="17"/>
  <c r="L50" i="17"/>
  <c r="L16" i="17"/>
  <c r="O22" i="56"/>
  <c r="L22" i="56"/>
  <c r="O12" i="56"/>
  <c r="L12" i="56"/>
  <c r="L58" i="15"/>
  <c r="Y122" i="182" s="1"/>
  <c r="Y245" i="182" s="1"/>
  <c r="O54" i="15"/>
  <c r="L54" i="15"/>
  <c r="O53" i="15"/>
  <c r="L53" i="15"/>
  <c r="O52" i="15"/>
  <c r="L52" i="15"/>
  <c r="O51" i="15"/>
  <c r="L51" i="15"/>
  <c r="O50" i="15"/>
  <c r="L50" i="15"/>
  <c r="O49" i="15"/>
  <c r="L49" i="15"/>
  <c r="O48" i="15"/>
  <c r="L48" i="15"/>
  <c r="O47" i="15"/>
  <c r="L47" i="15"/>
  <c r="O46" i="15"/>
  <c r="L46" i="15"/>
  <c r="O45" i="15"/>
  <c r="L45" i="15"/>
  <c r="O44" i="15"/>
  <c r="L44" i="15"/>
  <c r="O43" i="15"/>
  <c r="L43" i="15"/>
  <c r="O42" i="15"/>
  <c r="L42" i="15"/>
  <c r="O41" i="15"/>
  <c r="L41" i="15"/>
  <c r="O39" i="15"/>
  <c r="L39" i="15"/>
  <c r="O38" i="15"/>
  <c r="L38" i="15"/>
  <c r="O37" i="15"/>
  <c r="L37" i="15"/>
  <c r="O36" i="15"/>
  <c r="L36" i="15"/>
  <c r="O35" i="15"/>
  <c r="L35" i="15"/>
  <c r="O34" i="15"/>
  <c r="L34" i="15"/>
  <c r="O33" i="15"/>
  <c r="L33" i="15"/>
  <c r="O32" i="15"/>
  <c r="L32" i="15"/>
  <c r="O31" i="15"/>
  <c r="L31" i="15"/>
  <c r="O30" i="15"/>
  <c r="L30" i="15"/>
  <c r="O29" i="15"/>
  <c r="L29" i="15"/>
  <c r="O28" i="15"/>
  <c r="L28" i="15"/>
  <c r="O27" i="15"/>
  <c r="L27" i="15"/>
  <c r="O26" i="15"/>
  <c r="L26" i="15"/>
  <c r="O25" i="15"/>
  <c r="L25" i="15"/>
  <c r="O24" i="15"/>
  <c r="L24" i="15"/>
  <c r="O23" i="15"/>
  <c r="L23" i="15"/>
  <c r="O22" i="15"/>
  <c r="L22" i="15"/>
  <c r="O21" i="15"/>
  <c r="L21" i="15"/>
  <c r="O20" i="15"/>
  <c r="L20" i="15"/>
  <c r="O19" i="15"/>
  <c r="L19" i="15"/>
  <c r="O16" i="15"/>
  <c r="L16" i="15"/>
  <c r="O15" i="15"/>
  <c r="L15" i="15"/>
  <c r="O14" i="15"/>
  <c r="L14" i="15"/>
  <c r="O13" i="15"/>
  <c r="L13" i="15"/>
  <c r="O12" i="15"/>
  <c r="L12" i="15"/>
  <c r="O11" i="15"/>
  <c r="L11" i="15"/>
  <c r="O10" i="15"/>
  <c r="L10" i="15"/>
  <c r="O9" i="15"/>
  <c r="L9" i="15"/>
  <c r="O11" i="13"/>
  <c r="O130" i="66" s="1"/>
  <c r="O14" i="13"/>
  <c r="O131" i="66" s="1"/>
  <c r="B64" i="179" s="1"/>
  <c r="L14" i="13"/>
  <c r="L131" i="66" s="1"/>
  <c r="L11" i="13"/>
  <c r="L130" i="66" s="1"/>
  <c r="O10" i="86"/>
  <c r="O17" i="86"/>
  <c r="L17" i="86"/>
  <c r="L10" i="86"/>
  <c r="O10" i="48"/>
  <c r="L10" i="48"/>
  <c r="L12" i="48" s="1"/>
  <c r="O19" i="47"/>
  <c r="O66" i="66" s="1"/>
  <c r="L19" i="47"/>
  <c r="L66" i="66" s="1"/>
  <c r="O16" i="47"/>
  <c r="L16" i="47"/>
  <c r="L65" i="66" s="1"/>
  <c r="O14" i="46"/>
  <c r="L14" i="46"/>
  <c r="O10" i="46"/>
  <c r="L10" i="46"/>
  <c r="O10" i="45"/>
  <c r="L10" i="45"/>
  <c r="L12" i="45" s="1"/>
  <c r="O33" i="44"/>
  <c r="L33" i="44"/>
  <c r="O20" i="44"/>
  <c r="L20" i="44"/>
  <c r="O24" i="60"/>
  <c r="L24" i="60"/>
  <c r="O19" i="60"/>
  <c r="L19" i="60"/>
  <c r="L57" i="43"/>
  <c r="L54" i="43"/>
  <c r="O28" i="43"/>
  <c r="L28" i="43"/>
  <c r="O39" i="87"/>
  <c r="AE71" i="182" s="1"/>
  <c r="L39" i="87"/>
  <c r="R10" i="139"/>
  <c r="AM75" i="182" s="1"/>
  <c r="O14" i="139"/>
  <c r="O10" i="139"/>
  <c r="O15" i="41"/>
  <c r="L15" i="41"/>
  <c r="L18" i="41" s="1"/>
  <c r="O30" i="40"/>
  <c r="L30" i="40"/>
  <c r="L13" i="40"/>
  <c r="O39" i="38"/>
  <c r="AE54" i="182" s="1"/>
  <c r="L39" i="38"/>
  <c r="Y54" i="182" s="1"/>
  <c r="L18" i="38"/>
  <c r="Y53" i="182" s="1"/>
  <c r="L22" i="77"/>
  <c r="Y49" i="182" s="1"/>
  <c r="O28" i="149"/>
  <c r="AE44" i="182" s="1"/>
  <c r="L28" i="149"/>
  <c r="Y44" i="182" s="1"/>
  <c r="O11" i="149"/>
  <c r="AE43" i="182" s="1"/>
  <c r="O13" i="36"/>
  <c r="L13" i="36"/>
  <c r="L16" i="36" s="1"/>
  <c r="O16" i="35"/>
  <c r="AE33" i="182" s="1"/>
  <c r="L16" i="35"/>
  <c r="Y33" i="182" s="1"/>
  <c r="O32" i="35"/>
  <c r="AE34" i="182" s="1"/>
  <c r="L32" i="35"/>
  <c r="Y34" i="182" s="1"/>
  <c r="O40" i="34"/>
  <c r="O45" i="66" s="1"/>
  <c r="L40" i="34"/>
  <c r="L45" i="66" s="1"/>
  <c r="O37" i="34"/>
  <c r="L37" i="34"/>
  <c r="O16" i="34"/>
  <c r="O27" i="33"/>
  <c r="AE24" i="182" s="1"/>
  <c r="L27" i="33"/>
  <c r="Y24" i="182" s="1"/>
  <c r="L12" i="33"/>
  <c r="O11" i="32"/>
  <c r="L11" i="32"/>
  <c r="L14" i="32" s="1"/>
  <c r="O17" i="31"/>
  <c r="AE15" i="182" s="1"/>
  <c r="L17" i="31"/>
  <c r="O19" i="30"/>
  <c r="O34" i="30"/>
  <c r="L34" i="30"/>
  <c r="L19" i="30"/>
  <c r="O21" i="29"/>
  <c r="L21" i="29"/>
  <c r="O10" i="29"/>
  <c r="L10" i="29"/>
  <c r="K33" i="143"/>
  <c r="C34" i="143" s="1"/>
  <c r="R86" i="15"/>
  <c r="D81" i="137" s="1"/>
  <c r="Y137" i="182" l="1"/>
  <c r="AD136" i="182"/>
  <c r="AF137" i="182"/>
  <c r="AL137" i="182"/>
  <c r="AF187" i="182"/>
  <c r="AL187" i="182"/>
  <c r="AD187" i="182"/>
  <c r="AE261" i="182"/>
  <c r="AF198" i="182"/>
  <c r="AL198" i="182"/>
  <c r="AD200" i="182"/>
  <c r="AE200" i="182"/>
  <c r="AE16" i="182"/>
  <c r="AF15" i="182"/>
  <c r="AL15" i="182"/>
  <c r="L20" i="31"/>
  <c r="J10" i="129" s="1"/>
  <c r="Y15" i="182"/>
  <c r="Y265" i="182"/>
  <c r="Y272" i="182" s="1"/>
  <c r="Y210" i="182"/>
  <c r="AD208" i="182"/>
  <c r="AF148" i="182"/>
  <c r="AL148" i="182"/>
  <c r="AD148" i="182"/>
  <c r="AN75" i="182"/>
  <c r="Y25" i="182"/>
  <c r="AD24" i="182"/>
  <c r="AE25" i="182"/>
  <c r="AF24" i="182"/>
  <c r="AL24" i="182"/>
  <c r="AE72" i="182"/>
  <c r="AF71" i="182"/>
  <c r="AL71" i="182"/>
  <c r="L41" i="87"/>
  <c r="Y71" i="182"/>
  <c r="AF153" i="182"/>
  <c r="AL153" i="182"/>
  <c r="AD153" i="182"/>
  <c r="Y232" i="182"/>
  <c r="AD216" i="182"/>
  <c r="Y282" i="182"/>
  <c r="Y285" i="182" s="1"/>
  <c r="AE278" i="182"/>
  <c r="AE282" i="182" s="1"/>
  <c r="AE285" i="182" s="1"/>
  <c r="AF214" i="182"/>
  <c r="AL214" i="182"/>
  <c r="AE216" i="182"/>
  <c r="AD122" i="182"/>
  <c r="Y50" i="182"/>
  <c r="AD49" i="182"/>
  <c r="AF44" i="182"/>
  <c r="AL44" i="182"/>
  <c r="AE45" i="182"/>
  <c r="AF43" i="182"/>
  <c r="AL43" i="182"/>
  <c r="AD44" i="182"/>
  <c r="Y45" i="182"/>
  <c r="AF143" i="182"/>
  <c r="AL143" i="182"/>
  <c r="AD143" i="182"/>
  <c r="AD54" i="182"/>
  <c r="AF54" i="182"/>
  <c r="AL54" i="182"/>
  <c r="Y55" i="182"/>
  <c r="AD53" i="182"/>
  <c r="Y35" i="182"/>
  <c r="AF33" i="182"/>
  <c r="AE35" i="182"/>
  <c r="AL33" i="182"/>
  <c r="AF34" i="182"/>
  <c r="AL34" i="182"/>
  <c r="AF162" i="182"/>
  <c r="AL162" i="182"/>
  <c r="AD162" i="182"/>
  <c r="O108" i="66"/>
  <c r="B59" i="179" s="1"/>
  <c r="O59" i="43"/>
  <c r="L26" i="56"/>
  <c r="L19" i="86"/>
  <c r="O14" i="171"/>
  <c r="O17" i="171" s="1"/>
  <c r="O54" i="24"/>
  <c r="O22" i="77"/>
  <c r="O21" i="23"/>
  <c r="L108" i="66"/>
  <c r="L24" i="77"/>
  <c r="L49" i="66" s="1"/>
  <c r="J17" i="129"/>
  <c r="O17" i="139"/>
  <c r="L68" i="66"/>
  <c r="J41" i="129"/>
  <c r="O99" i="66"/>
  <c r="B57" i="179" s="1"/>
  <c r="L117" i="66"/>
  <c r="J120" i="129"/>
  <c r="J145" i="129"/>
  <c r="O19" i="86"/>
  <c r="L99" i="66"/>
  <c r="J74" i="129"/>
  <c r="O117" i="66"/>
  <c r="L53" i="66"/>
  <c r="J21" i="129"/>
  <c r="O65" i="66"/>
  <c r="L47" i="66"/>
  <c r="J15" i="129"/>
  <c r="L52" i="66"/>
  <c r="J20" i="129"/>
  <c r="O41" i="87"/>
  <c r="L63" i="66"/>
  <c r="J37" i="129"/>
  <c r="L42" i="66"/>
  <c r="J11" i="129"/>
  <c r="O16" i="36"/>
  <c r="O18" i="41"/>
  <c r="O12" i="45"/>
  <c r="O78" i="66"/>
  <c r="L75" i="66"/>
  <c r="J47" i="129"/>
  <c r="K88" i="129"/>
  <c r="O77" i="66"/>
  <c r="O102" i="66"/>
  <c r="B58" i="179" s="1"/>
  <c r="O76" i="66"/>
  <c r="O14" i="32"/>
  <c r="L67" i="66"/>
  <c r="J40" i="129"/>
  <c r="L59" i="15"/>
  <c r="L74" i="66" s="1"/>
  <c r="J46" i="129"/>
  <c r="L76" i="66"/>
  <c r="J48" i="129"/>
  <c r="O12" i="48"/>
  <c r="O59" i="15"/>
  <c r="O74" i="66" s="1"/>
  <c r="K46" i="129"/>
  <c r="L78" i="66"/>
  <c r="J50" i="129"/>
  <c r="O20" i="18"/>
  <c r="O94" i="66"/>
  <c r="O116" i="66"/>
  <c r="O60" i="66"/>
  <c r="O29" i="49"/>
  <c r="L92" i="66"/>
  <c r="J68" i="129"/>
  <c r="O91" i="66"/>
  <c r="O85" i="66"/>
  <c r="L85" i="66"/>
  <c r="J62" i="129"/>
  <c r="O84" i="66"/>
  <c r="O15" i="4"/>
  <c r="O18" i="4" s="1"/>
  <c r="O69" i="12"/>
  <c r="L114" i="66"/>
  <c r="J118" i="129"/>
  <c r="L60" i="66"/>
  <c r="J27" i="129"/>
  <c r="L84" i="66"/>
  <c r="J54" i="129"/>
  <c r="L91" i="66"/>
  <c r="J67" i="129"/>
  <c r="L41" i="66"/>
  <c r="O20" i="31"/>
  <c r="O132" i="66"/>
  <c r="O23" i="29"/>
  <c r="O18" i="38"/>
  <c r="AE53" i="182" s="1"/>
  <c r="L21" i="23"/>
  <c r="L55" i="17"/>
  <c r="L56" i="15"/>
  <c r="Y121" i="182" s="1"/>
  <c r="L17" i="15"/>
  <c r="Y120" i="182" s="1"/>
  <c r="L132" i="66"/>
  <c r="L19" i="13"/>
  <c r="L21" i="47"/>
  <c r="J39" i="129" s="1"/>
  <c r="L16" i="46"/>
  <c r="L35" i="44"/>
  <c r="L26" i="60"/>
  <c r="L32" i="40"/>
  <c r="L41" i="38"/>
  <c r="L30" i="149"/>
  <c r="L34" i="35"/>
  <c r="L42" i="34"/>
  <c r="L29" i="33"/>
  <c r="L36" i="30"/>
  <c r="J9" i="129" s="1"/>
  <c r="L23" i="29"/>
  <c r="O56" i="15"/>
  <c r="AE121" i="182" s="1"/>
  <c r="O55" i="17"/>
  <c r="O17" i="15"/>
  <c r="AE120" i="182" s="1"/>
  <c r="O19" i="13"/>
  <c r="O21" i="47"/>
  <c r="O16" i="46"/>
  <c r="O35" i="44"/>
  <c r="O26" i="60"/>
  <c r="L59" i="43"/>
  <c r="L59" i="66" s="1"/>
  <c r="O32" i="40"/>
  <c r="O30" i="149"/>
  <c r="O34" i="35"/>
  <c r="O42" i="34"/>
  <c r="O29" i="33"/>
  <c r="O36" i="30"/>
  <c r="AD137" i="182" l="1"/>
  <c r="AF200" i="182"/>
  <c r="AL200" i="182"/>
  <c r="Y16" i="182"/>
  <c r="AD15" i="182"/>
  <c r="AF16" i="182"/>
  <c r="AL16" i="182"/>
  <c r="O125" i="66"/>
  <c r="AE207" i="182"/>
  <c r="AD210" i="182"/>
  <c r="Y271" i="182"/>
  <c r="Y268" i="182"/>
  <c r="Y269" i="182"/>
  <c r="Y270" i="182"/>
  <c r="AF25" i="182"/>
  <c r="AL25" i="182"/>
  <c r="AD25" i="182"/>
  <c r="Y72" i="182"/>
  <c r="AD71" i="182"/>
  <c r="AF72" i="182"/>
  <c r="AL72" i="182"/>
  <c r="AE232" i="182"/>
  <c r="AF216" i="182"/>
  <c r="AL216" i="182"/>
  <c r="AE288" i="182"/>
  <c r="AE287" i="182"/>
  <c r="AE289" i="182"/>
  <c r="AE286" i="182"/>
  <c r="AD232" i="182"/>
  <c r="Y288" i="182"/>
  <c r="Y289" i="182"/>
  <c r="Y287" i="182"/>
  <c r="Y286" i="182"/>
  <c r="Y290" i="182" s="1"/>
  <c r="AE123" i="182"/>
  <c r="AF120" i="182"/>
  <c r="AL120" i="182"/>
  <c r="Y123" i="182"/>
  <c r="Y193" i="182" s="1"/>
  <c r="AD120" i="182"/>
  <c r="AD121" i="182"/>
  <c r="AF121" i="182"/>
  <c r="AL121" i="182"/>
  <c r="Y243" i="182"/>
  <c r="Y244" i="182"/>
  <c r="O24" i="77"/>
  <c r="O49" i="66" s="1"/>
  <c r="AE49" i="182"/>
  <c r="AD50" i="182"/>
  <c r="AD45" i="182"/>
  <c r="AF45" i="182"/>
  <c r="AL45" i="182"/>
  <c r="AD55" i="182"/>
  <c r="AE55" i="182"/>
  <c r="AF53" i="182"/>
  <c r="AL53" i="182"/>
  <c r="AE243" i="182"/>
  <c r="AF35" i="182"/>
  <c r="AL35" i="182"/>
  <c r="J143" i="129"/>
  <c r="O123" i="66"/>
  <c r="L96" i="66"/>
  <c r="J146" i="129"/>
  <c r="K147" i="129"/>
  <c r="L120" i="66"/>
  <c r="K64" i="129"/>
  <c r="K122" i="129"/>
  <c r="K133" i="129" s="1"/>
  <c r="O48" i="66"/>
  <c r="L46" i="66"/>
  <c r="J14" i="129"/>
  <c r="O63" i="66"/>
  <c r="L54" i="66"/>
  <c r="J22" i="129"/>
  <c r="O67" i="66"/>
  <c r="O42" i="66"/>
  <c r="O52" i="66"/>
  <c r="O61" i="66"/>
  <c r="J45" i="129"/>
  <c r="O43" i="66"/>
  <c r="O62" i="66"/>
  <c r="L39" i="66"/>
  <c r="J8" i="129"/>
  <c r="L61" i="66"/>
  <c r="J28" i="129"/>
  <c r="O39" i="66"/>
  <c r="O118" i="66"/>
  <c r="O75" i="66"/>
  <c r="O47" i="66"/>
  <c r="O53" i="66"/>
  <c r="O40" i="66"/>
  <c r="O44" i="66"/>
  <c r="O64" i="66"/>
  <c r="L62" i="66"/>
  <c r="J36" i="129"/>
  <c r="O54" i="66"/>
  <c r="O46" i="66"/>
  <c r="L43" i="66"/>
  <c r="J12" i="129"/>
  <c r="L64" i="66"/>
  <c r="J38" i="129"/>
  <c r="O41" i="66"/>
  <c r="O68" i="66"/>
  <c r="L88" i="66"/>
  <c r="O88" i="66"/>
  <c r="B55" i="179" s="1"/>
  <c r="O41" i="38"/>
  <c r="O50" i="66" s="1"/>
  <c r="O92" i="66"/>
  <c r="O96" i="66" s="1"/>
  <c r="B56" i="179" s="1"/>
  <c r="K71" i="129"/>
  <c r="O51" i="66"/>
  <c r="L50" i="66"/>
  <c r="J18" i="129"/>
  <c r="L40" i="66"/>
  <c r="O114" i="66"/>
  <c r="J26" i="129"/>
  <c r="L51" i="66"/>
  <c r="J19" i="129"/>
  <c r="L48" i="66"/>
  <c r="J16" i="129"/>
  <c r="L44" i="66"/>
  <c r="J13" i="129"/>
  <c r="L61" i="15"/>
  <c r="O73" i="66"/>
  <c r="L73" i="66"/>
  <c r="L80" i="66" s="1"/>
  <c r="O61" i="15"/>
  <c r="O127" i="66" l="1"/>
  <c r="AE290" i="182"/>
  <c r="AD16" i="182"/>
  <c r="Y273" i="182"/>
  <c r="AE208" i="182"/>
  <c r="AE264" i="182"/>
  <c r="AF207" i="182"/>
  <c r="AL207" i="182"/>
  <c r="Y248" i="182"/>
  <c r="Y252" i="182" s="1"/>
  <c r="AD72" i="182"/>
  <c r="AF232" i="182"/>
  <c r="AL232" i="182"/>
  <c r="Y234" i="182"/>
  <c r="AD234" i="182" s="1"/>
  <c r="AD193" i="182"/>
  <c r="AD123" i="182"/>
  <c r="AF123" i="182"/>
  <c r="AL123" i="182"/>
  <c r="AE50" i="182"/>
  <c r="AF49" i="182"/>
  <c r="AL49" i="182"/>
  <c r="AE244" i="182"/>
  <c r="AE248" i="182" s="1"/>
  <c r="AE251" i="182" s="1"/>
  <c r="AF55" i="182"/>
  <c r="AL55" i="182"/>
  <c r="AE193" i="182"/>
  <c r="O120" i="66"/>
  <c r="L70" i="66"/>
  <c r="K23" i="129"/>
  <c r="O80" i="66"/>
  <c r="B54" i="179" s="1"/>
  <c r="K51" i="129"/>
  <c r="O56" i="66"/>
  <c r="B52" i="179" s="1"/>
  <c r="L56" i="66"/>
  <c r="O59" i="66"/>
  <c r="O70" i="66" s="1"/>
  <c r="K42" i="129"/>
  <c r="Y253" i="182" l="1"/>
  <c r="AE265" i="182"/>
  <c r="AE272" i="182" s="1"/>
  <c r="AF208" i="182"/>
  <c r="AE210" i="182"/>
  <c r="AL208" i="182"/>
  <c r="Y255" i="182"/>
  <c r="Y254" i="182"/>
  <c r="Y251" i="182"/>
  <c r="AF50" i="182"/>
  <c r="AL50" i="182"/>
  <c r="AL193" i="182"/>
  <c r="AF193" i="182"/>
  <c r="AE234" i="182"/>
  <c r="AE252" i="182"/>
  <c r="AE253" i="182"/>
  <c r="AE254" i="182"/>
  <c r="AE255" i="182"/>
  <c r="L110" i="66"/>
  <c r="K90" i="129"/>
  <c r="O110" i="66"/>
  <c r="B53" i="179"/>
  <c r="B60" i="179" s="1"/>
  <c r="B87" i="179" s="1"/>
  <c r="B89" i="179" s="1"/>
  <c r="V238" i="66"/>
  <c r="AF210" i="182" l="1"/>
  <c r="AL210" i="182"/>
  <c r="AE270" i="182"/>
  <c r="AE271" i="182"/>
  <c r="AE268" i="182"/>
  <c r="AE269" i="182"/>
  <c r="Y256" i="182"/>
  <c r="AE256" i="182"/>
  <c r="AL234" i="182"/>
  <c r="AF234" i="182"/>
  <c r="O136" i="66"/>
  <c r="O111" i="66"/>
  <c r="P111" i="66"/>
  <c r="L136" i="66"/>
  <c r="M111" i="66"/>
  <c r="D6" i="173"/>
  <c r="D5" i="173"/>
  <c r="D4" i="173"/>
  <c r="AE273" i="182" l="1"/>
  <c r="J271" i="66"/>
  <c r="R115" i="66" l="1"/>
  <c r="L119" i="129" s="1"/>
  <c r="Z21" i="66" l="1"/>
  <c r="S21" i="66"/>
  <c r="T23" i="66"/>
  <c r="S23" i="66"/>
  <c r="W23" i="66"/>
  <c r="T21" i="66"/>
  <c r="N78" i="26" l="1"/>
  <c r="D19" i="167" l="1"/>
  <c r="T27" i="66" l="1"/>
  <c r="AA27" i="66" s="1"/>
  <c r="S27" i="66"/>
  <c r="U144" i="66"/>
  <c r="U39" i="8"/>
  <c r="A26" i="167" l="1"/>
  <c r="Q12" i="167"/>
  <c r="Q21" i="167" s="1"/>
  <c r="P12" i="167"/>
  <c r="P21" i="167" s="1"/>
  <c r="P43" i="167" s="1"/>
  <c r="O12" i="167"/>
  <c r="O21" i="167" s="1"/>
  <c r="N12" i="167"/>
  <c r="N21" i="167" s="1"/>
  <c r="N43" i="167" s="1"/>
  <c r="M12" i="167"/>
  <c r="M21" i="167" s="1"/>
  <c r="Q43" i="167" l="1"/>
  <c r="Q22" i="167"/>
  <c r="M43" i="167"/>
  <c r="M22" i="167"/>
  <c r="O43" i="167"/>
  <c r="O22" i="167"/>
  <c r="I21" i="167"/>
  <c r="N22" i="167"/>
  <c r="P22" i="167"/>
  <c r="M13" i="167"/>
  <c r="N13" i="167"/>
  <c r="O13" i="167"/>
  <c r="P13" i="167"/>
  <c r="Q13" i="167"/>
  <c r="I22" i="167" l="1"/>
  <c r="Q44" i="167"/>
  <c r="P44" i="167"/>
  <c r="O44" i="167"/>
  <c r="N44" i="167" l="1"/>
  <c r="M44" i="167"/>
  <c r="V235" i="66" l="1"/>
  <c r="V234" i="66"/>
  <c r="C12" i="172" l="1"/>
  <c r="D12" i="172"/>
  <c r="E12" i="172"/>
  <c r="E21" i="172" s="1"/>
  <c r="F12" i="172"/>
  <c r="G12" i="172"/>
  <c r="H12" i="172"/>
  <c r="C18" i="172"/>
  <c r="C21" i="172" s="1"/>
  <c r="D18" i="172"/>
  <c r="D21" i="172" s="1"/>
  <c r="E18" i="172"/>
  <c r="F18" i="172"/>
  <c r="G18" i="172"/>
  <c r="H18" i="172"/>
  <c r="R18" i="172"/>
  <c r="K18" i="172"/>
  <c r="J18" i="172"/>
  <c r="I18" i="172"/>
  <c r="R12" i="172"/>
  <c r="K12" i="172"/>
  <c r="J12" i="172"/>
  <c r="I12" i="172"/>
  <c r="P30" i="171"/>
  <c r="P29" i="171"/>
  <c r="P28" i="171"/>
  <c r="P27" i="171"/>
  <c r="U14" i="171"/>
  <c r="R14" i="171"/>
  <c r="R17" i="171" s="1"/>
  <c r="AM207" i="182" s="1"/>
  <c r="K14" i="171"/>
  <c r="K17" i="171" s="1"/>
  <c r="X207" i="182" s="1"/>
  <c r="J14" i="171"/>
  <c r="J17" i="171" s="1"/>
  <c r="V207" i="182" s="1"/>
  <c r="I14" i="171"/>
  <c r="I17" i="171" s="1"/>
  <c r="S207" i="182" s="1"/>
  <c r="H14" i="171"/>
  <c r="H17" i="171" s="1"/>
  <c r="P207" i="182" s="1"/>
  <c r="G14" i="171"/>
  <c r="G17" i="171" s="1"/>
  <c r="M207" i="182" s="1"/>
  <c r="F14" i="171"/>
  <c r="F17" i="171" s="1"/>
  <c r="J207" i="182" s="1"/>
  <c r="E14" i="171"/>
  <c r="E17" i="171" s="1"/>
  <c r="G207" i="182" s="1"/>
  <c r="D14" i="171"/>
  <c r="D17" i="171" s="1"/>
  <c r="D207" i="182" s="1"/>
  <c r="C14" i="171"/>
  <c r="C17" i="171" s="1"/>
  <c r="C207" i="182" s="1"/>
  <c r="P264" i="182" l="1"/>
  <c r="P208" i="182"/>
  <c r="Q207" i="182"/>
  <c r="V264" i="182"/>
  <c r="W207" i="182"/>
  <c r="V208" i="182"/>
  <c r="Z207" i="182"/>
  <c r="S264" i="182"/>
  <c r="S208" i="182"/>
  <c r="T207" i="182"/>
  <c r="X208" i="182"/>
  <c r="X264" i="182"/>
  <c r="AB207" i="182"/>
  <c r="D208" i="182"/>
  <c r="E207" i="182"/>
  <c r="D264" i="182"/>
  <c r="M264" i="182"/>
  <c r="M208" i="182"/>
  <c r="N207" i="182"/>
  <c r="G264" i="182"/>
  <c r="G208" i="182"/>
  <c r="H207" i="182"/>
  <c r="C208" i="182"/>
  <c r="C264" i="182"/>
  <c r="J264" i="182"/>
  <c r="J208" i="182"/>
  <c r="K207" i="182"/>
  <c r="AM264" i="182"/>
  <c r="AN207" i="182"/>
  <c r="AM208" i="182"/>
  <c r="AN208" i="182" s="1"/>
  <c r="I21" i="172"/>
  <c r="Q27" i="171"/>
  <c r="R27" i="171" s="1"/>
  <c r="Q30" i="171"/>
  <c r="R30" i="171" s="1"/>
  <c r="H21" i="172"/>
  <c r="G21" i="172"/>
  <c r="F21" i="172"/>
  <c r="J21" i="172"/>
  <c r="K21" i="172"/>
  <c r="R21" i="172"/>
  <c r="AM203" i="182" s="1"/>
  <c r="Q28" i="171"/>
  <c r="R28" i="171" s="1"/>
  <c r="Q29" i="171"/>
  <c r="R29" i="171" s="1"/>
  <c r="O34" i="171"/>
  <c r="D27" i="170"/>
  <c r="D26" i="170"/>
  <c r="D25" i="170"/>
  <c r="D24" i="170"/>
  <c r="D10" i="170"/>
  <c r="D47" i="170"/>
  <c r="D35" i="170"/>
  <c r="D36" i="170" s="1"/>
  <c r="W208" i="182" l="1"/>
  <c r="Z208" i="182"/>
  <c r="H208" i="182"/>
  <c r="E208" i="182"/>
  <c r="AB208" i="182"/>
  <c r="K208" i="182"/>
  <c r="N208" i="182"/>
  <c r="Q208" i="182"/>
  <c r="T208" i="182"/>
  <c r="AM263" i="182"/>
  <c r="AM204" i="182"/>
  <c r="AN204" i="182" s="1"/>
  <c r="AN203" i="182"/>
  <c r="S124" i="66"/>
  <c r="M145" i="129" s="1"/>
  <c r="N145" i="129" s="1"/>
  <c r="O145" i="129" s="1"/>
  <c r="T124" i="66"/>
  <c r="R124" i="66"/>
  <c r="L145" i="129" s="1"/>
  <c r="D55" i="170"/>
  <c r="D7" i="170" s="1"/>
  <c r="D19" i="170"/>
  <c r="D16" i="170" l="1"/>
  <c r="D12" i="170"/>
  <c r="D13" i="170" s="1"/>
  <c r="E44" i="24" l="1"/>
  <c r="K25" i="149"/>
  <c r="K13" i="149"/>
  <c r="K28" i="149" l="1"/>
  <c r="X44" i="182" s="1"/>
  <c r="AB44" i="182" s="1"/>
  <c r="R16" i="11" l="1"/>
  <c r="AM160" i="182" s="1"/>
  <c r="K9" i="8"/>
  <c r="Q30" i="23"/>
  <c r="R30" i="23" s="1"/>
  <c r="S19" i="23"/>
  <c r="K19" i="23"/>
  <c r="R19" i="23"/>
  <c r="J19" i="23"/>
  <c r="I19" i="23"/>
  <c r="AN160" i="182" l="1"/>
  <c r="U66" i="12"/>
  <c r="T115" i="66" l="1"/>
  <c r="N119" i="129"/>
  <c r="O119" i="129" s="1"/>
  <c r="T245" i="66" l="1"/>
  <c r="U245" i="66" s="1"/>
  <c r="P55" i="30" l="1"/>
  <c r="R55" i="30" s="1"/>
  <c r="Q55" i="30" l="1"/>
  <c r="P92" i="11" l="1"/>
  <c r="P63" i="34"/>
  <c r="P65" i="34"/>
  <c r="P66" i="34"/>
  <c r="P68" i="34"/>
  <c r="P69" i="34"/>
  <c r="Q92" i="11" l="1"/>
  <c r="R92" i="11" s="1"/>
  <c r="U164" i="66"/>
  <c r="J16" i="144"/>
  <c r="J6" i="144"/>
  <c r="K22" i="144"/>
  <c r="R16" i="24" l="1"/>
  <c r="AM197" i="182" s="1"/>
  <c r="J16" i="24"/>
  <c r="V197" i="182" s="1"/>
  <c r="I16" i="24"/>
  <c r="S197" i="182" s="1"/>
  <c r="K16" i="24"/>
  <c r="X197" i="182" s="1"/>
  <c r="X260" i="182" l="1"/>
  <c r="AB197" i="182"/>
  <c r="S260" i="182"/>
  <c r="V260" i="182"/>
  <c r="W197" i="182"/>
  <c r="Z197" i="182"/>
  <c r="AM260" i="182"/>
  <c r="AN197" i="182"/>
  <c r="B22" i="133"/>
  <c r="B26" i="167" l="1"/>
  <c r="U172" i="66"/>
  <c r="I50" i="26"/>
  <c r="D26" i="167" l="1"/>
  <c r="U165" i="66" l="1"/>
  <c r="U166" i="66"/>
  <c r="U167" i="66"/>
  <c r="I43" i="167" l="1"/>
  <c r="U47" i="24" l="1"/>
  <c r="K47" i="24"/>
  <c r="R47" i="24"/>
  <c r="J47" i="24"/>
  <c r="V198" i="182" s="1"/>
  <c r="I47" i="24"/>
  <c r="S21" i="29"/>
  <c r="AQ6" i="182" s="1"/>
  <c r="I54" i="24" l="1"/>
  <c r="S198" i="182"/>
  <c r="W198" i="182" s="1"/>
  <c r="V261" i="182"/>
  <c r="Z198" i="182"/>
  <c r="V200" i="182"/>
  <c r="K54" i="24"/>
  <c r="K123" i="66" s="1"/>
  <c r="X198" i="182"/>
  <c r="R54" i="24"/>
  <c r="AM198" i="182"/>
  <c r="AT6" i="182"/>
  <c r="AV6" i="182" s="1"/>
  <c r="AS6" i="182"/>
  <c r="AQ7" i="182"/>
  <c r="AR6" i="182"/>
  <c r="J54" i="24"/>
  <c r="H143" i="129" s="1"/>
  <c r="H147" i="129" s="1"/>
  <c r="J147" i="129"/>
  <c r="S11" i="149"/>
  <c r="AQ43" i="182" s="1"/>
  <c r="C7" i="107"/>
  <c r="D7" i="107" s="1"/>
  <c r="X261" i="182" l="1"/>
  <c r="AB198" i="182"/>
  <c r="X200" i="182"/>
  <c r="Z200" i="182"/>
  <c r="V210" i="182"/>
  <c r="V265" i="182"/>
  <c r="S261" i="182"/>
  <c r="S200" i="182"/>
  <c r="W200" i="182" s="1"/>
  <c r="I143" i="129"/>
  <c r="I147" i="129" s="1"/>
  <c r="AM261" i="182"/>
  <c r="AN198" i="182"/>
  <c r="AM200" i="182"/>
  <c r="AR43" i="182"/>
  <c r="AT43" i="182"/>
  <c r="AV43" i="182" s="1"/>
  <c r="AW43" i="182" s="1"/>
  <c r="AX43" i="182" s="1"/>
  <c r="AY43" i="182" s="1"/>
  <c r="AZ43" i="182" s="1"/>
  <c r="AS43" i="182"/>
  <c r="AS7" i="182"/>
  <c r="AR7" i="182"/>
  <c r="AT7" i="182"/>
  <c r="AW6" i="182"/>
  <c r="AV7" i="182"/>
  <c r="I105" i="26"/>
  <c r="I108" i="26" s="1"/>
  <c r="V272" i="182" l="1"/>
  <c r="V270" i="182"/>
  <c r="V271" i="182"/>
  <c r="V268" i="182"/>
  <c r="S265" i="182"/>
  <c r="V269" i="182"/>
  <c r="Z210" i="182"/>
  <c r="X265" i="182"/>
  <c r="S210" i="182"/>
  <c r="AB200" i="182"/>
  <c r="X210" i="182"/>
  <c r="AB210" i="182" s="1"/>
  <c r="AM210" i="182"/>
  <c r="AN210" i="182" s="1"/>
  <c r="AN200" i="182"/>
  <c r="AM265" i="182"/>
  <c r="AM269" i="182" s="1"/>
  <c r="AX6" i="182"/>
  <c r="AW7" i="182"/>
  <c r="I111" i="26"/>
  <c r="I109" i="26"/>
  <c r="I112" i="26" s="1"/>
  <c r="I106" i="26"/>
  <c r="S272" i="182" l="1"/>
  <c r="S270" i="182"/>
  <c r="S271" i="182"/>
  <c r="S268" i="182"/>
  <c r="S269" i="182"/>
  <c r="V273" i="182"/>
  <c r="X271" i="182"/>
  <c r="X272" i="182"/>
  <c r="X270" i="182"/>
  <c r="X268" i="182"/>
  <c r="X269" i="182"/>
  <c r="W210" i="182"/>
  <c r="AM268" i="182"/>
  <c r="AM270" i="182"/>
  <c r="AM272" i="182"/>
  <c r="AM271" i="182"/>
  <c r="AY6" i="182"/>
  <c r="AX7" i="182"/>
  <c r="I114" i="26"/>
  <c r="S273" i="182" l="1"/>
  <c r="X273" i="182"/>
  <c r="AM273" i="182"/>
  <c r="AY7" i="182"/>
  <c r="AZ6" i="182"/>
  <c r="AZ7" i="182" s="1"/>
  <c r="I93" i="26"/>
  <c r="K81" i="26"/>
  <c r="J26" i="66"/>
  <c r="J25" i="66"/>
  <c r="J20" i="66"/>
  <c r="J19" i="66"/>
  <c r="J17" i="66"/>
  <c r="J15" i="66"/>
  <c r="J11" i="66"/>
  <c r="J9" i="66"/>
  <c r="J74" i="66"/>
  <c r="K13" i="53"/>
  <c r="W23" i="24" l="1"/>
  <c r="W34" i="24"/>
  <c r="W35" i="24"/>
  <c r="W20" i="24"/>
  <c r="W30" i="24"/>
  <c r="W18" i="24"/>
  <c r="W10" i="24"/>
  <c r="J15" i="4" l="1"/>
  <c r="J18" i="4" s="1"/>
  <c r="J29" i="6"/>
  <c r="J59" i="6"/>
  <c r="J56" i="6"/>
  <c r="J12" i="5"/>
  <c r="J27" i="5"/>
  <c r="I130" i="129" s="1"/>
  <c r="J24" i="5"/>
  <c r="J16" i="12"/>
  <c r="V213" i="182" s="1"/>
  <c r="P98" i="12"/>
  <c r="P97" i="12"/>
  <c r="W47" i="24"/>
  <c r="W16" i="24"/>
  <c r="J26" i="93"/>
  <c r="J20" i="93"/>
  <c r="J21" i="54"/>
  <c r="J18" i="53"/>
  <c r="J20" i="53" s="1"/>
  <c r="V186" i="182" s="1"/>
  <c r="J9" i="52"/>
  <c r="J16" i="52" s="1"/>
  <c r="J31" i="51"/>
  <c r="J61" i="51"/>
  <c r="J56" i="51"/>
  <c r="J11" i="50"/>
  <c r="J14" i="50" s="1"/>
  <c r="J12" i="135"/>
  <c r="J15" i="135" s="1"/>
  <c r="J27" i="49"/>
  <c r="J13" i="49"/>
  <c r="J16" i="11"/>
  <c r="V160" i="182" s="1"/>
  <c r="J44" i="11"/>
  <c r="J41" i="11"/>
  <c r="V161" i="182" s="1"/>
  <c r="J12" i="10"/>
  <c r="J15" i="10" s="1"/>
  <c r="J24" i="9"/>
  <c r="V152" i="182" s="1"/>
  <c r="J11" i="9"/>
  <c r="J21" i="8"/>
  <c r="V146" i="182" s="1"/>
  <c r="J39" i="8"/>
  <c r="V147" i="182" s="1"/>
  <c r="J20" i="7"/>
  <c r="V142" i="182" s="1"/>
  <c r="J17" i="7"/>
  <c r="V141" i="182" s="1"/>
  <c r="J13" i="165"/>
  <c r="J13" i="22"/>
  <c r="J25" i="22"/>
  <c r="J18" i="18"/>
  <c r="J12" i="18"/>
  <c r="J58" i="15"/>
  <c r="J54" i="15"/>
  <c r="J53" i="15"/>
  <c r="J52" i="15"/>
  <c r="J51" i="15"/>
  <c r="J50" i="15"/>
  <c r="J49" i="15"/>
  <c r="J48" i="15"/>
  <c r="J47" i="15"/>
  <c r="J46" i="15"/>
  <c r="J45" i="15"/>
  <c r="J44" i="15"/>
  <c r="J43" i="15"/>
  <c r="J42" i="15"/>
  <c r="J41" i="15"/>
  <c r="J39" i="15"/>
  <c r="J38" i="15"/>
  <c r="J37" i="15"/>
  <c r="J36" i="15"/>
  <c r="J35" i="15"/>
  <c r="J34" i="15"/>
  <c r="J33" i="15"/>
  <c r="J32" i="15"/>
  <c r="J31" i="15"/>
  <c r="J30" i="15"/>
  <c r="J29" i="15"/>
  <c r="J28" i="15"/>
  <c r="J27" i="15"/>
  <c r="J26" i="15"/>
  <c r="J25" i="15"/>
  <c r="J24" i="15"/>
  <c r="J23" i="15"/>
  <c r="J22" i="15"/>
  <c r="J21" i="15"/>
  <c r="J20" i="15"/>
  <c r="J19" i="15"/>
  <c r="J16" i="15"/>
  <c r="J15" i="15"/>
  <c r="J14" i="15"/>
  <c r="J13" i="15"/>
  <c r="J12" i="15"/>
  <c r="J11" i="15"/>
  <c r="J10" i="15"/>
  <c r="J9" i="15"/>
  <c r="J53" i="17"/>
  <c r="J50" i="17"/>
  <c r="J16" i="17"/>
  <c r="J13" i="23"/>
  <c r="J22" i="56"/>
  <c r="J12" i="56"/>
  <c r="J14" i="13"/>
  <c r="J131" i="66" s="1"/>
  <c r="J11" i="13"/>
  <c r="J130" i="66" s="1"/>
  <c r="J10" i="86"/>
  <c r="J17" i="86"/>
  <c r="J10" i="48"/>
  <c r="J12" i="48" s="1"/>
  <c r="J16" i="47"/>
  <c r="J65" i="66" s="1"/>
  <c r="J19" i="47"/>
  <c r="J66" i="66" s="1"/>
  <c r="J14" i="46"/>
  <c r="J10" i="46"/>
  <c r="J10" i="45"/>
  <c r="J12" i="45" s="1"/>
  <c r="J33" i="44"/>
  <c r="J20" i="44"/>
  <c r="J24" i="60"/>
  <c r="J19" i="60"/>
  <c r="J57" i="43"/>
  <c r="J54" i="43"/>
  <c r="J28" i="43"/>
  <c r="J39" i="87"/>
  <c r="J15" i="41"/>
  <c r="J18" i="41" s="1"/>
  <c r="J30" i="40"/>
  <c r="J13" i="40"/>
  <c r="J39" i="38"/>
  <c r="V54" i="182" s="1"/>
  <c r="J18" i="38"/>
  <c r="V53" i="182" s="1"/>
  <c r="J22" i="77"/>
  <c r="V49" i="182" s="1"/>
  <c r="J11" i="149"/>
  <c r="V43" i="182" s="1"/>
  <c r="J28" i="149"/>
  <c r="V44" i="182" s="1"/>
  <c r="J13" i="36"/>
  <c r="J16" i="36" s="1"/>
  <c r="J32" i="35"/>
  <c r="V34" i="182" s="1"/>
  <c r="J16" i="35"/>
  <c r="V33" i="182" s="1"/>
  <c r="J15" i="165" l="1"/>
  <c r="V136" i="182"/>
  <c r="V247" i="182"/>
  <c r="V187" i="182"/>
  <c r="Z186" i="182"/>
  <c r="Z147" i="182"/>
  <c r="V148" i="182"/>
  <c r="Z146" i="182"/>
  <c r="J41" i="87"/>
  <c r="V71" i="182"/>
  <c r="V153" i="182"/>
  <c r="Z152" i="182"/>
  <c r="V277" i="182"/>
  <c r="V282" i="182" s="1"/>
  <c r="V216" i="182"/>
  <c r="Z213" i="182"/>
  <c r="J59" i="15"/>
  <c r="V122" i="182"/>
  <c r="V50" i="182"/>
  <c r="Z49" i="182"/>
  <c r="Z44" i="182"/>
  <c r="V45" i="182"/>
  <c r="Z43" i="182"/>
  <c r="V143" i="182"/>
  <c r="Z141" i="182"/>
  <c r="V245" i="182"/>
  <c r="Z142" i="182"/>
  <c r="Z54" i="182"/>
  <c r="V55" i="182"/>
  <c r="Z53" i="182"/>
  <c r="V35" i="182"/>
  <c r="Z33" i="182"/>
  <c r="Z34" i="182"/>
  <c r="Z161" i="182"/>
  <c r="V162" i="182"/>
  <c r="Z160" i="182"/>
  <c r="J132" i="66"/>
  <c r="I22" i="129"/>
  <c r="J54" i="66"/>
  <c r="I63" i="129"/>
  <c r="J86" i="66"/>
  <c r="I37" i="129"/>
  <c r="J63" i="66"/>
  <c r="J24" i="77"/>
  <c r="J49" i="66" s="1"/>
  <c r="I17" i="129"/>
  <c r="I77" i="129"/>
  <c r="J102" i="66"/>
  <c r="J60" i="66"/>
  <c r="I27" i="129"/>
  <c r="I86" i="129"/>
  <c r="J105" i="66"/>
  <c r="I40" i="129"/>
  <c r="J67" i="66"/>
  <c r="I69" i="129"/>
  <c r="J93" i="66"/>
  <c r="J23" i="54"/>
  <c r="I87" i="129" s="1"/>
  <c r="J106" i="66"/>
  <c r="I15" i="129"/>
  <c r="J47" i="66"/>
  <c r="I20" i="129"/>
  <c r="J52" i="66"/>
  <c r="J94" i="66"/>
  <c r="I70" i="129"/>
  <c r="I121" i="129"/>
  <c r="J118" i="66"/>
  <c r="I21" i="129"/>
  <c r="J53" i="66"/>
  <c r="J69" i="12"/>
  <c r="I118" i="129" s="1"/>
  <c r="J17" i="15"/>
  <c r="V120" i="182" s="1"/>
  <c r="J34" i="35"/>
  <c r="W54" i="24"/>
  <c r="J35" i="44"/>
  <c r="J26" i="9"/>
  <c r="J21" i="47"/>
  <c r="I39" i="129" s="1"/>
  <c r="J56" i="15"/>
  <c r="V121" i="182" s="1"/>
  <c r="J61" i="6"/>
  <c r="J29" i="5"/>
  <c r="J116" i="66" s="1"/>
  <c r="J30" i="93"/>
  <c r="J64" i="51"/>
  <c r="J29" i="49"/>
  <c r="J46" i="11"/>
  <c r="J41" i="8"/>
  <c r="J22" i="7"/>
  <c r="J27" i="22"/>
  <c r="J20" i="18"/>
  <c r="J55" i="17"/>
  <c r="J21" i="23"/>
  <c r="J26" i="56"/>
  <c r="J19" i="13"/>
  <c r="J19" i="86"/>
  <c r="J16" i="46"/>
  <c r="J26" i="60"/>
  <c r="J59" i="43"/>
  <c r="J32" i="40"/>
  <c r="J41" i="38"/>
  <c r="J30" i="149"/>
  <c r="J40" i="34"/>
  <c r="J45" i="66" s="1"/>
  <c r="J37" i="34"/>
  <c r="J16" i="34"/>
  <c r="J27" i="33"/>
  <c r="V24" i="182" s="1"/>
  <c r="J12" i="33"/>
  <c r="J11" i="32"/>
  <c r="J14" i="32" s="1"/>
  <c r="J17" i="31"/>
  <c r="J19" i="30"/>
  <c r="J34" i="30"/>
  <c r="J21" i="29"/>
  <c r="I21" i="29"/>
  <c r="J10" i="29"/>
  <c r="K39" i="87"/>
  <c r="K48" i="43"/>
  <c r="K11" i="18"/>
  <c r="K12" i="18" s="1"/>
  <c r="S10" i="51"/>
  <c r="V137" i="182" l="1"/>
  <c r="Z136" i="182"/>
  <c r="Z187" i="182"/>
  <c r="J20" i="31"/>
  <c r="V15" i="182"/>
  <c r="Z148" i="182"/>
  <c r="V25" i="182"/>
  <c r="Z24" i="182"/>
  <c r="V244" i="182"/>
  <c r="K41" i="87"/>
  <c r="K53" i="66" s="1"/>
  <c r="X71" i="182"/>
  <c r="V72" i="182"/>
  <c r="Z71" i="182"/>
  <c r="Z153" i="182"/>
  <c r="V232" i="182"/>
  <c r="Z216" i="182"/>
  <c r="V285" i="182"/>
  <c r="V287" i="182"/>
  <c r="V288" i="182"/>
  <c r="V289" i="182"/>
  <c r="V286" i="182"/>
  <c r="Z122" i="182"/>
  <c r="V123" i="182"/>
  <c r="Z120" i="182"/>
  <c r="Z121" i="182"/>
  <c r="V243" i="182"/>
  <c r="Z50" i="182"/>
  <c r="Z45" i="182"/>
  <c r="Z143" i="182"/>
  <c r="Z55" i="182"/>
  <c r="Z35" i="182"/>
  <c r="Z162" i="182"/>
  <c r="J23" i="29"/>
  <c r="J108" i="66"/>
  <c r="I88" i="129"/>
  <c r="I28" i="129"/>
  <c r="J61" i="66"/>
  <c r="I48" i="129"/>
  <c r="J76" i="66"/>
  <c r="I129" i="129"/>
  <c r="I131" i="129" s="1"/>
  <c r="J64" i="66"/>
  <c r="I38" i="129"/>
  <c r="I50" i="129"/>
  <c r="J78" i="66"/>
  <c r="I120" i="129"/>
  <c r="I122" i="129" s="1"/>
  <c r="J117" i="66"/>
  <c r="I8" i="129"/>
  <c r="J39" i="66"/>
  <c r="I41" i="129"/>
  <c r="J68" i="66"/>
  <c r="I54" i="129"/>
  <c r="J84" i="66"/>
  <c r="J91" i="66"/>
  <c r="I67" i="129"/>
  <c r="J48" i="66"/>
  <c r="I16" i="129"/>
  <c r="I68" i="129"/>
  <c r="J92" i="66"/>
  <c r="I62" i="129"/>
  <c r="I64" i="129" s="1"/>
  <c r="J85" i="66"/>
  <c r="I10" i="129"/>
  <c r="J41" i="66"/>
  <c r="J50" i="66"/>
  <c r="I18" i="129"/>
  <c r="I74" i="129"/>
  <c r="J99" i="66"/>
  <c r="I36" i="129"/>
  <c r="J62" i="66"/>
  <c r="I11" i="129"/>
  <c r="J42" i="66"/>
  <c r="I19" i="129"/>
  <c r="J51" i="66"/>
  <c r="J59" i="66"/>
  <c r="I26" i="129"/>
  <c r="I47" i="129"/>
  <c r="J75" i="66"/>
  <c r="J114" i="66"/>
  <c r="J46" i="66"/>
  <c r="I14" i="129"/>
  <c r="J61" i="15"/>
  <c r="I45" i="129" s="1"/>
  <c r="J73" i="66"/>
  <c r="J123" i="66"/>
  <c r="W55" i="24"/>
  <c r="J42" i="34"/>
  <c r="J29" i="33"/>
  <c r="J36" i="30"/>
  <c r="Z137" i="182" l="1"/>
  <c r="V16" i="182"/>
  <c r="Z15" i="182"/>
  <c r="V248" i="182"/>
  <c r="V251" i="182" s="1"/>
  <c r="Z25" i="182"/>
  <c r="Z72" i="182"/>
  <c r="X72" i="182"/>
  <c r="AB72" i="182" s="1"/>
  <c r="AB71" i="182"/>
  <c r="V290" i="182"/>
  <c r="Z232" i="182"/>
  <c r="Z123" i="182"/>
  <c r="I71" i="129"/>
  <c r="I51" i="129"/>
  <c r="J96" i="66"/>
  <c r="J120" i="66"/>
  <c r="J70" i="66"/>
  <c r="I12" i="129"/>
  <c r="J43" i="66"/>
  <c r="I133" i="129"/>
  <c r="I9" i="129"/>
  <c r="J40" i="66"/>
  <c r="J88" i="66"/>
  <c r="J44" i="66"/>
  <c r="I13" i="129"/>
  <c r="I42" i="129"/>
  <c r="J80" i="66"/>
  <c r="V252" i="182" l="1"/>
  <c r="Z16" i="182"/>
  <c r="V193" i="182"/>
  <c r="V254" i="182"/>
  <c r="V253" i="182"/>
  <c r="V255" i="182"/>
  <c r="J56" i="66"/>
  <c r="J110" i="66" s="1"/>
  <c r="I23" i="129"/>
  <c r="I90" i="129" s="1"/>
  <c r="H24" i="168"/>
  <c r="H16" i="168"/>
  <c r="I23" i="168" s="1"/>
  <c r="I20" i="168" l="1"/>
  <c r="I21" i="168"/>
  <c r="V234" i="182"/>
  <c r="Z234" i="182" s="1"/>
  <c r="Z193" i="182"/>
  <c r="V256" i="182"/>
  <c r="J136" i="66"/>
  <c r="J273" i="66" s="1"/>
  <c r="J278" i="66" s="1"/>
  <c r="I19" i="168"/>
  <c r="I24" i="168" s="1"/>
  <c r="I22" i="168"/>
  <c r="X47" i="6"/>
  <c r="X46" i="6"/>
  <c r="V145" i="66" l="1"/>
  <c r="V153" i="66"/>
  <c r="I44" i="167" l="1"/>
  <c r="T13" i="66" l="1"/>
  <c r="K5" i="167" s="1"/>
  <c r="K12" i="167" s="1"/>
  <c r="S13" i="66"/>
  <c r="W13" i="66"/>
  <c r="W110" i="66" s="1"/>
  <c r="V243" i="66"/>
  <c r="K13" i="167" l="1"/>
  <c r="K21" i="167"/>
  <c r="AA249" i="66"/>
  <c r="V244" i="66"/>
  <c r="V242" i="66"/>
  <c r="K22" i="167" l="1"/>
  <c r="K43" i="167"/>
  <c r="K44" i="167" s="1"/>
  <c r="B4" i="160"/>
  <c r="P33" i="31"/>
  <c r="P32" i="31"/>
  <c r="P31" i="31"/>
  <c r="P28" i="31"/>
  <c r="P35" i="31" s="1"/>
  <c r="P27" i="31"/>
  <c r="P26" i="31"/>
  <c r="R28" i="31" l="1"/>
  <c r="Q26" i="31"/>
  <c r="R26" i="31" s="1"/>
  <c r="Q27" i="31"/>
  <c r="R27" i="31" s="1"/>
  <c r="Q28" i="31"/>
  <c r="Q31" i="31"/>
  <c r="R31" i="31" s="1"/>
  <c r="Q32" i="31"/>
  <c r="R32" i="31" s="1"/>
  <c r="Q33" i="31"/>
  <c r="R33" i="31" s="1"/>
  <c r="O23" i="135" l="1"/>
  <c r="O22" i="45"/>
  <c r="P38" i="29" l="1"/>
  <c r="P37" i="29"/>
  <c r="P36" i="29"/>
  <c r="P35" i="29"/>
  <c r="P34" i="29"/>
  <c r="P33" i="29"/>
  <c r="P32" i="29"/>
  <c r="R31" i="29"/>
  <c r="P31" i="29"/>
  <c r="Q31" i="29" s="1"/>
  <c r="P30" i="29"/>
  <c r="Q37" i="29" l="1"/>
  <c r="O40" i="29"/>
  <c r="Q34" i="29"/>
  <c r="R34" i="29" s="1"/>
  <c r="Q36" i="29"/>
  <c r="Q38" i="29"/>
  <c r="R38" i="29" s="1"/>
  <c r="R37" i="29"/>
  <c r="Q32" i="29"/>
  <c r="R32" i="29" s="1"/>
  <c r="R36" i="29"/>
  <c r="Q33" i="29"/>
  <c r="R33" i="29" s="1"/>
  <c r="Q35" i="29"/>
  <c r="R35" i="29" s="1"/>
  <c r="I60" i="12"/>
  <c r="L26" i="139"/>
  <c r="S10" i="139"/>
  <c r="P61" i="35" l="1"/>
  <c r="P60" i="35"/>
  <c r="P59" i="35"/>
  <c r="Q59" i="35" l="1"/>
  <c r="Q61" i="35"/>
  <c r="Q60" i="35"/>
  <c r="S17" i="8"/>
  <c r="O83" i="34" l="1"/>
  <c r="C100" i="143"/>
  <c r="P23" i="165" l="1"/>
  <c r="P25" i="165"/>
  <c r="Q25" i="165" s="1"/>
  <c r="P24" i="165"/>
  <c r="R24" i="165" s="1"/>
  <c r="P22" i="165"/>
  <c r="S13" i="165"/>
  <c r="AQ136" i="182" s="1"/>
  <c r="R13" i="165"/>
  <c r="K13" i="165"/>
  <c r="I13" i="165"/>
  <c r="H13" i="165"/>
  <c r="G13" i="165"/>
  <c r="F13" i="165"/>
  <c r="E13" i="165"/>
  <c r="G136" i="182" s="1"/>
  <c r="D13" i="165"/>
  <c r="D136" i="182" s="1"/>
  <c r="C13" i="165"/>
  <c r="C136" i="182" s="1"/>
  <c r="C137" i="182" s="1"/>
  <c r="K15" i="165" l="1"/>
  <c r="X136" i="182"/>
  <c r="D137" i="182"/>
  <c r="E137" i="182" s="1"/>
  <c r="E136" i="182"/>
  <c r="I15" i="165"/>
  <c r="S136" i="182"/>
  <c r="G137" i="182"/>
  <c r="H137" i="182" s="1"/>
  <c r="H136" i="182"/>
  <c r="P27" i="165"/>
  <c r="F15" i="165"/>
  <c r="J136" i="182"/>
  <c r="G15" i="165"/>
  <c r="M136" i="182"/>
  <c r="H15" i="165"/>
  <c r="P136" i="182"/>
  <c r="R15" i="165"/>
  <c r="AM136" i="182"/>
  <c r="AV136" i="182"/>
  <c r="AS136" i="182"/>
  <c r="AQ137" i="182"/>
  <c r="AT136" i="182"/>
  <c r="AR136" i="182"/>
  <c r="S15" i="165"/>
  <c r="S16" i="165" s="1"/>
  <c r="T16" i="165" s="1"/>
  <c r="Q22" i="165"/>
  <c r="R22" i="165" s="1"/>
  <c r="Q23" i="165"/>
  <c r="R23" i="165" s="1"/>
  <c r="U13" i="165"/>
  <c r="R25" i="165"/>
  <c r="Q24" i="165"/>
  <c r="E15" i="165"/>
  <c r="D15" i="165"/>
  <c r="C15" i="165"/>
  <c r="S137" i="182" l="1"/>
  <c r="T136" i="182"/>
  <c r="W136" i="182"/>
  <c r="P137" i="182"/>
  <c r="Q136" i="182"/>
  <c r="M137" i="182"/>
  <c r="N137" i="182" s="1"/>
  <c r="N136" i="182"/>
  <c r="X137" i="182"/>
  <c r="AB137" i="182" s="1"/>
  <c r="AB136" i="182"/>
  <c r="J137" i="182"/>
  <c r="K137" i="182" s="1"/>
  <c r="K136" i="182"/>
  <c r="AM137" i="182"/>
  <c r="AN137" i="182" s="1"/>
  <c r="AN136" i="182"/>
  <c r="AS137" i="182"/>
  <c r="AR137" i="182"/>
  <c r="AT137" i="182"/>
  <c r="AW136" i="182"/>
  <c r="AV137" i="182"/>
  <c r="T15" i="165"/>
  <c r="S77" i="66" s="1"/>
  <c r="M49" i="129" s="1"/>
  <c r="N49" i="129" s="1"/>
  <c r="O49" i="129" s="1"/>
  <c r="R77" i="66"/>
  <c r="L49" i="129" s="1"/>
  <c r="Q27" i="165"/>
  <c r="R27" i="165" s="1"/>
  <c r="U15" i="165"/>
  <c r="T77" i="66" s="1"/>
  <c r="I78" i="26"/>
  <c r="I83" i="26"/>
  <c r="I52" i="26"/>
  <c r="I58" i="26" s="1"/>
  <c r="I27" i="26"/>
  <c r="I28" i="26" s="1"/>
  <c r="I31" i="26" s="1"/>
  <c r="J7" i="66" s="1"/>
  <c r="I9" i="26"/>
  <c r="Q137" i="182" l="1"/>
  <c r="T137" i="182"/>
  <c r="W137" i="182"/>
  <c r="AX136" i="182"/>
  <c r="AW137" i="182"/>
  <c r="J8" i="66"/>
  <c r="AY136" i="182" l="1"/>
  <c r="AX137" i="182"/>
  <c r="I16" i="144"/>
  <c r="AZ136" i="182" l="1"/>
  <c r="AZ137" i="182" s="1"/>
  <c r="AY137" i="182"/>
  <c r="I18" i="2"/>
  <c r="I51" i="12"/>
  <c r="I22" i="12"/>
  <c r="I21" i="17"/>
  <c r="I39" i="17"/>
  <c r="I43" i="43"/>
  <c r="I14" i="44"/>
  <c r="I64" i="12" l="1"/>
  <c r="S214" i="182" s="1"/>
  <c r="S278" i="182" s="1"/>
  <c r="K12" i="60"/>
  <c r="K11" i="60"/>
  <c r="K10" i="60"/>
  <c r="K16" i="43"/>
  <c r="K15" i="43"/>
  <c r="W214" i="182" l="1"/>
  <c r="T12" i="66"/>
  <c r="W12" i="66" s="1"/>
  <c r="S12" i="66"/>
  <c r="H50" i="26"/>
  <c r="I12" i="12" l="1"/>
  <c r="I9" i="12"/>
  <c r="I10" i="11"/>
  <c r="I9" i="11"/>
  <c r="P95" i="17"/>
  <c r="S49" i="15"/>
  <c r="R49" i="15"/>
  <c r="K49" i="15"/>
  <c r="I49" i="15"/>
  <c r="H49" i="15"/>
  <c r="I9" i="43"/>
  <c r="Q95" i="17" l="1"/>
  <c r="P80" i="38"/>
  <c r="Q80" i="38" l="1"/>
  <c r="I16" i="35"/>
  <c r="S33" i="182" s="1"/>
  <c r="W33" i="182" l="1"/>
  <c r="R105" i="26"/>
  <c r="R42" i="26" s="1"/>
  <c r="R93" i="26"/>
  <c r="S17" i="66"/>
  <c r="S26" i="66"/>
  <c r="S25" i="66"/>
  <c r="S11" i="66"/>
  <c r="S9" i="66"/>
  <c r="L26" i="66"/>
  <c r="L25" i="66"/>
  <c r="L20" i="66"/>
  <c r="L19" i="66"/>
  <c r="L11" i="66"/>
  <c r="L9" i="66"/>
  <c r="T20" i="66" l="1"/>
  <c r="S20" i="66"/>
  <c r="R57" i="26"/>
  <c r="D7" i="173"/>
  <c r="R83" i="26"/>
  <c r="R106" i="26"/>
  <c r="R108" i="26"/>
  <c r="R109" i="26" s="1"/>
  <c r="T151" i="66" s="1"/>
  <c r="C46" i="179" l="1"/>
  <c r="D46" i="179" s="1"/>
  <c r="C35" i="179"/>
  <c r="R151" i="66"/>
  <c r="C74" i="179" s="1"/>
  <c r="S151" i="66"/>
  <c r="R112" i="26"/>
  <c r="T152" i="66" s="1"/>
  <c r="R111" i="26"/>
  <c r="T150" i="66" s="1"/>
  <c r="D35" i="179" l="1"/>
  <c r="D41" i="179" s="1"/>
  <c r="D47" i="179" s="1"/>
  <c r="C41" i="179"/>
  <c r="C47" i="179" s="1"/>
  <c r="S150" i="66"/>
  <c r="R150" i="66"/>
  <c r="C73" i="179" s="1"/>
  <c r="R152" i="66"/>
  <c r="C75" i="179" s="1"/>
  <c r="S152" i="66"/>
  <c r="R114" i="26"/>
  <c r="G60" i="138" l="1"/>
  <c r="G50" i="138" s="1"/>
  <c r="F60" i="138"/>
  <c r="F50" i="138" s="1"/>
  <c r="E57" i="138"/>
  <c r="E47" i="138" s="1"/>
  <c r="C57" i="138"/>
  <c r="C47" i="138" s="1"/>
  <c r="G56" i="138"/>
  <c r="G46" i="138" s="1"/>
  <c r="E56" i="138"/>
  <c r="E46" i="138" s="1"/>
  <c r="C56" i="138"/>
  <c r="C46" i="138" s="1"/>
  <c r="H9" i="43"/>
  <c r="K16" i="35"/>
  <c r="X33" i="182" s="1"/>
  <c r="AB33" i="182" l="1"/>
  <c r="G36" i="138"/>
  <c r="G26" i="138" s="1"/>
  <c r="G16" i="138" s="1"/>
  <c r="C37" i="138"/>
  <c r="C27" i="138" s="1"/>
  <c r="C17" i="138" s="1"/>
  <c r="E37" i="138"/>
  <c r="E27" i="138" s="1"/>
  <c r="E17" i="138" s="1"/>
  <c r="F40" i="138"/>
  <c r="F30" i="138" s="1"/>
  <c r="F20" i="138" s="1"/>
  <c r="G40" i="138"/>
  <c r="G30" i="138" s="1"/>
  <c r="G20" i="138" s="1"/>
  <c r="E36" i="138"/>
  <c r="E26" i="138" s="1"/>
  <c r="E16" i="138" s="1"/>
  <c r="C36" i="138"/>
  <c r="C26" i="138" s="1"/>
  <c r="C16" i="138" s="1"/>
  <c r="I17" i="2"/>
  <c r="K15" i="4"/>
  <c r="K18" i="4" s="1"/>
  <c r="K118" i="66" s="1"/>
  <c r="K59" i="6"/>
  <c r="K56" i="6"/>
  <c r="K29" i="6"/>
  <c r="U59" i="6"/>
  <c r="K27" i="5"/>
  <c r="K24" i="5"/>
  <c r="K12" i="5"/>
  <c r="K16" i="12"/>
  <c r="X213" i="182" s="1"/>
  <c r="Q98" i="12"/>
  <c r="R98" i="12" s="1"/>
  <c r="Q97" i="12"/>
  <c r="R97" i="12" s="1"/>
  <c r="P48" i="93"/>
  <c r="P47" i="93"/>
  <c r="P45" i="93"/>
  <c r="P44" i="93"/>
  <c r="P43" i="93"/>
  <c r="P42" i="93"/>
  <c r="P41" i="93"/>
  <c r="P40" i="93"/>
  <c r="P39" i="93"/>
  <c r="P38" i="93"/>
  <c r="P37" i="93"/>
  <c r="P36" i="93"/>
  <c r="P46" i="93"/>
  <c r="S20" i="93"/>
  <c r="K26" i="93"/>
  <c r="K20" i="93"/>
  <c r="J33" i="54"/>
  <c r="K21" i="54"/>
  <c r="K106" i="66" s="1"/>
  <c r="K18" i="53"/>
  <c r="K20" i="53" s="1"/>
  <c r="K16" i="52"/>
  <c r="K102" i="66" s="1"/>
  <c r="K61" i="51"/>
  <c r="K56" i="51"/>
  <c r="K31" i="51"/>
  <c r="K11" i="50"/>
  <c r="K14" i="50" s="1"/>
  <c r="K94" i="66" s="1"/>
  <c r="K12" i="135"/>
  <c r="K15" i="135" s="1"/>
  <c r="K93" i="66" s="1"/>
  <c r="K15" i="49"/>
  <c r="K27" i="49" s="1"/>
  <c r="K44" i="11"/>
  <c r="K41" i="11"/>
  <c r="X161" i="182" s="1"/>
  <c r="K16" i="11"/>
  <c r="X160" i="182" s="1"/>
  <c r="K12" i="10"/>
  <c r="K15" i="10" s="1"/>
  <c r="K86" i="66" s="1"/>
  <c r="K24" i="9"/>
  <c r="X152" i="182" s="1"/>
  <c r="K11" i="9"/>
  <c r="K39" i="8"/>
  <c r="X147" i="182" s="1"/>
  <c r="AB147" i="182" s="1"/>
  <c r="K21" i="8"/>
  <c r="X146" i="182" s="1"/>
  <c r="O33" i="7"/>
  <c r="K20" i="7"/>
  <c r="X142" i="182" s="1"/>
  <c r="K17" i="7"/>
  <c r="X141" i="182" s="1"/>
  <c r="K25" i="22"/>
  <c r="K13" i="22"/>
  <c r="K18" i="18"/>
  <c r="K58" i="15"/>
  <c r="X122" i="182" s="1"/>
  <c r="AB122" i="182" s="1"/>
  <c r="K54" i="15"/>
  <c r="K53" i="15"/>
  <c r="K52" i="15"/>
  <c r="K51" i="15"/>
  <c r="K50" i="15"/>
  <c r="K48" i="15"/>
  <c r="K47" i="15"/>
  <c r="K46" i="15"/>
  <c r="K45" i="15"/>
  <c r="K44" i="15"/>
  <c r="K43" i="15"/>
  <c r="K42" i="15"/>
  <c r="K41" i="15"/>
  <c r="K39" i="15"/>
  <c r="K38" i="15"/>
  <c r="K37" i="15"/>
  <c r="K36" i="15"/>
  <c r="K35" i="15"/>
  <c r="K34" i="15"/>
  <c r="K33" i="15"/>
  <c r="K32" i="15"/>
  <c r="K31" i="15"/>
  <c r="K30" i="15"/>
  <c r="K29" i="15"/>
  <c r="K28" i="15"/>
  <c r="K27" i="15"/>
  <c r="K26" i="15"/>
  <c r="K25" i="15"/>
  <c r="K24" i="15"/>
  <c r="K23" i="15"/>
  <c r="K22" i="15"/>
  <c r="K21" i="15"/>
  <c r="K20" i="15"/>
  <c r="K19" i="15"/>
  <c r="K16" i="15"/>
  <c r="K15" i="15"/>
  <c r="K14" i="15"/>
  <c r="K13" i="15"/>
  <c r="K12" i="15"/>
  <c r="K11" i="15"/>
  <c r="K10" i="15"/>
  <c r="K9" i="15"/>
  <c r="K13" i="23"/>
  <c r="K53" i="17"/>
  <c r="K50" i="17"/>
  <c r="K16" i="17"/>
  <c r="K22" i="56"/>
  <c r="K12" i="56"/>
  <c r="K14" i="13"/>
  <c r="K131" i="66" s="1"/>
  <c r="K11" i="13"/>
  <c r="K130" i="66" s="1"/>
  <c r="K17" i="86"/>
  <c r="K19" i="86" s="1"/>
  <c r="K68" i="66" s="1"/>
  <c r="K10" i="86"/>
  <c r="K10" i="48"/>
  <c r="K12" i="48" s="1"/>
  <c r="K67" i="66" s="1"/>
  <c r="O20" i="48"/>
  <c r="K19" i="47"/>
  <c r="K66" i="66" s="1"/>
  <c r="K16" i="47"/>
  <c r="K65" i="66" s="1"/>
  <c r="O28" i="46"/>
  <c r="K14" i="46"/>
  <c r="K10" i="46"/>
  <c r="K10" i="45"/>
  <c r="K12" i="45" s="1"/>
  <c r="K63" i="66" s="1"/>
  <c r="K33" i="44"/>
  <c r="K20" i="44"/>
  <c r="K24" i="60"/>
  <c r="K19" i="60"/>
  <c r="K57" i="43"/>
  <c r="K60" i="66" s="1"/>
  <c r="K28" i="43"/>
  <c r="K15" i="41"/>
  <c r="K18" i="41" s="1"/>
  <c r="K52" i="66" s="1"/>
  <c r="P63" i="40"/>
  <c r="P62" i="40"/>
  <c r="P61" i="40"/>
  <c r="P60" i="40"/>
  <c r="P59" i="40"/>
  <c r="P58" i="40"/>
  <c r="P57" i="40"/>
  <c r="P56" i="40"/>
  <c r="O53" i="40"/>
  <c r="O65" i="40" s="1"/>
  <c r="K30" i="40"/>
  <c r="K13" i="40"/>
  <c r="K39" i="38"/>
  <c r="X54" i="182" s="1"/>
  <c r="AB54" i="182" s="1"/>
  <c r="K18" i="38"/>
  <c r="X53" i="182" s="1"/>
  <c r="K22" i="77"/>
  <c r="X49" i="182" s="1"/>
  <c r="K11" i="149"/>
  <c r="X43" i="182" s="1"/>
  <c r="K13" i="36"/>
  <c r="K16" i="36" s="1"/>
  <c r="K47" i="66" s="1"/>
  <c r="O26" i="36"/>
  <c r="O62" i="35"/>
  <c r="K32" i="35"/>
  <c r="X34" i="182" s="1"/>
  <c r="AB34" i="182" s="1"/>
  <c r="K40" i="34"/>
  <c r="K45" i="66" s="1"/>
  <c r="K37" i="34"/>
  <c r="K16" i="34"/>
  <c r="K105" i="66" l="1"/>
  <c r="K108" i="66" s="1"/>
  <c r="X186" i="182"/>
  <c r="K132" i="66"/>
  <c r="X148" i="182"/>
  <c r="AB148" i="182" s="1"/>
  <c r="AB146" i="182"/>
  <c r="X153" i="182"/>
  <c r="AB153" i="182" s="1"/>
  <c r="AB152" i="182"/>
  <c r="X216" i="182"/>
  <c r="X277" i="182"/>
  <c r="AB213" i="182"/>
  <c r="X50" i="182"/>
  <c r="AB50" i="182" s="1"/>
  <c r="AB49" i="182"/>
  <c r="X45" i="182"/>
  <c r="AB45" i="182" s="1"/>
  <c r="AB43" i="182"/>
  <c r="X245" i="182"/>
  <c r="AB142" i="182"/>
  <c r="X143" i="182"/>
  <c r="AB143" i="182" s="1"/>
  <c r="AB141" i="182"/>
  <c r="X55" i="182"/>
  <c r="AB55" i="182" s="1"/>
  <c r="AB53" i="182"/>
  <c r="X35" i="182"/>
  <c r="AB35" i="182" s="1"/>
  <c r="AB161" i="182"/>
  <c r="X162" i="182"/>
  <c r="AB160" i="182"/>
  <c r="K16" i="46"/>
  <c r="K64" i="66" s="1"/>
  <c r="O45" i="56"/>
  <c r="O43" i="77"/>
  <c r="K22" i="7"/>
  <c r="K78" i="66" s="1"/>
  <c r="J26" i="10"/>
  <c r="R26" i="10" s="1"/>
  <c r="O23" i="50"/>
  <c r="K69" i="12"/>
  <c r="K114" i="66" s="1"/>
  <c r="O38" i="53"/>
  <c r="R101" i="12"/>
  <c r="Q101" i="12"/>
  <c r="R100" i="12"/>
  <c r="Q100" i="12"/>
  <c r="O57" i="149"/>
  <c r="O90" i="38"/>
  <c r="O53" i="5"/>
  <c r="K30" i="149"/>
  <c r="K48" i="66" s="1"/>
  <c r="K29" i="5"/>
  <c r="K116" i="66" s="1"/>
  <c r="O69" i="44"/>
  <c r="O52" i="9"/>
  <c r="K24" i="77"/>
  <c r="K49" i="66" s="1"/>
  <c r="O75" i="87"/>
  <c r="O138" i="43"/>
  <c r="O61" i="60"/>
  <c r="K21" i="47"/>
  <c r="K21" i="23"/>
  <c r="O35" i="23"/>
  <c r="O34" i="18"/>
  <c r="O50" i="22"/>
  <c r="O85" i="8"/>
  <c r="I107" i="11"/>
  <c r="O59" i="49"/>
  <c r="K23" i="54"/>
  <c r="O36" i="4"/>
  <c r="K59" i="15"/>
  <c r="K41" i="8"/>
  <c r="K84" i="66" s="1"/>
  <c r="O77" i="35"/>
  <c r="K46" i="11"/>
  <c r="K91" i="66" s="1"/>
  <c r="K20" i="18"/>
  <c r="K75" i="66" s="1"/>
  <c r="K55" i="17"/>
  <c r="K17" i="15"/>
  <c r="X120" i="182" s="1"/>
  <c r="K56" i="15"/>
  <c r="X121" i="182" s="1"/>
  <c r="AB121" i="182" s="1"/>
  <c r="K54" i="43"/>
  <c r="K59" i="43" s="1"/>
  <c r="K59" i="66" s="1"/>
  <c r="K19" i="13"/>
  <c r="K61" i="6"/>
  <c r="K117" i="66" s="1"/>
  <c r="K30" i="93"/>
  <c r="L262" i="66" s="1"/>
  <c r="L271" i="66" s="1"/>
  <c r="L273" i="66" s="1"/>
  <c r="K64" i="51"/>
  <c r="K99" i="66" s="1"/>
  <c r="K13" i="49"/>
  <c r="K29" i="49" s="1"/>
  <c r="K92" i="66" s="1"/>
  <c r="K26" i="9"/>
  <c r="K85" i="66" s="1"/>
  <c r="K27" i="22"/>
  <c r="K76" i="66" s="1"/>
  <c r="K26" i="56"/>
  <c r="K35" i="44"/>
  <c r="K62" i="66" s="1"/>
  <c r="K26" i="60"/>
  <c r="K61" i="66" s="1"/>
  <c r="K32" i="40"/>
  <c r="K51" i="66" s="1"/>
  <c r="K41" i="38"/>
  <c r="K50" i="66" s="1"/>
  <c r="K34" i="35"/>
  <c r="K46" i="66" s="1"/>
  <c r="K42" i="34"/>
  <c r="K44" i="66" s="1"/>
  <c r="K27" i="33"/>
  <c r="X24" i="182" s="1"/>
  <c r="K12" i="33"/>
  <c r="K11" i="32"/>
  <c r="K14" i="32" s="1"/>
  <c r="K42" i="66" s="1"/>
  <c r="K17" i="31"/>
  <c r="K34" i="30"/>
  <c r="K19" i="30"/>
  <c r="K21" i="29"/>
  <c r="K10" i="29"/>
  <c r="R85" i="12"/>
  <c r="D127" i="137" s="1"/>
  <c r="X247" i="182" l="1"/>
  <c r="X187" i="182"/>
  <c r="AB187" i="182" s="1"/>
  <c r="AB186" i="182"/>
  <c r="K20" i="31"/>
  <c r="K41" i="66" s="1"/>
  <c r="X15" i="182"/>
  <c r="X25" i="182"/>
  <c r="AB25" i="182" s="1"/>
  <c r="AB24" i="182"/>
  <c r="X282" i="182"/>
  <c r="X285" i="182" s="1"/>
  <c r="X232" i="182"/>
  <c r="AB232" i="182" s="1"/>
  <c r="AB216" i="182"/>
  <c r="X244" i="182"/>
  <c r="X123" i="182"/>
  <c r="AB123" i="182" s="1"/>
  <c r="AB120" i="182"/>
  <c r="X243" i="182"/>
  <c r="AB162" i="182"/>
  <c r="K88" i="66"/>
  <c r="K96" i="66"/>
  <c r="K73" i="66"/>
  <c r="K80" i="66" s="1"/>
  <c r="K120" i="66"/>
  <c r="K70" i="66"/>
  <c r="I148" i="12"/>
  <c r="K23" i="29"/>
  <c r="K39" i="66" s="1"/>
  <c r="O56" i="33"/>
  <c r="Q58" i="11"/>
  <c r="Q56" i="11"/>
  <c r="R81" i="12"/>
  <c r="Q36" i="60"/>
  <c r="R84" i="12"/>
  <c r="R83" i="12"/>
  <c r="R82" i="12"/>
  <c r="O71" i="30"/>
  <c r="K29" i="33"/>
  <c r="K43" i="66" s="1"/>
  <c r="K61" i="15"/>
  <c r="K36" i="30"/>
  <c r="K40" i="66" s="1"/>
  <c r="X16" i="182" l="1"/>
  <c r="AB16" i="182" s="1"/>
  <c r="AB15" i="182"/>
  <c r="X193" i="182"/>
  <c r="X234" i="182" s="1"/>
  <c r="AB234" i="182" s="1"/>
  <c r="X248" i="182"/>
  <c r="X251" i="182" s="1"/>
  <c r="X288" i="182"/>
  <c r="X287" i="182"/>
  <c r="X289" i="182"/>
  <c r="X286" i="182"/>
  <c r="K56" i="66"/>
  <c r="K110" i="66" s="1"/>
  <c r="J64" i="129"/>
  <c r="J51" i="129"/>
  <c r="J42" i="129"/>
  <c r="I28" i="66"/>
  <c r="I29" i="66"/>
  <c r="X290" i="182" l="1"/>
  <c r="X255" i="182"/>
  <c r="X252" i="182"/>
  <c r="AB193" i="182"/>
  <c r="X253" i="182"/>
  <c r="X254" i="182"/>
  <c r="K136" i="66"/>
  <c r="K111" i="66"/>
  <c r="L111" i="66"/>
  <c r="L17" i="66"/>
  <c r="L278" i="66"/>
  <c r="X256" i="182" l="1"/>
  <c r="V208" i="66"/>
  <c r="V207" i="66"/>
  <c r="V206" i="66"/>
  <c r="V211" i="66" l="1"/>
  <c r="V212" i="66"/>
  <c r="P76" i="34" l="1"/>
  <c r="Q76" i="34" l="1"/>
  <c r="R76" i="34" s="1"/>
  <c r="S7" i="66" l="1"/>
  <c r="B18" i="133"/>
  <c r="I30" i="15"/>
  <c r="W47" i="6" l="1"/>
  <c r="Y47" i="6"/>
  <c r="Z47" i="6"/>
  <c r="AA47" i="6"/>
  <c r="AB47" i="6"/>
  <c r="AC47" i="6"/>
  <c r="AD47" i="6"/>
  <c r="AE47" i="6"/>
  <c r="AF47" i="6"/>
  <c r="AG47" i="6"/>
  <c r="AH47" i="6"/>
  <c r="AI47" i="6"/>
  <c r="AJ47" i="6"/>
  <c r="AK47" i="6"/>
  <c r="AL47" i="6"/>
  <c r="AM47" i="6"/>
  <c r="AN47" i="6"/>
  <c r="AN46" i="6"/>
  <c r="AM46" i="6"/>
  <c r="AL46" i="6"/>
  <c r="AK46" i="6"/>
  <c r="AJ46" i="6"/>
  <c r="AI46" i="6"/>
  <c r="AH46" i="6"/>
  <c r="AG46" i="6"/>
  <c r="AF46" i="6"/>
  <c r="AE46" i="6"/>
  <c r="AD46" i="6"/>
  <c r="AC46" i="6"/>
  <c r="AB46" i="6"/>
  <c r="AA46" i="6"/>
  <c r="Z46" i="6"/>
  <c r="Y46" i="6"/>
  <c r="W46" i="6"/>
  <c r="R69" i="8" l="1"/>
  <c r="P68" i="8"/>
  <c r="R21" i="8"/>
  <c r="AM146" i="182" s="1"/>
  <c r="I21" i="8"/>
  <c r="S146" i="182" s="1"/>
  <c r="H21" i="8"/>
  <c r="P146" i="182" s="1"/>
  <c r="G21" i="8"/>
  <c r="M146" i="182" s="1"/>
  <c r="P50" i="87"/>
  <c r="P51" i="87"/>
  <c r="Q51" i="87" s="1"/>
  <c r="R51" i="87" s="1"/>
  <c r="P52" i="87"/>
  <c r="P53" i="87"/>
  <c r="Q53" i="87" s="1"/>
  <c r="R53" i="87" s="1"/>
  <c r="P54" i="87"/>
  <c r="P55" i="87"/>
  <c r="Q55" i="87" s="1"/>
  <c r="R55" i="87" s="1"/>
  <c r="P56" i="87"/>
  <c r="P57" i="87"/>
  <c r="Q57" i="87" s="1"/>
  <c r="R57" i="87" s="1"/>
  <c r="P58" i="87"/>
  <c r="P59" i="87"/>
  <c r="Q59" i="87" s="1"/>
  <c r="R59" i="87" s="1"/>
  <c r="P60" i="87"/>
  <c r="P61" i="87"/>
  <c r="Q61" i="87" s="1"/>
  <c r="R61" i="87" s="1"/>
  <c r="P62" i="87"/>
  <c r="P63" i="87"/>
  <c r="P64" i="87"/>
  <c r="P65" i="87"/>
  <c r="Q65" i="87" s="1"/>
  <c r="R65" i="87" s="1"/>
  <c r="P66" i="87"/>
  <c r="Q66" i="87" s="1"/>
  <c r="R66" i="87" s="1"/>
  <c r="P67" i="87"/>
  <c r="Q67" i="87" s="1"/>
  <c r="R67" i="87" s="1"/>
  <c r="P68" i="87"/>
  <c r="P69" i="87"/>
  <c r="Q69" i="87" s="1"/>
  <c r="R69" i="87" s="1"/>
  <c r="P70" i="87"/>
  <c r="Q70" i="87" s="1"/>
  <c r="R70" i="87" s="1"/>
  <c r="P71" i="87"/>
  <c r="Q71" i="87" s="1"/>
  <c r="R71" i="87" s="1"/>
  <c r="P72" i="87"/>
  <c r="P73" i="87"/>
  <c r="Q73" i="87" s="1"/>
  <c r="R73" i="87" s="1"/>
  <c r="T146" i="182" l="1"/>
  <c r="W146" i="182"/>
  <c r="Q146" i="182"/>
  <c r="AN146" i="182"/>
  <c r="AM148" i="182"/>
  <c r="AN148" i="182" s="1"/>
  <c r="Q68" i="8"/>
  <c r="R68" i="8"/>
  <c r="Q63" i="87"/>
  <c r="R63" i="87"/>
  <c r="Q62" i="87"/>
  <c r="R62" i="87" s="1"/>
  <c r="Q58" i="87"/>
  <c r="R58" i="87" s="1"/>
  <c r="Q64" i="87"/>
  <c r="R64" i="87" s="1"/>
  <c r="Q60" i="87"/>
  <c r="R60" i="87" s="1"/>
  <c r="Q72" i="87"/>
  <c r="R72" i="87"/>
  <c r="Q68" i="87"/>
  <c r="R68" i="87" s="1"/>
  <c r="Q56" i="87"/>
  <c r="R56" i="87" s="1"/>
  <c r="Q54" i="87"/>
  <c r="R54" i="87" s="1"/>
  <c r="Q52" i="87"/>
  <c r="R52" i="87" s="1"/>
  <c r="Q50" i="87"/>
  <c r="R50" i="87" s="1"/>
  <c r="Q69" i="8"/>
  <c r="P36" i="47" l="1"/>
  <c r="G22" i="129"/>
  <c r="H22" i="129"/>
  <c r="R14" i="139"/>
  <c r="AM76" i="182" s="1"/>
  <c r="S14" i="139"/>
  <c r="AQ76" i="182" s="1"/>
  <c r="U14" i="139"/>
  <c r="L28" i="139"/>
  <c r="R17" i="139" l="1"/>
  <c r="AN76" i="182"/>
  <c r="AM77" i="182"/>
  <c r="AN77" i="182" s="1"/>
  <c r="AV76" i="182"/>
  <c r="AW76" i="182" s="1"/>
  <c r="AX76" i="182" s="1"/>
  <c r="AY76" i="182" s="1"/>
  <c r="AZ76" i="182" s="1"/>
  <c r="AQ77" i="182"/>
  <c r="AT76" i="182"/>
  <c r="AS76" i="182"/>
  <c r="AR76" i="182"/>
  <c r="L30" i="139"/>
  <c r="Q30" i="139" s="1"/>
  <c r="R30" i="139" s="1"/>
  <c r="S17" i="139"/>
  <c r="S18" i="139" s="1"/>
  <c r="T18" i="139" s="1"/>
  <c r="AS77" i="182" l="1"/>
  <c r="AT77" i="182"/>
  <c r="AR77" i="182"/>
  <c r="T17" i="139"/>
  <c r="S54" i="66" s="1"/>
  <c r="M22" i="129" s="1"/>
  <c r="R54" i="66"/>
  <c r="L22" i="129" s="1"/>
  <c r="U17" i="139"/>
  <c r="V213" i="66"/>
  <c r="V271" i="66" s="1"/>
  <c r="N22" i="129" l="1"/>
  <c r="O22" i="129" s="1"/>
  <c r="T54" i="66"/>
  <c r="P96" i="11"/>
  <c r="Q88" i="11"/>
  <c r="P115" i="43"/>
  <c r="R88" i="11" l="1"/>
  <c r="P76" i="8" l="1"/>
  <c r="I18" i="38"/>
  <c r="S53" i="182" s="1"/>
  <c r="H18" i="38"/>
  <c r="P53" i="182" s="1"/>
  <c r="G18" i="38"/>
  <c r="M53" i="182" s="1"/>
  <c r="R18" i="38"/>
  <c r="AM53" i="182" s="1"/>
  <c r="R16" i="35"/>
  <c r="AM33" i="182" s="1"/>
  <c r="Q53" i="182" l="1"/>
  <c r="T53" i="182"/>
  <c r="W53" i="182"/>
  <c r="AN53" i="182"/>
  <c r="Q76" i="8"/>
  <c r="R76" i="8" s="1"/>
  <c r="P57" i="49"/>
  <c r="P56" i="49"/>
  <c r="P55" i="49"/>
  <c r="R55" i="49" s="1"/>
  <c r="P54" i="49"/>
  <c r="P53" i="49"/>
  <c r="P52" i="49"/>
  <c r="P51" i="49"/>
  <c r="S50" i="17" l="1"/>
  <c r="Q101" i="17" l="1"/>
  <c r="R101" i="17" s="1"/>
  <c r="Q44" i="22"/>
  <c r="R44" i="22" s="1"/>
  <c r="G73" i="33" l="1"/>
  <c r="H26" i="17" l="1"/>
  <c r="G26" i="17"/>
  <c r="P79" i="17"/>
  <c r="R30" i="15"/>
  <c r="S30" i="15"/>
  <c r="Q79" i="17" l="1"/>
  <c r="R79" i="17" s="1"/>
  <c r="G50" i="26" l="1"/>
  <c r="I74" i="66"/>
  <c r="S24" i="5" l="1"/>
  <c r="AQ220" i="182" s="1"/>
  <c r="S12" i="5"/>
  <c r="AV220" i="182" l="1"/>
  <c r="AQ222" i="182"/>
  <c r="AT220" i="182"/>
  <c r="AS220" i="182"/>
  <c r="AR220" i="182"/>
  <c r="B15" i="167"/>
  <c r="AS222" i="182" l="1"/>
  <c r="AR222" i="182"/>
  <c r="AT222" i="182"/>
  <c r="AW220" i="182"/>
  <c r="AV222" i="182"/>
  <c r="D15" i="167"/>
  <c r="I271" i="66"/>
  <c r="AX220" i="182" l="1"/>
  <c r="AW222" i="182"/>
  <c r="B130" i="141"/>
  <c r="B129" i="141"/>
  <c r="B128" i="141"/>
  <c r="O33" i="52"/>
  <c r="P30" i="86"/>
  <c r="P29" i="86"/>
  <c r="P28" i="86"/>
  <c r="P27" i="86"/>
  <c r="P26" i="86"/>
  <c r="P25" i="86"/>
  <c r="P35" i="47"/>
  <c r="P34" i="47"/>
  <c r="P33" i="47"/>
  <c r="P32" i="47"/>
  <c r="Q32" i="47" s="1"/>
  <c r="P31" i="47"/>
  <c r="P30" i="47"/>
  <c r="O38" i="47"/>
  <c r="P29" i="47"/>
  <c r="P67" i="44"/>
  <c r="P66" i="44"/>
  <c r="P65" i="44"/>
  <c r="P64" i="44"/>
  <c r="P63" i="44"/>
  <c r="P62" i="44"/>
  <c r="P61" i="44"/>
  <c r="P60" i="44"/>
  <c r="P59" i="44"/>
  <c r="P58" i="44"/>
  <c r="P29" i="29"/>
  <c r="P40" i="29" s="1"/>
  <c r="Q40" i="29" s="1"/>
  <c r="R40" i="29" s="1"/>
  <c r="T24" i="66"/>
  <c r="T10" i="66"/>
  <c r="H29" i="66"/>
  <c r="G29" i="66"/>
  <c r="F29" i="66"/>
  <c r="E29" i="66"/>
  <c r="D29" i="66"/>
  <c r="H28" i="66"/>
  <c r="G28" i="66"/>
  <c r="F28" i="66"/>
  <c r="E28" i="66"/>
  <c r="D28" i="66"/>
  <c r="C29" i="66"/>
  <c r="C28" i="66"/>
  <c r="I26" i="66"/>
  <c r="H26" i="66"/>
  <c r="F26" i="66"/>
  <c r="E26" i="66"/>
  <c r="D26" i="66"/>
  <c r="C26" i="66"/>
  <c r="I25" i="66"/>
  <c r="F25" i="66"/>
  <c r="E25" i="66"/>
  <c r="D25" i="66"/>
  <c r="C25" i="66"/>
  <c r="H20" i="66"/>
  <c r="G20" i="66"/>
  <c r="F20" i="66"/>
  <c r="E20" i="66"/>
  <c r="D20" i="66"/>
  <c r="C20" i="66"/>
  <c r="I19" i="66"/>
  <c r="H19" i="66"/>
  <c r="F19" i="66"/>
  <c r="E19" i="66"/>
  <c r="D19" i="66"/>
  <c r="C19" i="66"/>
  <c r="I17" i="66"/>
  <c r="H17" i="66"/>
  <c r="G17" i="66"/>
  <c r="F17" i="66"/>
  <c r="E17" i="66"/>
  <c r="D17" i="66"/>
  <c r="C17" i="66"/>
  <c r="H15" i="66"/>
  <c r="G15" i="66"/>
  <c r="F15" i="66"/>
  <c r="C15" i="66"/>
  <c r="I11" i="66"/>
  <c r="H11" i="66"/>
  <c r="G11" i="66"/>
  <c r="F11" i="66"/>
  <c r="E11" i="66"/>
  <c r="D11" i="66"/>
  <c r="C11" i="66"/>
  <c r="I9" i="66"/>
  <c r="H9" i="66"/>
  <c r="G9" i="66"/>
  <c r="F9" i="66"/>
  <c r="E9" i="66"/>
  <c r="D9" i="66"/>
  <c r="C9" i="66"/>
  <c r="G8" i="66"/>
  <c r="F8" i="66"/>
  <c r="E8" i="66"/>
  <c r="D8" i="66"/>
  <c r="C8" i="66"/>
  <c r="K93" i="26"/>
  <c r="K83" i="26"/>
  <c r="K27" i="26"/>
  <c r="K28" i="26" s="1"/>
  <c r="H28" i="26"/>
  <c r="C8" i="26"/>
  <c r="C9" i="26" s="1"/>
  <c r="B13" i="26"/>
  <c r="B16" i="26" s="1"/>
  <c r="C6" i="66" s="1"/>
  <c r="B27" i="26"/>
  <c r="B28" i="26" s="1"/>
  <c r="B31" i="26" s="1"/>
  <c r="C7" i="66" s="1"/>
  <c r="C27" i="26"/>
  <c r="C28" i="26" s="1"/>
  <c r="C31" i="26" s="1"/>
  <c r="D7" i="66" s="1"/>
  <c r="D27" i="26"/>
  <c r="D28" i="26" s="1"/>
  <c r="D31" i="26" s="1"/>
  <c r="E7" i="66" s="1"/>
  <c r="E27" i="26"/>
  <c r="E28" i="26" s="1"/>
  <c r="E31" i="26" s="1"/>
  <c r="F7" i="66" s="1"/>
  <c r="B50" i="26"/>
  <c r="B52" i="26" s="1"/>
  <c r="D50" i="26"/>
  <c r="D52" i="26" s="1"/>
  <c r="E50" i="26"/>
  <c r="E52" i="26" s="1"/>
  <c r="C52" i="26"/>
  <c r="B78" i="26"/>
  <c r="E78" i="26"/>
  <c r="B83" i="26"/>
  <c r="C83" i="26"/>
  <c r="D83" i="26"/>
  <c r="E83" i="26"/>
  <c r="B84" i="26"/>
  <c r="C84" i="26" s="1"/>
  <c r="D84" i="26" s="1"/>
  <c r="B93" i="26"/>
  <c r="C93" i="26"/>
  <c r="D93" i="26"/>
  <c r="E93" i="26"/>
  <c r="AY220" i="182" l="1"/>
  <c r="AX222" i="182"/>
  <c r="P32" i="86"/>
  <c r="Q32" i="86" s="1"/>
  <c r="R32" i="86" s="1"/>
  <c r="C13" i="26"/>
  <c r="C16" i="26" s="1"/>
  <c r="D6" i="66" s="1"/>
  <c r="D5" i="26"/>
  <c r="E84" i="26"/>
  <c r="N84" i="26"/>
  <c r="Q30" i="47"/>
  <c r="R30" i="47" s="1"/>
  <c r="K31" i="26"/>
  <c r="Q34" i="47"/>
  <c r="R34" i="47" s="1"/>
  <c r="P38" i="47"/>
  <c r="Q38" i="47" s="1"/>
  <c r="R38" i="47" s="1"/>
  <c r="D126" i="137"/>
  <c r="Q29" i="47"/>
  <c r="R29" i="47" s="1"/>
  <c r="Q33" i="47"/>
  <c r="R33" i="47" s="1"/>
  <c r="R32" i="47"/>
  <c r="Q31" i="47"/>
  <c r="R31" i="47" s="1"/>
  <c r="Q35" i="47"/>
  <c r="R35" i="47" s="1"/>
  <c r="Q96" i="11"/>
  <c r="R96" i="11" s="1"/>
  <c r="R61" i="44"/>
  <c r="Q115" i="43"/>
  <c r="R115" i="43" s="1"/>
  <c r="Q67" i="44"/>
  <c r="R67" i="44" s="1"/>
  <c r="B85" i="26"/>
  <c r="B100" i="26" s="1"/>
  <c r="D8" i="26"/>
  <c r="AZ220" i="182" l="1"/>
  <c r="AZ222" i="182" s="1"/>
  <c r="AY222" i="182"/>
  <c r="P84" i="26"/>
  <c r="J84" i="26"/>
  <c r="O84" i="26" s="1"/>
  <c r="L7" i="66"/>
  <c r="K32" i="26"/>
  <c r="K33" i="26" s="1"/>
  <c r="L32" i="26"/>
  <c r="L33" i="26" s="1"/>
  <c r="D9" i="26"/>
  <c r="E8" i="26" l="1"/>
  <c r="E5" i="26"/>
  <c r="D13" i="26"/>
  <c r="D16" i="26" s="1"/>
  <c r="E6" i="66" s="1"/>
  <c r="E9" i="26"/>
  <c r="E13" i="26" l="1"/>
  <c r="E16" i="26" s="1"/>
  <c r="F5" i="26"/>
  <c r="E85" i="26"/>
  <c r="E100" i="26" s="1"/>
  <c r="F6" i="66"/>
  <c r="F50" i="26"/>
  <c r="C30" i="66"/>
  <c r="T26" i="66"/>
  <c r="T25" i="66"/>
  <c r="T17" i="66"/>
  <c r="T11" i="66"/>
  <c r="T9" i="66"/>
  <c r="T7" i="66"/>
  <c r="U7" i="66" s="1"/>
  <c r="H54" i="66"/>
  <c r="H15" i="4" l="1"/>
  <c r="H18" i="4" s="1"/>
  <c r="U56" i="6"/>
  <c r="H59" i="6"/>
  <c r="H56" i="6"/>
  <c r="H29" i="6"/>
  <c r="I24" i="5"/>
  <c r="I12" i="5"/>
  <c r="H27" i="5"/>
  <c r="G130" i="129" s="1"/>
  <c r="H24" i="5"/>
  <c r="H12" i="5"/>
  <c r="H12" i="11"/>
  <c r="H16" i="11" s="1"/>
  <c r="P160" i="182" s="1"/>
  <c r="H64" i="12"/>
  <c r="P214" i="182" s="1"/>
  <c r="H16" i="12"/>
  <c r="P213" i="182" s="1"/>
  <c r="H16" i="24"/>
  <c r="P197" i="182" s="1"/>
  <c r="H47" i="24"/>
  <c r="P198" i="182" s="1"/>
  <c r="I20" i="93"/>
  <c r="H26" i="93"/>
  <c r="H20" i="93"/>
  <c r="H21" i="54"/>
  <c r="H18" i="53"/>
  <c r="H20" i="53" s="1"/>
  <c r="P186" i="182" s="1"/>
  <c r="H16" i="52"/>
  <c r="H61" i="51"/>
  <c r="H56" i="51"/>
  <c r="H31" i="51"/>
  <c r="H11" i="50"/>
  <c r="H14" i="50" s="1"/>
  <c r="H12" i="135"/>
  <c r="H15" i="135" s="1"/>
  <c r="H13" i="49"/>
  <c r="H27" i="49"/>
  <c r="H41" i="11"/>
  <c r="P161" i="182" s="1"/>
  <c r="H12" i="10"/>
  <c r="H15" i="10" s="1"/>
  <c r="H24" i="9"/>
  <c r="P152" i="182" s="1"/>
  <c r="H11" i="9"/>
  <c r="H39" i="8"/>
  <c r="P147" i="182" s="1"/>
  <c r="H17" i="7"/>
  <c r="H25" i="22"/>
  <c r="H13" i="22"/>
  <c r="H18" i="18"/>
  <c r="H12" i="18"/>
  <c r="I50" i="17"/>
  <c r="I16" i="17"/>
  <c r="P247" i="182" l="1"/>
  <c r="P187" i="182"/>
  <c r="P260" i="182"/>
  <c r="P200" i="182"/>
  <c r="T197" i="182"/>
  <c r="P261" i="182"/>
  <c r="T198" i="182"/>
  <c r="P148" i="182"/>
  <c r="P153" i="182"/>
  <c r="P216" i="182"/>
  <c r="P277" i="182"/>
  <c r="P278" i="182"/>
  <c r="T214" i="182"/>
  <c r="H22" i="7"/>
  <c r="G50" i="129" s="1"/>
  <c r="P141" i="182"/>
  <c r="P162" i="182"/>
  <c r="H78" i="66"/>
  <c r="G63" i="129"/>
  <c r="H86" i="66"/>
  <c r="H105" i="66"/>
  <c r="G86" i="129"/>
  <c r="H20" i="18"/>
  <c r="G69" i="129"/>
  <c r="H93" i="66"/>
  <c r="G70" i="129"/>
  <c r="H94" i="66"/>
  <c r="H23" i="54"/>
  <c r="G87" i="129" s="1"/>
  <c r="H106" i="66"/>
  <c r="H118" i="66"/>
  <c r="G121" i="129"/>
  <c r="G77" i="129"/>
  <c r="H102" i="66"/>
  <c r="H27" i="22"/>
  <c r="H61" i="6"/>
  <c r="H29" i="5"/>
  <c r="H116" i="66" s="1"/>
  <c r="H69" i="12"/>
  <c r="H54" i="24"/>
  <c r="H123" i="66" s="1"/>
  <c r="H30" i="93"/>
  <c r="H64" i="51"/>
  <c r="H29" i="49"/>
  <c r="H46" i="11"/>
  <c r="H26" i="9"/>
  <c r="H41" i="8"/>
  <c r="H19" i="23"/>
  <c r="H13" i="23"/>
  <c r="H16" i="17"/>
  <c r="H50" i="17"/>
  <c r="H22" i="56"/>
  <c r="H12" i="56"/>
  <c r="H54" i="15"/>
  <c r="H53" i="15"/>
  <c r="H52" i="15"/>
  <c r="H51" i="15"/>
  <c r="H50" i="15"/>
  <c r="H48" i="15"/>
  <c r="H47" i="15"/>
  <c r="H46" i="15"/>
  <c r="H45" i="15"/>
  <c r="H44" i="15"/>
  <c r="H43" i="15"/>
  <c r="H42" i="15"/>
  <c r="H41" i="15"/>
  <c r="H39" i="15"/>
  <c r="H38" i="15"/>
  <c r="H37" i="15"/>
  <c r="H36" i="15"/>
  <c r="H35" i="15"/>
  <c r="H34" i="15"/>
  <c r="H33" i="15"/>
  <c r="H32" i="15"/>
  <c r="H31" i="15"/>
  <c r="H29" i="15"/>
  <c r="H28" i="15"/>
  <c r="H27" i="15"/>
  <c r="H26" i="15"/>
  <c r="H25" i="15"/>
  <c r="H24" i="15"/>
  <c r="H23" i="15"/>
  <c r="H22" i="15"/>
  <c r="H21" i="15"/>
  <c r="H20" i="15"/>
  <c r="H19" i="15"/>
  <c r="H16" i="15"/>
  <c r="H15" i="15"/>
  <c r="H14" i="15"/>
  <c r="H13" i="15"/>
  <c r="H12" i="15"/>
  <c r="H11" i="15"/>
  <c r="H10" i="15"/>
  <c r="H9" i="15"/>
  <c r="H14" i="13"/>
  <c r="H131" i="66" s="1"/>
  <c r="H11" i="13"/>
  <c r="H17" i="86"/>
  <c r="H10" i="86"/>
  <c r="H10" i="48"/>
  <c r="H12" i="48" s="1"/>
  <c r="H19" i="47"/>
  <c r="H66" i="66" s="1"/>
  <c r="H16" i="47"/>
  <c r="H65" i="66" s="1"/>
  <c r="H14" i="46"/>
  <c r="H10" i="46"/>
  <c r="H10" i="45"/>
  <c r="H12" i="45" s="1"/>
  <c r="H20" i="44"/>
  <c r="G20" i="44"/>
  <c r="F20" i="44"/>
  <c r="H33" i="44"/>
  <c r="H24" i="60"/>
  <c r="H19" i="60"/>
  <c r="H57" i="43"/>
  <c r="H54" i="43"/>
  <c r="H28" i="43"/>
  <c r="H39" i="87"/>
  <c r="H15" i="41"/>
  <c r="H18" i="41" s="1"/>
  <c r="H30" i="40"/>
  <c r="H13" i="40"/>
  <c r="H39" i="38"/>
  <c r="P54" i="182" s="1"/>
  <c r="H22" i="77"/>
  <c r="P49" i="182" s="1"/>
  <c r="H28" i="149"/>
  <c r="P44" i="182" s="1"/>
  <c r="H11" i="149"/>
  <c r="P43" i="182" s="1"/>
  <c r="H13" i="36"/>
  <c r="H16" i="36" s="1"/>
  <c r="H16" i="35"/>
  <c r="P33" i="182" s="1"/>
  <c r="H32" i="35"/>
  <c r="P34" i="182" s="1"/>
  <c r="H37" i="34"/>
  <c r="H40" i="34"/>
  <c r="H45" i="66" s="1"/>
  <c r="H16" i="34"/>
  <c r="H27" i="33"/>
  <c r="P24" i="182" s="1"/>
  <c r="H12" i="33"/>
  <c r="H11" i="32"/>
  <c r="H14" i="32" s="1"/>
  <c r="H17" i="31"/>
  <c r="H34" i="30"/>
  <c r="H19" i="30"/>
  <c r="H10" i="29"/>
  <c r="P210" i="182" l="1"/>
  <c r="T200" i="182"/>
  <c r="P265" i="182"/>
  <c r="P268" i="182" s="1"/>
  <c r="H20" i="31"/>
  <c r="P15" i="182"/>
  <c r="P25" i="182"/>
  <c r="H41" i="87"/>
  <c r="P71" i="182"/>
  <c r="P282" i="182"/>
  <c r="P285" i="182" s="1"/>
  <c r="P232" i="182"/>
  <c r="P50" i="182"/>
  <c r="P45" i="182"/>
  <c r="P143" i="182"/>
  <c r="P55" i="182"/>
  <c r="P35" i="182"/>
  <c r="T33" i="182"/>
  <c r="H16" i="46"/>
  <c r="H26" i="56"/>
  <c r="G21" i="129"/>
  <c r="H53" i="66"/>
  <c r="G10" i="129"/>
  <c r="H41" i="66"/>
  <c r="G37" i="129"/>
  <c r="H63" i="66"/>
  <c r="H47" i="66"/>
  <c r="G15" i="129"/>
  <c r="H60" i="66"/>
  <c r="G27" i="129"/>
  <c r="G11" i="129"/>
  <c r="H42" i="66"/>
  <c r="H24" i="77"/>
  <c r="H49" i="66" s="1"/>
  <c r="G17" i="129"/>
  <c r="H59" i="43"/>
  <c r="H59" i="66" s="1"/>
  <c r="H64" i="66"/>
  <c r="G38" i="129"/>
  <c r="G40" i="129"/>
  <c r="H67" i="66"/>
  <c r="H99" i="66"/>
  <c r="G74" i="129"/>
  <c r="G129" i="129"/>
  <c r="G131" i="129" s="1"/>
  <c r="G62" i="129"/>
  <c r="G64" i="129" s="1"/>
  <c r="H85" i="66"/>
  <c r="H75" i="66"/>
  <c r="G47" i="129"/>
  <c r="H29" i="33"/>
  <c r="H43" i="66" s="1"/>
  <c r="G88" i="129"/>
  <c r="G20" i="129"/>
  <c r="H52" i="66"/>
  <c r="H21" i="47"/>
  <c r="G39" i="129" s="1"/>
  <c r="G68" i="129"/>
  <c r="H92" i="66"/>
  <c r="H108" i="66"/>
  <c r="H42" i="34"/>
  <c r="H117" i="66"/>
  <c r="G120" i="129"/>
  <c r="H91" i="66"/>
  <c r="G67" i="129"/>
  <c r="H76" i="66"/>
  <c r="G48" i="129"/>
  <c r="H114" i="66"/>
  <c r="G118" i="129"/>
  <c r="H84" i="66"/>
  <c r="G54" i="129"/>
  <c r="H19" i="13"/>
  <c r="H130" i="66"/>
  <c r="H132" i="66" s="1"/>
  <c r="I54" i="43"/>
  <c r="I20" i="44"/>
  <c r="H21" i="23"/>
  <c r="H55" i="17"/>
  <c r="H56" i="15"/>
  <c r="P121" i="182" s="1"/>
  <c r="H17" i="15"/>
  <c r="P120" i="182" s="1"/>
  <c r="P243" i="182" s="1"/>
  <c r="H19" i="86"/>
  <c r="H35" i="44"/>
  <c r="H26" i="60"/>
  <c r="H32" i="40"/>
  <c r="H41" i="38"/>
  <c r="H30" i="149"/>
  <c r="H34" i="35"/>
  <c r="H36" i="30"/>
  <c r="H21" i="29"/>
  <c r="H23" i="29" s="1"/>
  <c r="I16" i="2"/>
  <c r="P272" i="182" l="1"/>
  <c r="P270" i="182"/>
  <c r="P271" i="182"/>
  <c r="T210" i="182"/>
  <c r="P269" i="182"/>
  <c r="P273" i="182" s="1"/>
  <c r="P16" i="182"/>
  <c r="P72" i="182"/>
  <c r="P286" i="182"/>
  <c r="P289" i="182"/>
  <c r="P287" i="182"/>
  <c r="P288" i="182"/>
  <c r="P123" i="182"/>
  <c r="P244" i="182"/>
  <c r="P248" i="182" s="1"/>
  <c r="G26" i="129"/>
  <c r="G122" i="129"/>
  <c r="G133" i="129" s="1"/>
  <c r="H88" i="66"/>
  <c r="H120" i="66"/>
  <c r="H96" i="66"/>
  <c r="G12" i="129"/>
  <c r="G71" i="129"/>
  <c r="G14" i="129"/>
  <c r="H46" i="66"/>
  <c r="H39" i="66"/>
  <c r="G8" i="129"/>
  <c r="G41" i="129"/>
  <c r="H68" i="66"/>
  <c r="H50" i="66"/>
  <c r="G18" i="129"/>
  <c r="H61" i="66"/>
  <c r="G28" i="129"/>
  <c r="H62" i="66"/>
  <c r="G36" i="129"/>
  <c r="H48" i="66"/>
  <c r="G16" i="129"/>
  <c r="H40" i="66"/>
  <c r="G9" i="129"/>
  <c r="H51" i="66"/>
  <c r="G19" i="129"/>
  <c r="G13" i="129"/>
  <c r="H44" i="66"/>
  <c r="H61" i="15"/>
  <c r="P290" i="182" l="1"/>
  <c r="P254" i="182"/>
  <c r="P251" i="182"/>
  <c r="P252" i="182"/>
  <c r="P193" i="182"/>
  <c r="P234" i="182" s="1"/>
  <c r="P255" i="182"/>
  <c r="P253" i="182"/>
  <c r="G42" i="129"/>
  <c r="H56" i="66"/>
  <c r="H70" i="66"/>
  <c r="G23" i="129"/>
  <c r="H73" i="66"/>
  <c r="H80" i="66" s="1"/>
  <c r="G45" i="129"/>
  <c r="G51" i="129" s="1"/>
  <c r="P256" i="182" l="1"/>
  <c r="H110" i="66"/>
  <c r="A118" i="129"/>
  <c r="A120" i="129"/>
  <c r="A121" i="129"/>
  <c r="H136" i="66" l="1"/>
  <c r="G26" i="43"/>
  <c r="Z222" i="66" l="1"/>
  <c r="I20" i="66" l="1"/>
  <c r="U215" i="66" l="1"/>
  <c r="U214" i="66"/>
  <c r="I22" i="144" l="1"/>
  <c r="H11" i="144"/>
  <c r="H13" i="144"/>
  <c r="H22" i="144" l="1"/>
  <c r="R58" i="15"/>
  <c r="I58" i="15"/>
  <c r="S122" i="182" s="1"/>
  <c r="R53" i="17"/>
  <c r="S53" i="17"/>
  <c r="S58" i="15" s="1"/>
  <c r="I53" i="17"/>
  <c r="T122" i="182" l="1"/>
  <c r="W122" i="182"/>
  <c r="T58" i="15"/>
  <c r="T59" i="15" s="1"/>
  <c r="S74" i="66" s="1"/>
  <c r="AQ122" i="182"/>
  <c r="R59" i="15"/>
  <c r="AM122" i="182"/>
  <c r="AN122" i="182" s="1"/>
  <c r="U53" i="17"/>
  <c r="M46" i="129" s="1"/>
  <c r="N46" i="129" s="1"/>
  <c r="O46" i="129" s="1"/>
  <c r="L46" i="129"/>
  <c r="I59" i="15"/>
  <c r="S59" i="15"/>
  <c r="R74" i="66" s="1"/>
  <c r="C73" i="143"/>
  <c r="U58" i="15"/>
  <c r="AR122" i="182" l="1"/>
  <c r="AS122" i="182"/>
  <c r="AT122" i="182"/>
  <c r="U59" i="15"/>
  <c r="T74" i="66" s="1"/>
  <c r="U56" i="43"/>
  <c r="U57" i="43" l="1"/>
  <c r="T60" i="66" s="1"/>
  <c r="G66" i="66" l="1"/>
  <c r="F66" i="66"/>
  <c r="E66" i="66"/>
  <c r="D66" i="66"/>
  <c r="C66" i="66"/>
  <c r="G54" i="66"/>
  <c r="F54" i="66"/>
  <c r="E54" i="66"/>
  <c r="D54" i="66"/>
  <c r="C54" i="66"/>
  <c r="I54" i="66"/>
  <c r="E11" i="50" l="1"/>
  <c r="E14" i="50" s="1"/>
  <c r="E70" i="129" l="1"/>
  <c r="E94" i="66"/>
  <c r="U11" i="50"/>
  <c r="E39" i="38" l="1"/>
  <c r="G54" i="182" s="1"/>
  <c r="E18" i="38"/>
  <c r="G53" i="182" s="1"/>
  <c r="E22" i="77"/>
  <c r="E24" i="77" l="1"/>
  <c r="G49" i="182"/>
  <c r="G55" i="182"/>
  <c r="E49" i="66"/>
  <c r="E17" i="129"/>
  <c r="E41" i="38"/>
  <c r="S15" i="44"/>
  <c r="G50" i="182" l="1"/>
  <c r="E50" i="66"/>
  <c r="E18" i="129"/>
  <c r="Q63" i="44" l="1"/>
  <c r="R63" i="44" s="1"/>
  <c r="G13" i="36"/>
  <c r="G16" i="36" s="1"/>
  <c r="G47" i="66" s="1"/>
  <c r="U150" i="66" l="1"/>
  <c r="S57" i="43"/>
  <c r="S54" i="43"/>
  <c r="AQ81" i="182" s="1"/>
  <c r="T57" i="43" l="1"/>
  <c r="S60" i="66" s="1"/>
  <c r="M27" i="129" s="1"/>
  <c r="N27" i="129" s="1"/>
  <c r="O27" i="129" s="1"/>
  <c r="AQ82" i="182"/>
  <c r="AR81" i="182"/>
  <c r="AT81" i="182"/>
  <c r="AV81" i="182" s="1"/>
  <c r="AW81" i="182" s="1"/>
  <c r="AX81" i="182" s="1"/>
  <c r="AY81" i="182" s="1"/>
  <c r="AZ81" i="182" s="1"/>
  <c r="AS81" i="182"/>
  <c r="U54" i="43"/>
  <c r="T54" i="43"/>
  <c r="R60" i="66"/>
  <c r="L27" i="129" s="1"/>
  <c r="U151" i="66"/>
  <c r="U152" i="66"/>
  <c r="AT82" i="182" l="1"/>
  <c r="AV82" i="182" s="1"/>
  <c r="AS82" i="182"/>
  <c r="AR82" i="182"/>
  <c r="P43" i="9"/>
  <c r="AV245" i="182" l="1"/>
  <c r="AW82" i="182"/>
  <c r="Q43" i="9"/>
  <c r="R43" i="9" s="1"/>
  <c r="AX82" i="182" l="1"/>
  <c r="AW245" i="182"/>
  <c r="C72" i="143"/>
  <c r="AY82" i="182" l="1"/>
  <c r="AX245" i="182"/>
  <c r="AI41" i="159"/>
  <c r="AH41" i="159"/>
  <c r="AG41" i="159"/>
  <c r="AF41" i="159"/>
  <c r="AE41" i="159"/>
  <c r="AD41" i="159"/>
  <c r="AC41" i="159"/>
  <c r="AB41" i="159"/>
  <c r="AA41" i="159"/>
  <c r="Z41" i="159"/>
  <c r="Y41" i="159"/>
  <c r="X41" i="159"/>
  <c r="W41" i="159"/>
  <c r="V41" i="159"/>
  <c r="U41" i="159"/>
  <c r="T41" i="159"/>
  <c r="S41" i="159"/>
  <c r="R41" i="159"/>
  <c r="Q41" i="159"/>
  <c r="P41" i="159"/>
  <c r="O41" i="159"/>
  <c r="N41" i="159"/>
  <c r="M41" i="159"/>
  <c r="L41" i="159"/>
  <c r="K41" i="159"/>
  <c r="J41" i="159"/>
  <c r="I41" i="159"/>
  <c r="H41" i="159"/>
  <c r="G41" i="159"/>
  <c r="F41" i="159"/>
  <c r="E41" i="159"/>
  <c r="AI40" i="159"/>
  <c r="AH40" i="159"/>
  <c r="AG40" i="159"/>
  <c r="AF40" i="159"/>
  <c r="AE40" i="159"/>
  <c r="AD40" i="159"/>
  <c r="AC40" i="159"/>
  <c r="AB40" i="159"/>
  <c r="AA40" i="159"/>
  <c r="Z40" i="159"/>
  <c r="Y40" i="159"/>
  <c r="X40" i="159"/>
  <c r="W40" i="159"/>
  <c r="V40" i="159"/>
  <c r="U40" i="159"/>
  <c r="T40" i="159"/>
  <c r="S40" i="159"/>
  <c r="R40" i="159"/>
  <c r="Q40" i="159"/>
  <c r="P40" i="159"/>
  <c r="O40" i="159"/>
  <c r="N40" i="159"/>
  <c r="M40" i="159"/>
  <c r="L40" i="159"/>
  <c r="K40" i="159"/>
  <c r="J40" i="159"/>
  <c r="I40" i="159"/>
  <c r="H40" i="159"/>
  <c r="G40" i="159"/>
  <c r="F40" i="159"/>
  <c r="E40" i="159"/>
  <c r="AI39" i="159"/>
  <c r="AH39" i="159"/>
  <c r="AG39" i="159"/>
  <c r="AF39" i="159"/>
  <c r="AE39" i="159"/>
  <c r="AD39" i="159"/>
  <c r="AC39" i="159"/>
  <c r="AB39" i="159"/>
  <c r="AA39" i="159"/>
  <c r="Z39" i="159"/>
  <c r="Y39" i="159"/>
  <c r="X39" i="159"/>
  <c r="W39" i="159"/>
  <c r="V39" i="159"/>
  <c r="U39" i="159"/>
  <c r="T39" i="159"/>
  <c r="S39" i="159"/>
  <c r="R39" i="159"/>
  <c r="Q39" i="159"/>
  <c r="P39" i="159"/>
  <c r="O39" i="159"/>
  <c r="N39" i="159"/>
  <c r="M39" i="159"/>
  <c r="L39" i="159"/>
  <c r="K39" i="159"/>
  <c r="J39" i="159"/>
  <c r="I39" i="159"/>
  <c r="H39" i="159"/>
  <c r="G39" i="159"/>
  <c r="F39" i="159"/>
  <c r="E39" i="159"/>
  <c r="AI38" i="159"/>
  <c r="AH38" i="159"/>
  <c r="AG38" i="159"/>
  <c r="AF38" i="159"/>
  <c r="AE38" i="159"/>
  <c r="AD38" i="159"/>
  <c r="AC38" i="159"/>
  <c r="AB38" i="159"/>
  <c r="AA38" i="159"/>
  <c r="Z38" i="159"/>
  <c r="Y38" i="159"/>
  <c r="X38" i="159"/>
  <c r="W38" i="159"/>
  <c r="V38" i="159"/>
  <c r="U38" i="159"/>
  <c r="T38" i="159"/>
  <c r="S38" i="159"/>
  <c r="R38" i="159"/>
  <c r="Q38" i="159"/>
  <c r="P38" i="159"/>
  <c r="O38" i="159"/>
  <c r="N38" i="159"/>
  <c r="M38" i="159"/>
  <c r="L38" i="159"/>
  <c r="K38" i="159"/>
  <c r="J38" i="159"/>
  <c r="I38" i="159"/>
  <c r="H38" i="159"/>
  <c r="G38" i="159"/>
  <c r="F38" i="159"/>
  <c r="E38" i="159"/>
  <c r="D41" i="159"/>
  <c r="D40" i="159"/>
  <c r="D39" i="159"/>
  <c r="D38" i="159"/>
  <c r="AY245" i="182" l="1"/>
  <c r="AZ82" i="182"/>
  <c r="AZ245" i="182" s="1"/>
  <c r="D124" i="159"/>
  <c r="AI37" i="159"/>
  <c r="AH37" i="159"/>
  <c r="AG37" i="159"/>
  <c r="AF37" i="159"/>
  <c r="AE37" i="159"/>
  <c r="AD37" i="159"/>
  <c r="AC37" i="159"/>
  <c r="AB37" i="159"/>
  <c r="AA37" i="159"/>
  <c r="Z37" i="159"/>
  <c r="Y37" i="159"/>
  <c r="X37" i="159"/>
  <c r="W37" i="159"/>
  <c r="V37" i="159"/>
  <c r="U37" i="159"/>
  <c r="T37" i="159"/>
  <c r="S37" i="159"/>
  <c r="R37" i="159"/>
  <c r="Q37" i="159"/>
  <c r="P37" i="159"/>
  <c r="O37" i="159"/>
  <c r="N37" i="159"/>
  <c r="M37" i="159"/>
  <c r="L37" i="159"/>
  <c r="K37" i="159"/>
  <c r="J37" i="159"/>
  <c r="I37" i="159"/>
  <c r="H37" i="159"/>
  <c r="G37" i="159"/>
  <c r="F37" i="159"/>
  <c r="E37" i="159"/>
  <c r="AI36" i="159"/>
  <c r="AH36" i="159"/>
  <c r="AG36" i="159"/>
  <c r="AF36" i="159"/>
  <c r="AE36" i="159"/>
  <c r="AD36" i="159"/>
  <c r="AC36" i="159"/>
  <c r="AB36" i="159"/>
  <c r="AA36" i="159"/>
  <c r="Z36" i="159"/>
  <c r="Y36" i="159"/>
  <c r="X36" i="159"/>
  <c r="W36" i="159"/>
  <c r="V36" i="159"/>
  <c r="U36" i="159"/>
  <c r="T36" i="159"/>
  <c r="S36" i="159"/>
  <c r="R36" i="159"/>
  <c r="Q36" i="159"/>
  <c r="P36" i="159"/>
  <c r="O36" i="159"/>
  <c r="N36" i="159"/>
  <c r="M36" i="159"/>
  <c r="L36" i="159"/>
  <c r="K36" i="159"/>
  <c r="J36" i="159"/>
  <c r="I36" i="159"/>
  <c r="H36" i="159"/>
  <c r="G36" i="159"/>
  <c r="F36" i="159"/>
  <c r="E36" i="159"/>
  <c r="D36" i="159"/>
  <c r="D37" i="159"/>
  <c r="AI30" i="159" l="1"/>
  <c r="AH30" i="159"/>
  <c r="AG30" i="159"/>
  <c r="AF30" i="159"/>
  <c r="AE30" i="159"/>
  <c r="AD30" i="159"/>
  <c r="AC30" i="159"/>
  <c r="AB30" i="159"/>
  <c r="AA30" i="159"/>
  <c r="Z30" i="159"/>
  <c r="Y30" i="159"/>
  <c r="X30" i="159"/>
  <c r="W30" i="159"/>
  <c r="V30" i="159"/>
  <c r="U30" i="159"/>
  <c r="T30" i="159"/>
  <c r="S30" i="159"/>
  <c r="R30" i="159"/>
  <c r="Q30" i="159"/>
  <c r="P30" i="159"/>
  <c r="O30" i="159"/>
  <c r="N30" i="159"/>
  <c r="M30" i="159"/>
  <c r="L30" i="159"/>
  <c r="K30" i="159"/>
  <c r="J30" i="159"/>
  <c r="I30" i="159"/>
  <c r="H30" i="159"/>
  <c r="G30" i="159"/>
  <c r="F30" i="159"/>
  <c r="E30" i="159"/>
  <c r="AI29" i="159"/>
  <c r="AH29" i="159"/>
  <c r="AG29" i="159"/>
  <c r="AF29" i="159"/>
  <c r="AE29" i="159"/>
  <c r="AD29" i="159"/>
  <c r="AC29" i="159"/>
  <c r="AB29" i="159"/>
  <c r="AA29" i="159"/>
  <c r="Z29" i="159"/>
  <c r="Y29" i="159"/>
  <c r="X29" i="159"/>
  <c r="W29" i="159"/>
  <c r="V29" i="159"/>
  <c r="U29" i="159"/>
  <c r="T29" i="159"/>
  <c r="S29" i="159"/>
  <c r="R29" i="159"/>
  <c r="Q29" i="159"/>
  <c r="P29" i="159"/>
  <c r="O29" i="159"/>
  <c r="N29" i="159"/>
  <c r="M29" i="159"/>
  <c r="L29" i="159"/>
  <c r="K29" i="159"/>
  <c r="J29" i="159"/>
  <c r="I29" i="159"/>
  <c r="H29" i="159"/>
  <c r="G29" i="159"/>
  <c r="F29" i="159"/>
  <c r="E29" i="159"/>
  <c r="AI28" i="159"/>
  <c r="AH28" i="159"/>
  <c r="AG28" i="159"/>
  <c r="AF28" i="159"/>
  <c r="AE28" i="159"/>
  <c r="AD28" i="159"/>
  <c r="AC28" i="159"/>
  <c r="AB28" i="159"/>
  <c r="AA28" i="159"/>
  <c r="Z28" i="159"/>
  <c r="Y28" i="159"/>
  <c r="X28" i="159"/>
  <c r="W28" i="159"/>
  <c r="V28" i="159"/>
  <c r="U28" i="159"/>
  <c r="T28" i="159"/>
  <c r="S28" i="159"/>
  <c r="R28" i="159"/>
  <c r="Q28" i="159"/>
  <c r="P28" i="159"/>
  <c r="O28" i="159"/>
  <c r="N28" i="159"/>
  <c r="M28" i="159"/>
  <c r="L28" i="159"/>
  <c r="K28" i="159"/>
  <c r="J28" i="159"/>
  <c r="I28" i="159"/>
  <c r="AI22" i="159"/>
  <c r="AH22" i="159"/>
  <c r="AG22" i="159"/>
  <c r="AF22" i="159"/>
  <c r="AE22" i="159"/>
  <c r="AD22" i="159"/>
  <c r="AC22" i="159"/>
  <c r="AB22" i="159"/>
  <c r="AA22" i="159"/>
  <c r="Z22" i="159"/>
  <c r="Y22" i="159"/>
  <c r="X22" i="159"/>
  <c r="W22" i="159"/>
  <c r="V22" i="159"/>
  <c r="U22" i="159"/>
  <c r="T22" i="159"/>
  <c r="S22" i="159"/>
  <c r="R22" i="159"/>
  <c r="Q22" i="159"/>
  <c r="P22" i="159"/>
  <c r="O22" i="159"/>
  <c r="N22" i="159"/>
  <c r="M22" i="159"/>
  <c r="L22" i="159"/>
  <c r="K22" i="159"/>
  <c r="J22" i="159"/>
  <c r="I22" i="159"/>
  <c r="H22" i="159"/>
  <c r="G22" i="159"/>
  <c r="F22" i="159"/>
  <c r="E22" i="159"/>
  <c r="AI21" i="159"/>
  <c r="AH21" i="159"/>
  <c r="AG21" i="159"/>
  <c r="AF21" i="159"/>
  <c r="AE21" i="159"/>
  <c r="AD21" i="159"/>
  <c r="AC21" i="159"/>
  <c r="AB21" i="159"/>
  <c r="AA21" i="159"/>
  <c r="Z21" i="159"/>
  <c r="Y21" i="159"/>
  <c r="X21" i="159"/>
  <c r="W21" i="159"/>
  <c r="V21" i="159"/>
  <c r="U21" i="159"/>
  <c r="T21" i="159"/>
  <c r="S21" i="159"/>
  <c r="R21" i="159"/>
  <c r="Q21" i="159"/>
  <c r="P21" i="159"/>
  <c r="O21" i="159"/>
  <c r="N21" i="159"/>
  <c r="M21" i="159"/>
  <c r="L21" i="159"/>
  <c r="D22" i="159"/>
  <c r="K86" i="159"/>
  <c r="J86" i="159"/>
  <c r="I86" i="159"/>
  <c r="H86" i="159"/>
  <c r="G86" i="159"/>
  <c r="F86" i="159"/>
  <c r="E86" i="159"/>
  <c r="D86" i="159"/>
  <c r="K65" i="159"/>
  <c r="K21" i="159" s="1"/>
  <c r="J65" i="159"/>
  <c r="J21" i="159" s="1"/>
  <c r="I65" i="159"/>
  <c r="I21" i="159" s="1"/>
  <c r="H65" i="159"/>
  <c r="H21" i="159" s="1"/>
  <c r="G65" i="159"/>
  <c r="G21" i="159" s="1"/>
  <c r="F65" i="159"/>
  <c r="F21" i="159" s="1"/>
  <c r="E65" i="159"/>
  <c r="E21" i="159" s="1"/>
  <c r="D65" i="159"/>
  <c r="D21" i="159" s="1"/>
  <c r="AI19" i="159"/>
  <c r="AH19" i="159"/>
  <c r="AG19" i="159"/>
  <c r="AF19" i="159"/>
  <c r="AE19" i="159"/>
  <c r="AD19" i="159"/>
  <c r="AC19" i="159"/>
  <c r="AB19" i="159"/>
  <c r="AA19" i="159"/>
  <c r="Z19" i="159"/>
  <c r="Y19" i="159"/>
  <c r="X19" i="159"/>
  <c r="W19" i="159"/>
  <c r="V19" i="159"/>
  <c r="U19" i="159"/>
  <c r="T19" i="159"/>
  <c r="S19" i="159"/>
  <c r="R19" i="159"/>
  <c r="Q19" i="159"/>
  <c r="P19" i="159"/>
  <c r="O19" i="159"/>
  <c r="N19" i="159"/>
  <c r="M19" i="159"/>
  <c r="L19" i="159"/>
  <c r="K19" i="159"/>
  <c r="J19" i="159"/>
  <c r="I19" i="159"/>
  <c r="H19" i="159"/>
  <c r="G19" i="159"/>
  <c r="F19" i="159"/>
  <c r="E19" i="159"/>
  <c r="AI18" i="159"/>
  <c r="AH18" i="159"/>
  <c r="AG18" i="159"/>
  <c r="AF18" i="159"/>
  <c r="AE18" i="159"/>
  <c r="AD18" i="159"/>
  <c r="AC18" i="159"/>
  <c r="AB18" i="159"/>
  <c r="AA18" i="159"/>
  <c r="Z18" i="159"/>
  <c r="Y18" i="159"/>
  <c r="X18" i="159"/>
  <c r="W18" i="159"/>
  <c r="V18" i="159"/>
  <c r="U18" i="159"/>
  <c r="T18" i="159"/>
  <c r="S18" i="159"/>
  <c r="R18" i="159"/>
  <c r="Q18" i="159"/>
  <c r="P18" i="159"/>
  <c r="O18" i="159"/>
  <c r="N18" i="159"/>
  <c r="M18" i="159"/>
  <c r="L18" i="159"/>
  <c r="K18" i="159"/>
  <c r="J18" i="159"/>
  <c r="I18" i="159"/>
  <c r="H18" i="159"/>
  <c r="G18" i="159"/>
  <c r="F18" i="159"/>
  <c r="E18" i="159"/>
  <c r="AI17" i="159"/>
  <c r="AH17" i="159"/>
  <c r="AG17" i="159"/>
  <c r="AF17" i="159"/>
  <c r="AE17" i="159"/>
  <c r="AD17" i="159"/>
  <c r="AC17" i="159"/>
  <c r="AB17" i="159"/>
  <c r="AA17" i="159"/>
  <c r="Z17" i="159"/>
  <c r="Y17" i="159"/>
  <c r="X17" i="159"/>
  <c r="W17" i="159"/>
  <c r="V17" i="159"/>
  <c r="U17" i="159"/>
  <c r="T17" i="159"/>
  <c r="S17" i="159"/>
  <c r="R17" i="159"/>
  <c r="Q17" i="159"/>
  <c r="P17" i="159"/>
  <c r="O17" i="159"/>
  <c r="N17" i="159"/>
  <c r="M17" i="159"/>
  <c r="L17" i="159"/>
  <c r="K17" i="159"/>
  <c r="J17" i="159"/>
  <c r="I17" i="159"/>
  <c r="H17" i="159"/>
  <c r="G17" i="159"/>
  <c r="F17" i="159"/>
  <c r="E17" i="159"/>
  <c r="AI16" i="159"/>
  <c r="AH16" i="159"/>
  <c r="AG16" i="159"/>
  <c r="AF16" i="159"/>
  <c r="AE16" i="159"/>
  <c r="AD16" i="159"/>
  <c r="AC16" i="159"/>
  <c r="AB16" i="159"/>
  <c r="AA16" i="159"/>
  <c r="Z16" i="159"/>
  <c r="Y16" i="159"/>
  <c r="X16" i="159"/>
  <c r="W16" i="159"/>
  <c r="V16" i="159"/>
  <c r="U16" i="159"/>
  <c r="T16" i="159"/>
  <c r="S16" i="159"/>
  <c r="R16" i="159"/>
  <c r="Q16" i="159"/>
  <c r="P16" i="159"/>
  <c r="O16" i="159"/>
  <c r="N16" i="159"/>
  <c r="M16" i="159"/>
  <c r="L16" i="159"/>
  <c r="K16" i="159"/>
  <c r="J16" i="159"/>
  <c r="I16" i="159"/>
  <c r="H16" i="159"/>
  <c r="G16" i="159"/>
  <c r="F16" i="159"/>
  <c r="E16" i="159"/>
  <c r="AI15" i="159"/>
  <c r="AH15" i="159"/>
  <c r="AG15" i="159"/>
  <c r="AF15" i="159"/>
  <c r="AE15" i="159"/>
  <c r="AD15" i="159"/>
  <c r="AC15" i="159"/>
  <c r="AB15" i="159"/>
  <c r="AA15" i="159"/>
  <c r="Z15" i="159"/>
  <c r="Y15" i="159"/>
  <c r="X15" i="159"/>
  <c r="W15" i="159"/>
  <c r="V15" i="159"/>
  <c r="U15" i="159"/>
  <c r="T15" i="159"/>
  <c r="S15" i="159"/>
  <c r="R15" i="159"/>
  <c r="Q15" i="159"/>
  <c r="P15" i="159"/>
  <c r="O15" i="159"/>
  <c r="N15" i="159"/>
  <c r="M15" i="159"/>
  <c r="L15" i="159"/>
  <c r="K15" i="159"/>
  <c r="J15" i="159"/>
  <c r="I15" i="159"/>
  <c r="H15" i="159"/>
  <c r="G15" i="159"/>
  <c r="F15" i="159"/>
  <c r="E15" i="159"/>
  <c r="AI14" i="159"/>
  <c r="AH14" i="159"/>
  <c r="AG14" i="159"/>
  <c r="AF14" i="159"/>
  <c r="AE14" i="159"/>
  <c r="AD14" i="159"/>
  <c r="AC14" i="159"/>
  <c r="AB14" i="159"/>
  <c r="AA14" i="159"/>
  <c r="Z14" i="159"/>
  <c r="Y14" i="159"/>
  <c r="X14" i="159"/>
  <c r="W14" i="159"/>
  <c r="V14" i="159"/>
  <c r="U14" i="159"/>
  <c r="T14" i="159"/>
  <c r="S14" i="159"/>
  <c r="R14" i="159"/>
  <c r="Q14" i="159"/>
  <c r="P14" i="159"/>
  <c r="O14" i="159"/>
  <c r="N14" i="159"/>
  <c r="M14" i="159"/>
  <c r="L14" i="159"/>
  <c r="K14" i="159"/>
  <c r="J14" i="159"/>
  <c r="I14" i="159"/>
  <c r="H14" i="159"/>
  <c r="G14" i="159"/>
  <c r="F14" i="159"/>
  <c r="E14" i="159"/>
  <c r="AI13" i="159"/>
  <c r="AH13" i="159"/>
  <c r="AG13" i="159"/>
  <c r="AF13" i="159"/>
  <c r="AE13" i="159"/>
  <c r="AD13" i="159"/>
  <c r="AC13" i="159"/>
  <c r="AB13" i="159"/>
  <c r="AA13" i="159"/>
  <c r="Z13" i="159"/>
  <c r="Y13" i="159"/>
  <c r="X13" i="159"/>
  <c r="W13" i="159"/>
  <c r="V13" i="159"/>
  <c r="U13" i="159"/>
  <c r="T13" i="159"/>
  <c r="S13" i="159"/>
  <c r="R13" i="159"/>
  <c r="Q13" i="159"/>
  <c r="P13" i="159"/>
  <c r="O13" i="159"/>
  <c r="N13" i="159"/>
  <c r="M13" i="159"/>
  <c r="D18" i="159"/>
  <c r="D17" i="159"/>
  <c r="D16" i="159"/>
  <c r="D15" i="159"/>
  <c r="D14" i="159"/>
  <c r="D19" i="159"/>
  <c r="D29" i="159" l="1"/>
  <c r="AI8" i="159"/>
  <c r="AH8" i="159"/>
  <c r="AG8" i="159"/>
  <c r="AF8" i="159"/>
  <c r="AE8" i="159"/>
  <c r="AD8" i="159"/>
  <c r="AC8" i="159"/>
  <c r="AB8" i="159"/>
  <c r="AA8" i="159"/>
  <c r="Z8" i="159"/>
  <c r="Y8" i="159"/>
  <c r="X8" i="159"/>
  <c r="W8" i="159"/>
  <c r="V8" i="159"/>
  <c r="U8" i="159"/>
  <c r="T8" i="159"/>
  <c r="S8" i="159"/>
  <c r="R8" i="159"/>
  <c r="Q8" i="159"/>
  <c r="P8" i="159"/>
  <c r="O8" i="159"/>
  <c r="N8" i="159"/>
  <c r="M8" i="159"/>
  <c r="AI7" i="159"/>
  <c r="AH7" i="159"/>
  <c r="AG7" i="159"/>
  <c r="AF7" i="159"/>
  <c r="AE7" i="159"/>
  <c r="AD7" i="159"/>
  <c r="AC7" i="159"/>
  <c r="AB7" i="159"/>
  <c r="AA7" i="159"/>
  <c r="Z7" i="159"/>
  <c r="Y7" i="159"/>
  <c r="X7" i="159"/>
  <c r="W7" i="159"/>
  <c r="V7" i="159"/>
  <c r="U7" i="159"/>
  <c r="T7" i="159"/>
  <c r="S7" i="159"/>
  <c r="R7" i="159"/>
  <c r="Q7" i="159"/>
  <c r="P7" i="159"/>
  <c r="O7" i="159"/>
  <c r="N7" i="159"/>
  <c r="M7" i="159"/>
  <c r="AI6" i="159"/>
  <c r="AH6" i="159"/>
  <c r="AG6" i="159"/>
  <c r="AF6" i="159"/>
  <c r="AE6" i="159"/>
  <c r="AD6" i="159"/>
  <c r="AC6" i="159"/>
  <c r="AB6" i="159"/>
  <c r="AA6" i="159"/>
  <c r="Z6" i="159"/>
  <c r="Y6" i="159"/>
  <c r="X6" i="159"/>
  <c r="W6" i="159"/>
  <c r="V6" i="159"/>
  <c r="U6" i="159"/>
  <c r="T6" i="159"/>
  <c r="S6" i="159"/>
  <c r="R6" i="159"/>
  <c r="Q6" i="159"/>
  <c r="P6" i="159"/>
  <c r="O6" i="159"/>
  <c r="N6" i="159"/>
  <c r="M6" i="159"/>
  <c r="L6" i="159"/>
  <c r="K6" i="159"/>
  <c r="J6" i="159"/>
  <c r="I6" i="159"/>
  <c r="H6" i="159"/>
  <c r="G6" i="159"/>
  <c r="F6" i="159"/>
  <c r="E6" i="159"/>
  <c r="D20" i="159"/>
  <c r="AI162" i="159" l="1"/>
  <c r="AH162" i="159"/>
  <c r="AG162" i="159"/>
  <c r="AF162" i="159"/>
  <c r="AE162" i="159"/>
  <c r="AD162" i="159"/>
  <c r="AC162" i="159"/>
  <c r="AB162" i="159"/>
  <c r="AA162" i="159"/>
  <c r="Z162" i="159"/>
  <c r="Y162" i="159"/>
  <c r="X162" i="159"/>
  <c r="W162" i="159"/>
  <c r="V162" i="159"/>
  <c r="U162" i="159"/>
  <c r="T162" i="159"/>
  <c r="S162" i="159"/>
  <c r="R162" i="159"/>
  <c r="Q162" i="159"/>
  <c r="P162" i="159"/>
  <c r="O162" i="159"/>
  <c r="N162" i="159"/>
  <c r="M162" i="159"/>
  <c r="L162" i="159"/>
  <c r="K162" i="159"/>
  <c r="J162" i="159"/>
  <c r="I162" i="159"/>
  <c r="H162" i="159"/>
  <c r="G162" i="159"/>
  <c r="F162" i="159"/>
  <c r="E162" i="159"/>
  <c r="D162" i="159"/>
  <c r="C162" i="159"/>
  <c r="C178" i="159" s="1"/>
  <c r="C119" i="159" s="1"/>
  <c r="AI161" i="159"/>
  <c r="AI177" i="159" s="1"/>
  <c r="AI118" i="159" s="1"/>
  <c r="AH161" i="159"/>
  <c r="AG161" i="159"/>
  <c r="AG177" i="159" s="1"/>
  <c r="AG118" i="159" s="1"/>
  <c r="AF161" i="159"/>
  <c r="AE161" i="159"/>
  <c r="AE177" i="159" s="1"/>
  <c r="AE118" i="159" s="1"/>
  <c r="AD161" i="159"/>
  <c r="AC161" i="159"/>
  <c r="AC177" i="159" s="1"/>
  <c r="AC118" i="159" s="1"/>
  <c r="AB161" i="159"/>
  <c r="AA161" i="159"/>
  <c r="AA177" i="159" s="1"/>
  <c r="AA118" i="159" s="1"/>
  <c r="Z161" i="159"/>
  <c r="Y161" i="159"/>
  <c r="Y177" i="159" s="1"/>
  <c r="Y118" i="159" s="1"/>
  <c r="X161" i="159"/>
  <c r="W161" i="159"/>
  <c r="W177" i="159" s="1"/>
  <c r="W118" i="159" s="1"/>
  <c r="V161" i="159"/>
  <c r="U161" i="159"/>
  <c r="U177" i="159" s="1"/>
  <c r="U118" i="159" s="1"/>
  <c r="T161" i="159"/>
  <c r="S161" i="159"/>
  <c r="S177" i="159" s="1"/>
  <c r="S118" i="159" s="1"/>
  <c r="R161" i="159"/>
  <c r="Q161" i="159"/>
  <c r="Q177" i="159" s="1"/>
  <c r="Q118" i="159" s="1"/>
  <c r="P161" i="159"/>
  <c r="O161" i="159"/>
  <c r="O177" i="159" s="1"/>
  <c r="O118" i="159" s="1"/>
  <c r="N161" i="159"/>
  <c r="M161" i="159"/>
  <c r="M177" i="159" s="1"/>
  <c r="M118" i="159" s="1"/>
  <c r="L161" i="159"/>
  <c r="K161" i="159"/>
  <c r="K177" i="159" s="1"/>
  <c r="K118" i="159" s="1"/>
  <c r="J161" i="159"/>
  <c r="I161" i="159"/>
  <c r="I177" i="159" s="1"/>
  <c r="I118" i="159" s="1"/>
  <c r="H161" i="159"/>
  <c r="G161" i="159"/>
  <c r="G177" i="159" s="1"/>
  <c r="G118" i="159" s="1"/>
  <c r="F161" i="159"/>
  <c r="E161" i="159"/>
  <c r="E177" i="159" s="1"/>
  <c r="E118" i="159" s="1"/>
  <c r="D161" i="159"/>
  <c r="C161" i="159"/>
  <c r="C177" i="159" s="1"/>
  <c r="C118" i="159" s="1"/>
  <c r="AI160" i="159"/>
  <c r="AH160" i="159"/>
  <c r="AG160" i="159"/>
  <c r="AG176" i="159" s="1"/>
  <c r="AG117" i="159" s="1"/>
  <c r="AF160" i="159"/>
  <c r="AF176" i="159" s="1"/>
  <c r="AF117" i="159" s="1"/>
  <c r="AE160" i="159"/>
  <c r="AD160" i="159"/>
  <c r="AC160" i="159"/>
  <c r="AC176" i="159" s="1"/>
  <c r="AC117" i="159" s="1"/>
  <c r="AB160" i="159"/>
  <c r="AB176" i="159" s="1"/>
  <c r="AB117" i="159" s="1"/>
  <c r="AA160" i="159"/>
  <c r="Z160" i="159"/>
  <c r="Y160" i="159"/>
  <c r="Y176" i="159" s="1"/>
  <c r="Y117" i="159" s="1"/>
  <c r="X160" i="159"/>
  <c r="X176" i="159" s="1"/>
  <c r="X117" i="159" s="1"/>
  <c r="W160" i="159"/>
  <c r="V160" i="159"/>
  <c r="U160" i="159"/>
  <c r="U176" i="159" s="1"/>
  <c r="U117" i="159" s="1"/>
  <c r="T160" i="159"/>
  <c r="T176" i="159" s="1"/>
  <c r="T117" i="159" s="1"/>
  <c r="S160" i="159"/>
  <c r="R160" i="159"/>
  <c r="Q160" i="159"/>
  <c r="Q176" i="159" s="1"/>
  <c r="Q117" i="159" s="1"/>
  <c r="P160" i="159"/>
  <c r="P176" i="159" s="1"/>
  <c r="P117" i="159" s="1"/>
  <c r="O160" i="159"/>
  <c r="N160" i="159"/>
  <c r="M160" i="159"/>
  <c r="M176" i="159" s="1"/>
  <c r="M117" i="159" s="1"/>
  <c r="L160" i="159"/>
  <c r="L176" i="159" s="1"/>
  <c r="L117" i="159" s="1"/>
  <c r="K160" i="159"/>
  <c r="J160" i="159"/>
  <c r="I160" i="159"/>
  <c r="I176" i="159" s="1"/>
  <c r="I117" i="159" s="1"/>
  <c r="H160" i="159"/>
  <c r="H176" i="159" s="1"/>
  <c r="H117" i="159" s="1"/>
  <c r="G160" i="159"/>
  <c r="G176" i="159" s="1"/>
  <c r="G117" i="159" s="1"/>
  <c r="F160" i="159"/>
  <c r="E160" i="159"/>
  <c r="E176" i="159" s="1"/>
  <c r="E117" i="159" s="1"/>
  <c r="D160" i="159"/>
  <c r="D176" i="159" s="1"/>
  <c r="D117" i="159" s="1"/>
  <c r="C160" i="159"/>
  <c r="C176" i="159" s="1"/>
  <c r="C117" i="159" s="1"/>
  <c r="AI159" i="159"/>
  <c r="AI175" i="159" s="1"/>
  <c r="AI116" i="159" s="1"/>
  <c r="AH159" i="159"/>
  <c r="AG159" i="159"/>
  <c r="AG175" i="159" s="1"/>
  <c r="AG116" i="159" s="1"/>
  <c r="AF159" i="159"/>
  <c r="AE159" i="159"/>
  <c r="AE175" i="159" s="1"/>
  <c r="AE116" i="159" s="1"/>
  <c r="AD159" i="159"/>
  <c r="AC159" i="159"/>
  <c r="AC175" i="159" s="1"/>
  <c r="AC116" i="159" s="1"/>
  <c r="AB159" i="159"/>
  <c r="AA159" i="159"/>
  <c r="AA175" i="159" s="1"/>
  <c r="AA116" i="159" s="1"/>
  <c r="Z159" i="159"/>
  <c r="Y159" i="159"/>
  <c r="Y175" i="159" s="1"/>
  <c r="Y116" i="159" s="1"/>
  <c r="X159" i="159"/>
  <c r="W159" i="159"/>
  <c r="W175" i="159" s="1"/>
  <c r="W116" i="159" s="1"/>
  <c r="V159" i="159"/>
  <c r="U159" i="159"/>
  <c r="U175" i="159" s="1"/>
  <c r="U116" i="159" s="1"/>
  <c r="T159" i="159"/>
  <c r="S159" i="159"/>
  <c r="S175" i="159" s="1"/>
  <c r="S116" i="159" s="1"/>
  <c r="R159" i="159"/>
  <c r="Q159" i="159"/>
  <c r="Q175" i="159" s="1"/>
  <c r="Q116" i="159" s="1"/>
  <c r="P159" i="159"/>
  <c r="O159" i="159"/>
  <c r="O175" i="159" s="1"/>
  <c r="O116" i="159" s="1"/>
  <c r="N159" i="159"/>
  <c r="M159" i="159"/>
  <c r="M175" i="159" s="1"/>
  <c r="M116" i="159" s="1"/>
  <c r="L159" i="159"/>
  <c r="K159" i="159"/>
  <c r="K175" i="159" s="1"/>
  <c r="K116" i="159" s="1"/>
  <c r="J159" i="159"/>
  <c r="I159" i="159"/>
  <c r="I175" i="159" s="1"/>
  <c r="I116" i="159" s="1"/>
  <c r="H159" i="159"/>
  <c r="G159" i="159"/>
  <c r="G175" i="159" s="1"/>
  <c r="G116" i="159" s="1"/>
  <c r="F159" i="159"/>
  <c r="E159" i="159"/>
  <c r="E175" i="159" s="1"/>
  <c r="E116" i="159" s="1"/>
  <c r="D159" i="159"/>
  <c r="C159" i="159"/>
  <c r="C175" i="159" s="1"/>
  <c r="C116" i="159" s="1"/>
  <c r="AI158" i="159"/>
  <c r="AI174" i="159" s="1"/>
  <c r="AI115" i="159" s="1"/>
  <c r="AH158" i="159"/>
  <c r="AG158" i="159"/>
  <c r="AG174" i="159" s="1"/>
  <c r="AG115" i="159" s="1"/>
  <c r="AF158" i="159"/>
  <c r="AE158" i="159"/>
  <c r="AE174" i="159" s="1"/>
  <c r="AE115" i="159" s="1"/>
  <c r="AD158" i="159"/>
  <c r="AC158" i="159"/>
  <c r="AC174" i="159" s="1"/>
  <c r="AC115" i="159" s="1"/>
  <c r="AB158" i="159"/>
  <c r="AA158" i="159"/>
  <c r="AA174" i="159" s="1"/>
  <c r="AA115" i="159" s="1"/>
  <c r="Z158" i="159"/>
  <c r="Y158" i="159"/>
  <c r="Y174" i="159" s="1"/>
  <c r="Y115" i="159" s="1"/>
  <c r="X158" i="159"/>
  <c r="W158" i="159"/>
  <c r="W174" i="159" s="1"/>
  <c r="W115" i="159" s="1"/>
  <c r="V158" i="159"/>
  <c r="U158" i="159"/>
  <c r="U174" i="159" s="1"/>
  <c r="U115" i="159" s="1"/>
  <c r="T158" i="159"/>
  <c r="T174" i="159" s="1"/>
  <c r="T115" i="159" s="1"/>
  <c r="S158" i="159"/>
  <c r="S174" i="159" s="1"/>
  <c r="S115" i="159" s="1"/>
  <c r="R158" i="159"/>
  <c r="Q158" i="159"/>
  <c r="Q174" i="159" s="1"/>
  <c r="Q115" i="159" s="1"/>
  <c r="P158" i="159"/>
  <c r="P174" i="159" s="1"/>
  <c r="P115" i="159" s="1"/>
  <c r="O158" i="159"/>
  <c r="O174" i="159" s="1"/>
  <c r="O115" i="159" s="1"/>
  <c r="N158" i="159"/>
  <c r="M158" i="159"/>
  <c r="M174" i="159" s="1"/>
  <c r="M115" i="159" s="1"/>
  <c r="L158" i="159"/>
  <c r="L174" i="159" s="1"/>
  <c r="L115" i="159" s="1"/>
  <c r="K158" i="159"/>
  <c r="K174" i="159" s="1"/>
  <c r="K115" i="159" s="1"/>
  <c r="J158" i="159"/>
  <c r="I158" i="159"/>
  <c r="I174" i="159" s="1"/>
  <c r="I115" i="159" s="1"/>
  <c r="H158" i="159"/>
  <c r="H174" i="159" s="1"/>
  <c r="H115" i="159" s="1"/>
  <c r="G158" i="159"/>
  <c r="G174" i="159" s="1"/>
  <c r="G115" i="159" s="1"/>
  <c r="F158" i="159"/>
  <c r="E158" i="159"/>
  <c r="E174" i="159" s="1"/>
  <c r="E115" i="159" s="1"/>
  <c r="D158" i="159"/>
  <c r="D174" i="159" s="1"/>
  <c r="D115" i="159" s="1"/>
  <c r="C158" i="159"/>
  <c r="C174" i="159" s="1"/>
  <c r="C115" i="159" s="1"/>
  <c r="AI157" i="159"/>
  <c r="AI173" i="159" s="1"/>
  <c r="AI114" i="159" s="1"/>
  <c r="AH157" i="159"/>
  <c r="AH72" i="159" s="1"/>
  <c r="AG157" i="159"/>
  <c r="AG173" i="159" s="1"/>
  <c r="AF157" i="159"/>
  <c r="AF173" i="159" s="1"/>
  <c r="AF114" i="159" s="1"/>
  <c r="AE157" i="159"/>
  <c r="AE173" i="159" s="1"/>
  <c r="AE114" i="159" s="1"/>
  <c r="AD157" i="159"/>
  <c r="AD72" i="159" s="1"/>
  <c r="AC157" i="159"/>
  <c r="AC173" i="159" s="1"/>
  <c r="AB157" i="159"/>
  <c r="AB173" i="159" s="1"/>
  <c r="AB114" i="159" s="1"/>
  <c r="AA157" i="159"/>
  <c r="AA173" i="159" s="1"/>
  <c r="AA114" i="159" s="1"/>
  <c r="Z157" i="159"/>
  <c r="Z72" i="159" s="1"/>
  <c r="Y157" i="159"/>
  <c r="Y173" i="159" s="1"/>
  <c r="X157" i="159"/>
  <c r="X173" i="159" s="1"/>
  <c r="X114" i="159" s="1"/>
  <c r="W157" i="159"/>
  <c r="W173" i="159" s="1"/>
  <c r="W114" i="159" s="1"/>
  <c r="V157" i="159"/>
  <c r="V72" i="159" s="1"/>
  <c r="U157" i="159"/>
  <c r="U173" i="159" s="1"/>
  <c r="T157" i="159"/>
  <c r="T173" i="159" s="1"/>
  <c r="T114" i="159" s="1"/>
  <c r="S157" i="159"/>
  <c r="S173" i="159" s="1"/>
  <c r="S114" i="159" s="1"/>
  <c r="R157" i="159"/>
  <c r="R72" i="159" s="1"/>
  <c r="Q157" i="159"/>
  <c r="Q173" i="159" s="1"/>
  <c r="P157" i="159"/>
  <c r="P173" i="159" s="1"/>
  <c r="P114" i="159" s="1"/>
  <c r="O157" i="159"/>
  <c r="O173" i="159" s="1"/>
  <c r="O114" i="159" s="1"/>
  <c r="N157" i="159"/>
  <c r="N72" i="159" s="1"/>
  <c r="M157" i="159"/>
  <c r="M173" i="159" s="1"/>
  <c r="L157" i="159"/>
  <c r="L173" i="159" s="1"/>
  <c r="L114" i="159" s="1"/>
  <c r="K157" i="159"/>
  <c r="K173" i="159" s="1"/>
  <c r="K114" i="159" s="1"/>
  <c r="J157" i="159"/>
  <c r="J72" i="159" s="1"/>
  <c r="I157" i="159"/>
  <c r="I173" i="159" s="1"/>
  <c r="H157" i="159"/>
  <c r="H173" i="159" s="1"/>
  <c r="H114" i="159" s="1"/>
  <c r="G157" i="159"/>
  <c r="G173" i="159" s="1"/>
  <c r="G114" i="159" s="1"/>
  <c r="F157" i="159"/>
  <c r="F72" i="159" s="1"/>
  <c r="E157" i="159"/>
  <c r="E173" i="159" s="1"/>
  <c r="D157" i="159"/>
  <c r="D173" i="159" s="1"/>
  <c r="D114" i="159" s="1"/>
  <c r="C157" i="159"/>
  <c r="AI154" i="159"/>
  <c r="AH154" i="159"/>
  <c r="AG154" i="159"/>
  <c r="AG12" i="159" s="1"/>
  <c r="AF154" i="159"/>
  <c r="AE154" i="159"/>
  <c r="AD154" i="159"/>
  <c r="AC154" i="159"/>
  <c r="AC12" i="159" s="1"/>
  <c r="AB154" i="159"/>
  <c r="AA154" i="159"/>
  <c r="Z154" i="159"/>
  <c r="Y154" i="159"/>
  <c r="Y12" i="159" s="1"/>
  <c r="X154" i="159"/>
  <c r="W154" i="159"/>
  <c r="V154" i="159"/>
  <c r="U154" i="159"/>
  <c r="U12" i="159" s="1"/>
  <c r="T154" i="159"/>
  <c r="S154" i="159"/>
  <c r="R154" i="159"/>
  <c r="Q154" i="159"/>
  <c r="Q12" i="159" s="1"/>
  <c r="P154" i="159"/>
  <c r="O154" i="159"/>
  <c r="N154" i="159"/>
  <c r="M154" i="159"/>
  <c r="M12" i="159" s="1"/>
  <c r="L154" i="159"/>
  <c r="K154" i="159"/>
  <c r="J154" i="159"/>
  <c r="I154" i="159"/>
  <c r="I12" i="159" s="1"/>
  <c r="H154" i="159"/>
  <c r="G154" i="159"/>
  <c r="F154" i="159"/>
  <c r="E154" i="159"/>
  <c r="E12" i="159" s="1"/>
  <c r="D154" i="159"/>
  <c r="C154" i="159"/>
  <c r="C170" i="159" s="1"/>
  <c r="C99" i="159" s="1"/>
  <c r="AI153" i="159"/>
  <c r="AH153" i="159"/>
  <c r="AG153" i="159"/>
  <c r="AF153" i="159"/>
  <c r="AE153" i="159"/>
  <c r="AD153" i="159"/>
  <c r="AC153" i="159"/>
  <c r="AC11" i="159" s="1"/>
  <c r="AB153" i="159"/>
  <c r="AA153" i="159"/>
  <c r="Z153" i="159"/>
  <c r="Y153" i="159"/>
  <c r="X153" i="159"/>
  <c r="W153" i="159"/>
  <c r="V153" i="159"/>
  <c r="U153" i="159"/>
  <c r="U11" i="159" s="1"/>
  <c r="T153" i="159"/>
  <c r="S153" i="159"/>
  <c r="R153" i="159"/>
  <c r="Q153" i="159"/>
  <c r="P153" i="159"/>
  <c r="O153" i="159"/>
  <c r="N153" i="159"/>
  <c r="M153" i="159"/>
  <c r="M11" i="159" s="1"/>
  <c r="L153" i="159"/>
  <c r="K153" i="159"/>
  <c r="J153" i="159"/>
  <c r="I153" i="159"/>
  <c r="H153" i="159"/>
  <c r="G153" i="159"/>
  <c r="F153" i="159"/>
  <c r="E153" i="159"/>
  <c r="E11" i="159" s="1"/>
  <c r="D153" i="159"/>
  <c r="C153" i="159"/>
  <c r="C169" i="159" s="1"/>
  <c r="C98" i="159" s="1"/>
  <c r="AI152" i="159"/>
  <c r="AH152" i="159"/>
  <c r="AG152" i="159"/>
  <c r="AF152" i="159"/>
  <c r="AE152" i="159"/>
  <c r="AD152" i="159"/>
  <c r="AC152" i="159"/>
  <c r="AC10" i="159" s="1"/>
  <c r="AB152" i="159"/>
  <c r="AA152" i="159"/>
  <c r="Z152" i="159"/>
  <c r="Y152" i="159"/>
  <c r="X152" i="159"/>
  <c r="W152" i="159"/>
  <c r="V152" i="159"/>
  <c r="U152" i="159"/>
  <c r="U10" i="159" s="1"/>
  <c r="T152" i="159"/>
  <c r="S152" i="159"/>
  <c r="R152" i="159"/>
  <c r="Q152" i="159"/>
  <c r="P152" i="159"/>
  <c r="O152" i="159"/>
  <c r="N152" i="159"/>
  <c r="M152" i="159"/>
  <c r="M10" i="159" s="1"/>
  <c r="L152" i="159"/>
  <c r="K152" i="159"/>
  <c r="J152" i="159"/>
  <c r="I152" i="159"/>
  <c r="H152" i="159"/>
  <c r="G152" i="159"/>
  <c r="F152" i="159"/>
  <c r="E152" i="159"/>
  <c r="E10" i="159" s="1"/>
  <c r="D152" i="159"/>
  <c r="C152" i="159"/>
  <c r="AI151" i="159"/>
  <c r="AH151" i="159"/>
  <c r="AG151" i="159"/>
  <c r="AF151" i="159"/>
  <c r="AE151" i="159"/>
  <c r="AD151" i="159"/>
  <c r="AC151" i="159"/>
  <c r="AB151" i="159"/>
  <c r="AA151" i="159"/>
  <c r="Z151" i="159"/>
  <c r="Y151" i="159"/>
  <c r="X151" i="159"/>
  <c r="W151" i="159"/>
  <c r="V151" i="159"/>
  <c r="U151" i="159"/>
  <c r="T151" i="159"/>
  <c r="S151" i="159"/>
  <c r="R151" i="159"/>
  <c r="Q151" i="159"/>
  <c r="P151" i="159"/>
  <c r="O151" i="159"/>
  <c r="N151" i="159"/>
  <c r="M151" i="159"/>
  <c r="L151" i="159"/>
  <c r="K151" i="159"/>
  <c r="J151" i="159"/>
  <c r="I151" i="159"/>
  <c r="H151" i="159"/>
  <c r="G151" i="159"/>
  <c r="F151" i="159"/>
  <c r="E151" i="159"/>
  <c r="D151" i="159"/>
  <c r="C151" i="159"/>
  <c r="C53" i="159" s="1"/>
  <c r="L78" i="159"/>
  <c r="L13" i="159" s="1"/>
  <c r="K78" i="159"/>
  <c r="K13" i="159" s="1"/>
  <c r="J78" i="159"/>
  <c r="J13" i="159" s="1"/>
  <c r="I78" i="159"/>
  <c r="I13" i="159" s="1"/>
  <c r="H78" i="159"/>
  <c r="H13" i="159" s="1"/>
  <c r="G78" i="159"/>
  <c r="G13" i="159" s="1"/>
  <c r="F78" i="159"/>
  <c r="F13" i="159" s="1"/>
  <c r="E78" i="159"/>
  <c r="E13" i="159" s="1"/>
  <c r="D78" i="159"/>
  <c r="C78" i="159"/>
  <c r="L71" i="159"/>
  <c r="L8" i="159" s="1"/>
  <c r="K71" i="159"/>
  <c r="K8" i="159" s="1"/>
  <c r="J71" i="159"/>
  <c r="J8" i="159" s="1"/>
  <c r="I71" i="159"/>
  <c r="I8" i="159" s="1"/>
  <c r="H71" i="159"/>
  <c r="H8" i="159" s="1"/>
  <c r="G71" i="159"/>
  <c r="G8" i="159" s="1"/>
  <c r="F71" i="159"/>
  <c r="F8" i="159" s="1"/>
  <c r="E71" i="159"/>
  <c r="E8" i="159" s="1"/>
  <c r="D71" i="159"/>
  <c r="D8" i="159" s="1"/>
  <c r="C71" i="159"/>
  <c r="L70" i="159"/>
  <c r="K70" i="159"/>
  <c r="J70" i="159"/>
  <c r="I70" i="159"/>
  <c r="H70" i="159"/>
  <c r="G70" i="159"/>
  <c r="F70" i="159"/>
  <c r="E70" i="159"/>
  <c r="D70" i="159"/>
  <c r="C70" i="159"/>
  <c r="D69" i="159"/>
  <c r="D6" i="159" s="1"/>
  <c r="C69" i="159"/>
  <c r="L51" i="159"/>
  <c r="K51" i="159"/>
  <c r="J51" i="159"/>
  <c r="I51" i="159"/>
  <c r="H51" i="159"/>
  <c r="G51" i="159"/>
  <c r="F51" i="159"/>
  <c r="E51" i="159"/>
  <c r="D51" i="159"/>
  <c r="C51" i="159"/>
  <c r="C124" i="159"/>
  <c r="C123" i="159"/>
  <c r="F113" i="159"/>
  <c r="E113" i="159"/>
  <c r="D113" i="159"/>
  <c r="D30" i="159" s="1"/>
  <c r="C113" i="159"/>
  <c r="H109" i="159"/>
  <c r="H28" i="159" s="1"/>
  <c r="G109" i="159"/>
  <c r="G28" i="159" s="1"/>
  <c r="F109" i="159"/>
  <c r="F28" i="159" s="1"/>
  <c r="E109" i="159"/>
  <c r="E28" i="159" s="1"/>
  <c r="D109" i="159"/>
  <c r="D28" i="159" s="1"/>
  <c r="C109" i="159"/>
  <c r="I10" i="159" l="1"/>
  <c r="Q10" i="159"/>
  <c r="Y10" i="159"/>
  <c r="AG10" i="159"/>
  <c r="I11" i="159"/>
  <c r="Q11" i="159"/>
  <c r="Y11" i="159"/>
  <c r="AG11" i="159"/>
  <c r="E9" i="159"/>
  <c r="I9" i="159"/>
  <c r="M9" i="159"/>
  <c r="M24" i="159" s="1"/>
  <c r="Q9" i="159"/>
  <c r="U9" i="159"/>
  <c r="U24" i="159" s="1"/>
  <c r="Y9" i="159"/>
  <c r="Y24" i="159" s="1"/>
  <c r="AC9" i="159"/>
  <c r="AC24" i="159" s="1"/>
  <c r="AG9" i="159"/>
  <c r="AG24" i="159" s="1"/>
  <c r="L168" i="159"/>
  <c r="L10" i="159"/>
  <c r="F167" i="159"/>
  <c r="F96" i="159" s="1"/>
  <c r="F9" i="159"/>
  <c r="V167" i="159"/>
  <c r="V96" i="159" s="1"/>
  <c r="V9" i="159"/>
  <c r="K167" i="159"/>
  <c r="K96" i="159" s="1"/>
  <c r="K31" i="159" s="1"/>
  <c r="K9" i="159"/>
  <c r="S167" i="159"/>
  <c r="S96" i="159" s="1"/>
  <c r="S31" i="159" s="1"/>
  <c r="S9" i="159"/>
  <c r="AA167" i="159"/>
  <c r="AA96" i="159" s="1"/>
  <c r="AA31" i="159" s="1"/>
  <c r="AA9" i="159"/>
  <c r="AE167" i="159"/>
  <c r="AE96" i="159" s="1"/>
  <c r="AE31" i="159" s="1"/>
  <c r="AE9" i="159"/>
  <c r="F168" i="159"/>
  <c r="F10" i="159"/>
  <c r="N168" i="159"/>
  <c r="N10" i="159"/>
  <c r="V168" i="159"/>
  <c r="V10" i="159"/>
  <c r="AD168" i="159"/>
  <c r="AD10" i="159"/>
  <c r="AH168" i="159"/>
  <c r="AH10" i="159"/>
  <c r="H170" i="159"/>
  <c r="H99" i="159" s="1"/>
  <c r="H12" i="159"/>
  <c r="X170" i="159"/>
  <c r="X99" i="159" s="1"/>
  <c r="X12" i="159"/>
  <c r="H53" i="159"/>
  <c r="H9" i="159"/>
  <c r="L167" i="159"/>
  <c r="L96" i="159" s="1"/>
  <c r="L31" i="159" s="1"/>
  <c r="L9" i="159"/>
  <c r="P167" i="159"/>
  <c r="P96" i="159" s="1"/>
  <c r="P31" i="159" s="1"/>
  <c r="P9" i="159"/>
  <c r="T167" i="159"/>
  <c r="T96" i="159" s="1"/>
  <c r="T31" i="159" s="1"/>
  <c r="T9" i="159"/>
  <c r="X167" i="159"/>
  <c r="X96" i="159" s="1"/>
  <c r="X9" i="159"/>
  <c r="AB167" i="159"/>
  <c r="AB96" i="159" s="1"/>
  <c r="AB9" i="159"/>
  <c r="AF167" i="159"/>
  <c r="AF96" i="159" s="1"/>
  <c r="AF9" i="159"/>
  <c r="G168" i="159"/>
  <c r="G10" i="159"/>
  <c r="K168" i="159"/>
  <c r="K10" i="159"/>
  <c r="O168" i="159"/>
  <c r="O10" i="159"/>
  <c r="S168" i="159"/>
  <c r="S10" i="159"/>
  <c r="W168" i="159"/>
  <c r="W10" i="159"/>
  <c r="AA168" i="159"/>
  <c r="AA10" i="159"/>
  <c r="AE168" i="159"/>
  <c r="AE10" i="159"/>
  <c r="AI168" i="159"/>
  <c r="AI10" i="159"/>
  <c r="F169" i="159"/>
  <c r="F11" i="159"/>
  <c r="J169" i="159"/>
  <c r="J11" i="159"/>
  <c r="N169" i="159"/>
  <c r="N11" i="159"/>
  <c r="R169" i="159"/>
  <c r="R11" i="159"/>
  <c r="V169" i="159"/>
  <c r="V11" i="159"/>
  <c r="Z169" i="159"/>
  <c r="Z11" i="159"/>
  <c r="AD169" i="159"/>
  <c r="AD11" i="159"/>
  <c r="AH169" i="159"/>
  <c r="AH11" i="159"/>
  <c r="H168" i="159"/>
  <c r="H10" i="159"/>
  <c r="P168" i="159"/>
  <c r="P10" i="159"/>
  <c r="T168" i="159"/>
  <c r="T10" i="159"/>
  <c r="X168" i="159"/>
  <c r="X10" i="159"/>
  <c r="AB168" i="159"/>
  <c r="AB10" i="159"/>
  <c r="AF168" i="159"/>
  <c r="AF10" i="159"/>
  <c r="G169" i="159"/>
  <c r="G11" i="159"/>
  <c r="K169" i="159"/>
  <c r="K11" i="159"/>
  <c r="O169" i="159"/>
  <c r="O11" i="159"/>
  <c r="S169" i="159"/>
  <c r="S11" i="159"/>
  <c r="W169" i="159"/>
  <c r="W11" i="159"/>
  <c r="AA169" i="159"/>
  <c r="AA11" i="159"/>
  <c r="AE169" i="159"/>
  <c r="AE11" i="159"/>
  <c r="AI169" i="159"/>
  <c r="AI11" i="159"/>
  <c r="F170" i="159"/>
  <c r="F99" i="159" s="1"/>
  <c r="F12" i="159"/>
  <c r="J170" i="159"/>
  <c r="J99" i="159" s="1"/>
  <c r="J12" i="159"/>
  <c r="N170" i="159"/>
  <c r="N99" i="159" s="1"/>
  <c r="N12" i="159"/>
  <c r="R170" i="159"/>
  <c r="R99" i="159" s="1"/>
  <c r="R12" i="159"/>
  <c r="V170" i="159"/>
  <c r="V99" i="159" s="1"/>
  <c r="V12" i="159"/>
  <c r="Z170" i="159"/>
  <c r="Z99" i="159" s="1"/>
  <c r="Z12" i="159"/>
  <c r="AD170" i="159"/>
  <c r="AD99" i="159" s="1"/>
  <c r="AD12" i="159"/>
  <c r="AH170" i="159"/>
  <c r="AH99" i="159" s="1"/>
  <c r="AH12" i="159"/>
  <c r="J167" i="159"/>
  <c r="J96" i="159" s="1"/>
  <c r="J9" i="159"/>
  <c r="N167" i="159"/>
  <c r="N96" i="159" s="1"/>
  <c r="N9" i="159"/>
  <c r="R167" i="159"/>
  <c r="R96" i="159" s="1"/>
  <c r="R9" i="159"/>
  <c r="Z167" i="159"/>
  <c r="Z96" i="159" s="1"/>
  <c r="Z9" i="159"/>
  <c r="AD167" i="159"/>
  <c r="AD96" i="159" s="1"/>
  <c r="AD9" i="159"/>
  <c r="AH167" i="159"/>
  <c r="AH96" i="159" s="1"/>
  <c r="AH9" i="159"/>
  <c r="H169" i="159"/>
  <c r="H11" i="159"/>
  <c r="L169" i="159"/>
  <c r="L11" i="159"/>
  <c r="P169" i="159"/>
  <c r="P11" i="159"/>
  <c r="T169" i="159"/>
  <c r="T11" i="159"/>
  <c r="X169" i="159"/>
  <c r="X11" i="159"/>
  <c r="AB169" i="159"/>
  <c r="AB11" i="159"/>
  <c r="AF169" i="159"/>
  <c r="AF11" i="159"/>
  <c r="G170" i="159"/>
  <c r="G99" i="159" s="1"/>
  <c r="G12" i="159"/>
  <c r="K170" i="159"/>
  <c r="K99" i="159" s="1"/>
  <c r="K12" i="159"/>
  <c r="O170" i="159"/>
  <c r="O99" i="159" s="1"/>
  <c r="O12" i="159"/>
  <c r="S170" i="159"/>
  <c r="S99" i="159" s="1"/>
  <c r="S12" i="159"/>
  <c r="W170" i="159"/>
  <c r="W99" i="159" s="1"/>
  <c r="W12" i="159"/>
  <c r="AA170" i="159"/>
  <c r="AA99" i="159" s="1"/>
  <c r="AA12" i="159"/>
  <c r="AE170" i="159"/>
  <c r="AE99" i="159" s="1"/>
  <c r="AE12" i="159"/>
  <c r="AI170" i="159"/>
  <c r="AI99" i="159" s="1"/>
  <c r="AI12" i="159"/>
  <c r="E178" i="159"/>
  <c r="E119" i="159" s="1"/>
  <c r="I178" i="159"/>
  <c r="I119" i="159" s="1"/>
  <c r="M178" i="159"/>
  <c r="M119" i="159" s="1"/>
  <c r="Q178" i="159"/>
  <c r="Q119" i="159" s="1"/>
  <c r="U178" i="159"/>
  <c r="U119" i="159" s="1"/>
  <c r="Y178" i="159"/>
  <c r="Y119" i="159" s="1"/>
  <c r="G167" i="159"/>
  <c r="G96" i="159" s="1"/>
  <c r="G31" i="159" s="1"/>
  <c r="G9" i="159"/>
  <c r="O167" i="159"/>
  <c r="O96" i="159" s="1"/>
  <c r="O31" i="159" s="1"/>
  <c r="O9" i="159"/>
  <c r="W167" i="159"/>
  <c r="W96" i="159" s="1"/>
  <c r="W31" i="159" s="1"/>
  <c r="W9" i="159"/>
  <c r="AI167" i="159"/>
  <c r="AI96" i="159" s="1"/>
  <c r="AI31" i="159" s="1"/>
  <c r="AI9" i="159"/>
  <c r="AI24" i="159" s="1"/>
  <c r="J168" i="159"/>
  <c r="J10" i="159"/>
  <c r="R168" i="159"/>
  <c r="R10" i="159"/>
  <c r="Z168" i="159"/>
  <c r="Z10" i="159"/>
  <c r="L170" i="159"/>
  <c r="L99" i="159" s="1"/>
  <c r="L12" i="159"/>
  <c r="P170" i="159"/>
  <c r="P99" i="159" s="1"/>
  <c r="P12" i="159"/>
  <c r="T170" i="159"/>
  <c r="T99" i="159" s="1"/>
  <c r="T12" i="159"/>
  <c r="AB170" i="159"/>
  <c r="AB99" i="159" s="1"/>
  <c r="AB12" i="159"/>
  <c r="AF170" i="159"/>
  <c r="AF99" i="159" s="1"/>
  <c r="AF12" i="159"/>
  <c r="F178" i="159"/>
  <c r="F119" i="159" s="1"/>
  <c r="J178" i="159"/>
  <c r="J119" i="159" s="1"/>
  <c r="N178" i="159"/>
  <c r="N119" i="159" s="1"/>
  <c r="R178" i="159"/>
  <c r="R119" i="159" s="1"/>
  <c r="V178" i="159"/>
  <c r="V119" i="159" s="1"/>
  <c r="Z178" i="159"/>
  <c r="Z119" i="159" s="1"/>
  <c r="AD178" i="159"/>
  <c r="AD119" i="159" s="1"/>
  <c r="AH178" i="159"/>
  <c r="AH119" i="159" s="1"/>
  <c r="D167" i="159"/>
  <c r="D96" i="159" s="1"/>
  <c r="D9" i="159"/>
  <c r="K7" i="159"/>
  <c r="D168" i="159"/>
  <c r="D10" i="159"/>
  <c r="F7" i="159"/>
  <c r="H7" i="159"/>
  <c r="D13" i="159"/>
  <c r="D169" i="159"/>
  <c r="D11" i="159"/>
  <c r="J7" i="159"/>
  <c r="G7" i="159"/>
  <c r="D7" i="159"/>
  <c r="L7" i="159"/>
  <c r="E7" i="159"/>
  <c r="E24" i="159" s="1"/>
  <c r="I7" i="159"/>
  <c r="I24" i="159" s="1"/>
  <c r="D170" i="159"/>
  <c r="D99" i="159" s="1"/>
  <c r="D12" i="159"/>
  <c r="R53" i="159"/>
  <c r="D55" i="159"/>
  <c r="X55" i="159"/>
  <c r="S56" i="159"/>
  <c r="C75" i="159"/>
  <c r="U73" i="159"/>
  <c r="AC74" i="159"/>
  <c r="H75" i="159"/>
  <c r="X75" i="159"/>
  <c r="K76" i="159"/>
  <c r="AA76" i="159"/>
  <c r="I77" i="159"/>
  <c r="AD77" i="159"/>
  <c r="C56" i="159"/>
  <c r="Z53" i="159"/>
  <c r="H55" i="159"/>
  <c r="AB55" i="159"/>
  <c r="W56" i="159"/>
  <c r="E73" i="159"/>
  <c r="Y73" i="159"/>
  <c r="AG74" i="159"/>
  <c r="L75" i="159"/>
  <c r="AB75" i="159"/>
  <c r="O76" i="159"/>
  <c r="AE76" i="159"/>
  <c r="Q77" i="159"/>
  <c r="AH77" i="159"/>
  <c r="J53" i="159"/>
  <c r="AD53" i="159"/>
  <c r="L55" i="159"/>
  <c r="G56" i="159"/>
  <c r="AE56" i="159"/>
  <c r="M73" i="159"/>
  <c r="AC73" i="159"/>
  <c r="D75" i="159"/>
  <c r="P75" i="159"/>
  <c r="AF75" i="159"/>
  <c r="S76" i="159"/>
  <c r="AI76" i="159"/>
  <c r="U77" i="159"/>
  <c r="N53" i="159"/>
  <c r="AH53" i="159"/>
  <c r="T55" i="159"/>
  <c r="O56" i="159"/>
  <c r="AI56" i="159"/>
  <c r="Q73" i="159"/>
  <c r="AG73" i="159"/>
  <c r="G75" i="159"/>
  <c r="T75" i="159"/>
  <c r="G76" i="159"/>
  <c r="W76" i="159"/>
  <c r="E77" i="159"/>
  <c r="Y77" i="159"/>
  <c r="E167" i="159"/>
  <c r="E53" i="159"/>
  <c r="M53" i="159"/>
  <c r="U53" i="159"/>
  <c r="I114" i="159"/>
  <c r="Q114" i="159"/>
  <c r="Y114" i="159"/>
  <c r="AG114" i="159"/>
  <c r="X174" i="159"/>
  <c r="X115" i="159" s="1"/>
  <c r="X73" i="159"/>
  <c r="AB174" i="159"/>
  <c r="AB115" i="159" s="1"/>
  <c r="AB73" i="159"/>
  <c r="J176" i="159"/>
  <c r="J117" i="159" s="1"/>
  <c r="J75" i="159"/>
  <c r="R176" i="159"/>
  <c r="R117" i="159" s="1"/>
  <c r="R75" i="159"/>
  <c r="Z176" i="159"/>
  <c r="Z117" i="159" s="1"/>
  <c r="Z75" i="159"/>
  <c r="H178" i="159"/>
  <c r="H119" i="159" s="1"/>
  <c r="H77" i="159"/>
  <c r="P178" i="159"/>
  <c r="P119" i="159" s="1"/>
  <c r="P77" i="159"/>
  <c r="AF178" i="159"/>
  <c r="AF119" i="159" s="1"/>
  <c r="AF77" i="159"/>
  <c r="D53" i="159"/>
  <c r="O53" i="159"/>
  <c r="T53" i="159"/>
  <c r="AE53" i="159"/>
  <c r="D54" i="159"/>
  <c r="J54" i="159"/>
  <c r="O54" i="159"/>
  <c r="T54" i="159"/>
  <c r="Z54" i="159"/>
  <c r="AE54" i="159"/>
  <c r="J55" i="159"/>
  <c r="O55" i="159"/>
  <c r="Z55" i="159"/>
  <c r="AE55" i="159"/>
  <c r="D56" i="159"/>
  <c r="J56" i="159"/>
  <c r="T56" i="159"/>
  <c r="Z56" i="159"/>
  <c r="C77" i="159"/>
  <c r="H72" i="159"/>
  <c r="M72" i="159"/>
  <c r="S72" i="159"/>
  <c r="X72" i="159"/>
  <c r="AC72" i="159"/>
  <c r="AI72" i="159"/>
  <c r="H73" i="159"/>
  <c r="S73" i="159"/>
  <c r="I74" i="159"/>
  <c r="Q74" i="159"/>
  <c r="Y74" i="159"/>
  <c r="M75" i="159"/>
  <c r="U75" i="159"/>
  <c r="AC75" i="159"/>
  <c r="I53" i="159"/>
  <c r="Q167" i="159"/>
  <c r="Q53" i="159"/>
  <c r="Y167" i="159"/>
  <c r="Y53" i="159"/>
  <c r="AC53" i="159"/>
  <c r="AG167" i="159"/>
  <c r="AG53" i="159"/>
  <c r="E114" i="159"/>
  <c r="M114" i="159"/>
  <c r="U114" i="159"/>
  <c r="AC114" i="159"/>
  <c r="AF174" i="159"/>
  <c r="AF115" i="159" s="1"/>
  <c r="AF73" i="159"/>
  <c r="F176" i="159"/>
  <c r="F117" i="159" s="1"/>
  <c r="F75" i="159"/>
  <c r="N176" i="159"/>
  <c r="N117" i="159" s="1"/>
  <c r="N75" i="159"/>
  <c r="V176" i="159"/>
  <c r="V117" i="159" s="1"/>
  <c r="V75" i="159"/>
  <c r="AD176" i="159"/>
  <c r="AD117" i="159" s="1"/>
  <c r="AD75" i="159"/>
  <c r="AH176" i="159"/>
  <c r="AH117" i="159" s="1"/>
  <c r="AH75" i="159"/>
  <c r="D178" i="159"/>
  <c r="D119" i="159" s="1"/>
  <c r="D77" i="159"/>
  <c r="L178" i="159"/>
  <c r="L119" i="159" s="1"/>
  <c r="L77" i="159"/>
  <c r="T178" i="159"/>
  <c r="T119" i="159" s="1"/>
  <c r="T77" i="159"/>
  <c r="X178" i="159"/>
  <c r="X119" i="159" s="1"/>
  <c r="X77" i="159"/>
  <c r="AB178" i="159"/>
  <c r="AB119" i="159" s="1"/>
  <c r="AB77" i="159"/>
  <c r="E168" i="159"/>
  <c r="E54" i="159"/>
  <c r="I168" i="159"/>
  <c r="I54" i="159"/>
  <c r="M168" i="159"/>
  <c r="M54" i="159"/>
  <c r="Q168" i="159"/>
  <c r="Q54" i="159"/>
  <c r="U168" i="159"/>
  <c r="U54" i="159"/>
  <c r="Y168" i="159"/>
  <c r="Y54" i="159"/>
  <c r="AC168" i="159"/>
  <c r="AC54" i="159"/>
  <c r="AG168" i="159"/>
  <c r="AG54" i="159"/>
  <c r="D175" i="159"/>
  <c r="D116" i="159" s="1"/>
  <c r="D74" i="159"/>
  <c r="H175" i="159"/>
  <c r="H116" i="159" s="1"/>
  <c r="H74" i="159"/>
  <c r="L175" i="159"/>
  <c r="L116" i="159" s="1"/>
  <c r="L74" i="159"/>
  <c r="P175" i="159"/>
  <c r="P116" i="159" s="1"/>
  <c r="P74" i="159"/>
  <c r="T175" i="159"/>
  <c r="T116" i="159" s="1"/>
  <c r="T74" i="159"/>
  <c r="X175" i="159"/>
  <c r="X116" i="159" s="1"/>
  <c r="X74" i="159"/>
  <c r="AB175" i="159"/>
  <c r="AB116" i="159" s="1"/>
  <c r="AB74" i="159"/>
  <c r="AF175" i="159"/>
  <c r="AF116" i="159" s="1"/>
  <c r="AF74" i="159"/>
  <c r="K176" i="159"/>
  <c r="K117" i="159" s="1"/>
  <c r="K75" i="159"/>
  <c r="O176" i="159"/>
  <c r="O117" i="159" s="1"/>
  <c r="O75" i="159"/>
  <c r="S176" i="159"/>
  <c r="S117" i="159" s="1"/>
  <c r="S75" i="159"/>
  <c r="W176" i="159"/>
  <c r="W117" i="159" s="1"/>
  <c r="W75" i="159"/>
  <c r="AA176" i="159"/>
  <c r="AA117" i="159" s="1"/>
  <c r="AA75" i="159"/>
  <c r="AE176" i="159"/>
  <c r="AE117" i="159" s="1"/>
  <c r="AE75" i="159"/>
  <c r="AI176" i="159"/>
  <c r="AI117" i="159" s="1"/>
  <c r="AI75" i="159"/>
  <c r="F177" i="159"/>
  <c r="F118" i="159" s="1"/>
  <c r="F76" i="159"/>
  <c r="J177" i="159"/>
  <c r="J118" i="159" s="1"/>
  <c r="J76" i="159"/>
  <c r="N177" i="159"/>
  <c r="N118" i="159" s="1"/>
  <c r="N76" i="159"/>
  <c r="R177" i="159"/>
  <c r="R118" i="159" s="1"/>
  <c r="R76" i="159"/>
  <c r="V177" i="159"/>
  <c r="V118" i="159" s="1"/>
  <c r="V76" i="159"/>
  <c r="Z177" i="159"/>
  <c r="Z118" i="159" s="1"/>
  <c r="Z76" i="159"/>
  <c r="AD177" i="159"/>
  <c r="AD118" i="159" s="1"/>
  <c r="AD76" i="159"/>
  <c r="AH177" i="159"/>
  <c r="AH118" i="159" s="1"/>
  <c r="AH76" i="159"/>
  <c r="AC178" i="159"/>
  <c r="AC119" i="159" s="1"/>
  <c r="AC77" i="159"/>
  <c r="AG178" i="159"/>
  <c r="AG119" i="159" s="1"/>
  <c r="AG77" i="159"/>
  <c r="F53" i="159"/>
  <c r="K53" i="159"/>
  <c r="P53" i="159"/>
  <c r="V53" i="159"/>
  <c r="AA53" i="159"/>
  <c r="AF53" i="159"/>
  <c r="F54" i="159"/>
  <c r="K54" i="159"/>
  <c r="P54" i="159"/>
  <c r="V54" i="159"/>
  <c r="AA54" i="159"/>
  <c r="AF54" i="159"/>
  <c r="F55" i="159"/>
  <c r="K55" i="159"/>
  <c r="P55" i="159"/>
  <c r="V55" i="159"/>
  <c r="AA55" i="159"/>
  <c r="AF55" i="159"/>
  <c r="F56" i="159"/>
  <c r="K56" i="159"/>
  <c r="P56" i="159"/>
  <c r="V56" i="159"/>
  <c r="AA56" i="159"/>
  <c r="AF56" i="159"/>
  <c r="C73" i="159"/>
  <c r="D72" i="159"/>
  <c r="I72" i="159"/>
  <c r="O72" i="159"/>
  <c r="T72" i="159"/>
  <c r="Y72" i="159"/>
  <c r="AE72" i="159"/>
  <c r="D73" i="159"/>
  <c r="I73" i="159"/>
  <c r="O73" i="159"/>
  <c r="T73" i="159"/>
  <c r="AA73" i="159"/>
  <c r="AI73" i="159"/>
  <c r="K74" i="159"/>
  <c r="S74" i="159"/>
  <c r="AA74" i="159"/>
  <c r="AI74" i="159"/>
  <c r="I76" i="159"/>
  <c r="Q76" i="159"/>
  <c r="Y76" i="159"/>
  <c r="AG76" i="159"/>
  <c r="M77" i="159"/>
  <c r="E169" i="159"/>
  <c r="E55" i="159"/>
  <c r="I169" i="159"/>
  <c r="I55" i="159"/>
  <c r="M169" i="159"/>
  <c r="M55" i="159"/>
  <c r="Q169" i="159"/>
  <c r="Q55" i="159"/>
  <c r="U169" i="159"/>
  <c r="U55" i="159"/>
  <c r="Y169" i="159"/>
  <c r="Y55" i="159"/>
  <c r="AC169" i="159"/>
  <c r="AC55" i="159"/>
  <c r="AG169" i="159"/>
  <c r="AG55" i="159"/>
  <c r="C173" i="159"/>
  <c r="C114" i="159" s="1"/>
  <c r="C131" i="159" s="1"/>
  <c r="C72" i="159"/>
  <c r="F174" i="159"/>
  <c r="F115" i="159" s="1"/>
  <c r="F73" i="159"/>
  <c r="J174" i="159"/>
  <c r="J115" i="159" s="1"/>
  <c r="J73" i="159"/>
  <c r="N174" i="159"/>
  <c r="N115" i="159" s="1"/>
  <c r="N73" i="159"/>
  <c r="R174" i="159"/>
  <c r="R115" i="159" s="1"/>
  <c r="R73" i="159"/>
  <c r="V174" i="159"/>
  <c r="V115" i="159" s="1"/>
  <c r="V73" i="159"/>
  <c r="Z174" i="159"/>
  <c r="Z115" i="159" s="1"/>
  <c r="Z73" i="159"/>
  <c r="AD174" i="159"/>
  <c r="AD115" i="159" s="1"/>
  <c r="AD73" i="159"/>
  <c r="AH174" i="159"/>
  <c r="AH115" i="159" s="1"/>
  <c r="AH73" i="159"/>
  <c r="C55" i="159"/>
  <c r="G53" i="159"/>
  <c r="L53" i="159"/>
  <c r="W53" i="159"/>
  <c r="AB53" i="159"/>
  <c r="G54" i="159"/>
  <c r="L54" i="159"/>
  <c r="R54" i="159"/>
  <c r="W54" i="159"/>
  <c r="AB54" i="159"/>
  <c r="AH54" i="159"/>
  <c r="G55" i="159"/>
  <c r="R55" i="159"/>
  <c r="W55" i="159"/>
  <c r="AH55" i="159"/>
  <c r="L56" i="159"/>
  <c r="R56" i="159"/>
  <c r="AB56" i="159"/>
  <c r="AH56" i="159"/>
  <c r="C74" i="159"/>
  <c r="E72" i="159"/>
  <c r="K72" i="159"/>
  <c r="P72" i="159"/>
  <c r="U72" i="159"/>
  <c r="AA72" i="159"/>
  <c r="AF72" i="159"/>
  <c r="K73" i="159"/>
  <c r="P73" i="159"/>
  <c r="E74" i="159"/>
  <c r="M74" i="159"/>
  <c r="U74" i="159"/>
  <c r="I75" i="159"/>
  <c r="Q75" i="159"/>
  <c r="Y75" i="159"/>
  <c r="AG75" i="159"/>
  <c r="C168" i="159"/>
  <c r="C97" i="159" s="1"/>
  <c r="C54" i="159"/>
  <c r="E170" i="159"/>
  <c r="E99" i="159" s="1"/>
  <c r="E56" i="159"/>
  <c r="I170" i="159"/>
  <c r="I99" i="159" s="1"/>
  <c r="I56" i="159"/>
  <c r="M170" i="159"/>
  <c r="M99" i="159" s="1"/>
  <c r="M56" i="159"/>
  <c r="Q170" i="159"/>
  <c r="Q99" i="159" s="1"/>
  <c r="Q56" i="159"/>
  <c r="U170" i="159"/>
  <c r="U99" i="159" s="1"/>
  <c r="U56" i="159"/>
  <c r="Y170" i="159"/>
  <c r="Y99" i="159" s="1"/>
  <c r="Y56" i="159"/>
  <c r="AC170" i="159"/>
  <c r="AC99" i="159" s="1"/>
  <c r="AC56" i="159"/>
  <c r="AG170" i="159"/>
  <c r="AG99" i="159" s="1"/>
  <c r="AG56" i="159"/>
  <c r="F175" i="159"/>
  <c r="F116" i="159" s="1"/>
  <c r="F74" i="159"/>
  <c r="J175" i="159"/>
  <c r="J116" i="159" s="1"/>
  <c r="J74" i="159"/>
  <c r="N175" i="159"/>
  <c r="N116" i="159" s="1"/>
  <c r="N74" i="159"/>
  <c r="R175" i="159"/>
  <c r="R116" i="159" s="1"/>
  <c r="R74" i="159"/>
  <c r="V175" i="159"/>
  <c r="V116" i="159" s="1"/>
  <c r="V74" i="159"/>
  <c r="Z175" i="159"/>
  <c r="Z116" i="159" s="1"/>
  <c r="Z74" i="159"/>
  <c r="AD175" i="159"/>
  <c r="AD116" i="159" s="1"/>
  <c r="AD74" i="159"/>
  <c r="AH175" i="159"/>
  <c r="AH116" i="159" s="1"/>
  <c r="AH74" i="159"/>
  <c r="D177" i="159"/>
  <c r="D118" i="159" s="1"/>
  <c r="D76" i="159"/>
  <c r="H177" i="159"/>
  <c r="H118" i="159" s="1"/>
  <c r="H76" i="159"/>
  <c r="L177" i="159"/>
  <c r="L118" i="159" s="1"/>
  <c r="L76" i="159"/>
  <c r="P177" i="159"/>
  <c r="P118" i="159" s="1"/>
  <c r="P76" i="159"/>
  <c r="T177" i="159"/>
  <c r="T118" i="159" s="1"/>
  <c r="T76" i="159"/>
  <c r="X177" i="159"/>
  <c r="X118" i="159" s="1"/>
  <c r="X76" i="159"/>
  <c r="AB177" i="159"/>
  <c r="AB118" i="159" s="1"/>
  <c r="AB76" i="159"/>
  <c r="AF177" i="159"/>
  <c r="AF118" i="159" s="1"/>
  <c r="AF76" i="159"/>
  <c r="G178" i="159"/>
  <c r="G119" i="159" s="1"/>
  <c r="G77" i="159"/>
  <c r="K178" i="159"/>
  <c r="K119" i="159" s="1"/>
  <c r="K77" i="159"/>
  <c r="O178" i="159"/>
  <c r="O119" i="159" s="1"/>
  <c r="O77" i="159"/>
  <c r="S178" i="159"/>
  <c r="S119" i="159" s="1"/>
  <c r="S77" i="159"/>
  <c r="W178" i="159"/>
  <c r="W119" i="159" s="1"/>
  <c r="W77" i="159"/>
  <c r="AA178" i="159"/>
  <c r="AA119" i="159" s="1"/>
  <c r="AA77" i="159"/>
  <c r="AE178" i="159"/>
  <c r="AE119" i="159" s="1"/>
  <c r="AE77" i="159"/>
  <c r="AI178" i="159"/>
  <c r="AI119" i="159" s="1"/>
  <c r="AI77" i="159"/>
  <c r="S53" i="159"/>
  <c r="X53" i="159"/>
  <c r="AI53" i="159"/>
  <c r="H54" i="159"/>
  <c r="N54" i="159"/>
  <c r="S54" i="159"/>
  <c r="X54" i="159"/>
  <c r="AD54" i="159"/>
  <c r="AI54" i="159"/>
  <c r="N55" i="159"/>
  <c r="S55" i="159"/>
  <c r="AD55" i="159"/>
  <c r="AI55" i="159"/>
  <c r="H56" i="159"/>
  <c r="N56" i="159"/>
  <c r="X56" i="159"/>
  <c r="AD56" i="159"/>
  <c r="G72" i="159"/>
  <c r="L72" i="159"/>
  <c r="Q72" i="159"/>
  <c r="W72" i="159"/>
  <c r="AB72" i="159"/>
  <c r="AG72" i="159"/>
  <c r="G73" i="159"/>
  <c r="L73" i="159"/>
  <c r="W73" i="159"/>
  <c r="AE73" i="159"/>
  <c r="G74" i="159"/>
  <c r="O74" i="159"/>
  <c r="W74" i="159"/>
  <c r="AE74" i="159"/>
  <c r="E75" i="159"/>
  <c r="E76" i="159"/>
  <c r="M76" i="159"/>
  <c r="U76" i="159"/>
  <c r="AC76" i="159"/>
  <c r="C76" i="159"/>
  <c r="F77" i="159"/>
  <c r="J77" i="159"/>
  <c r="N77" i="159"/>
  <c r="R77" i="159"/>
  <c r="V77" i="159"/>
  <c r="Z77" i="159"/>
  <c r="C167" i="159"/>
  <c r="H167" i="159"/>
  <c r="M167" i="159"/>
  <c r="U167" i="159"/>
  <c r="AC167" i="159"/>
  <c r="F173" i="159"/>
  <c r="J173" i="159"/>
  <c r="N173" i="159"/>
  <c r="V173" i="159"/>
  <c r="Z173" i="159"/>
  <c r="AD173" i="159"/>
  <c r="AH173" i="159"/>
  <c r="H206" i="159"/>
  <c r="I167" i="159"/>
  <c r="R173" i="159"/>
  <c r="Q24" i="159" l="1"/>
  <c r="H24" i="159"/>
  <c r="AB34" i="159"/>
  <c r="AA24" i="159"/>
  <c r="L24" i="159"/>
  <c r="F24" i="159"/>
  <c r="AD34" i="159"/>
  <c r="V34" i="159"/>
  <c r="N34" i="159"/>
  <c r="F34" i="159"/>
  <c r="W24" i="159"/>
  <c r="X34" i="159"/>
  <c r="AD24" i="159"/>
  <c r="AH34" i="159"/>
  <c r="Z34" i="159"/>
  <c r="R34" i="159"/>
  <c r="J34" i="159"/>
  <c r="O24" i="159"/>
  <c r="AC34" i="159"/>
  <c r="AF31" i="159"/>
  <c r="AF98" i="159"/>
  <c r="AF33" i="159"/>
  <c r="X98" i="159"/>
  <c r="X33" i="159"/>
  <c r="P98" i="159"/>
  <c r="P33" i="159"/>
  <c r="H98" i="159"/>
  <c r="H33" i="159"/>
  <c r="H34" i="159"/>
  <c r="AE98" i="159"/>
  <c r="AE33" i="159"/>
  <c r="W98" i="159"/>
  <c r="W33" i="159"/>
  <c r="O98" i="159"/>
  <c r="O33" i="159"/>
  <c r="G98" i="159"/>
  <c r="G33" i="159"/>
  <c r="AB97" i="159"/>
  <c r="AB131" i="159" s="1"/>
  <c r="AB32" i="159"/>
  <c r="T97" i="159"/>
  <c r="T32" i="159"/>
  <c r="H97" i="159"/>
  <c r="H32" i="159"/>
  <c r="W34" i="159"/>
  <c r="G34" i="159"/>
  <c r="AD98" i="159"/>
  <c r="AD33" i="159"/>
  <c r="V98" i="159"/>
  <c r="V33" i="159"/>
  <c r="N98" i="159"/>
  <c r="N33" i="159"/>
  <c r="F98" i="159"/>
  <c r="F33" i="159"/>
  <c r="AE97" i="159"/>
  <c r="AE131" i="159" s="1"/>
  <c r="AE32" i="159"/>
  <c r="W97" i="159"/>
  <c r="W32" i="159"/>
  <c r="W43" i="159" s="1"/>
  <c r="W45" i="159" s="1"/>
  <c r="O97" i="159"/>
  <c r="O32" i="159"/>
  <c r="G97" i="159"/>
  <c r="G131" i="159" s="1"/>
  <c r="G32" i="159"/>
  <c r="G43" i="159" s="1"/>
  <c r="AB31" i="159"/>
  <c r="AG98" i="159"/>
  <c r="AG33" i="159"/>
  <c r="Y98" i="159"/>
  <c r="Y33" i="159"/>
  <c r="Q98" i="159"/>
  <c r="Q33" i="159"/>
  <c r="I98" i="159"/>
  <c r="I33" i="159"/>
  <c r="AG97" i="159"/>
  <c r="AG32" i="159"/>
  <c r="Y97" i="159"/>
  <c r="Y32" i="159"/>
  <c r="Q97" i="159"/>
  <c r="Q32" i="159"/>
  <c r="I97" i="159"/>
  <c r="I32" i="159"/>
  <c r="D34" i="159"/>
  <c r="Z97" i="159"/>
  <c r="Z32" i="159"/>
  <c r="J97" i="159"/>
  <c r="J32" i="159"/>
  <c r="AG34" i="159"/>
  <c r="U34" i="159"/>
  <c r="M34" i="159"/>
  <c r="E34" i="159"/>
  <c r="AH24" i="159"/>
  <c r="Z24" i="159"/>
  <c r="N24" i="159"/>
  <c r="T34" i="159"/>
  <c r="AI34" i="159"/>
  <c r="S34" i="159"/>
  <c r="AF24" i="159"/>
  <c r="X24" i="159"/>
  <c r="P24" i="159"/>
  <c r="AH97" i="159"/>
  <c r="AH32" i="159"/>
  <c r="V97" i="159"/>
  <c r="V32" i="159"/>
  <c r="F97" i="159"/>
  <c r="F32" i="159"/>
  <c r="G24" i="159"/>
  <c r="AB98" i="159"/>
  <c r="AB33" i="159"/>
  <c r="T98" i="159"/>
  <c r="T33" i="159"/>
  <c r="L98" i="159"/>
  <c r="L33" i="159"/>
  <c r="AF34" i="159"/>
  <c r="P34" i="159"/>
  <c r="AI98" i="159"/>
  <c r="AI33" i="159"/>
  <c r="AA98" i="159"/>
  <c r="AA33" i="159"/>
  <c r="S98" i="159"/>
  <c r="S33" i="159"/>
  <c r="K98" i="159"/>
  <c r="K33" i="159"/>
  <c r="AF97" i="159"/>
  <c r="AF131" i="159" s="1"/>
  <c r="AF32" i="159"/>
  <c r="X97" i="159"/>
  <c r="X131" i="159" s="1"/>
  <c r="X32" i="159"/>
  <c r="P97" i="159"/>
  <c r="P32" i="159"/>
  <c r="AE34" i="159"/>
  <c r="O34" i="159"/>
  <c r="O43" i="159" s="1"/>
  <c r="O45" i="159" s="1"/>
  <c r="AH98" i="159"/>
  <c r="AH33" i="159"/>
  <c r="Z98" i="159"/>
  <c r="Z33" i="159"/>
  <c r="R98" i="159"/>
  <c r="R33" i="159"/>
  <c r="J98" i="159"/>
  <c r="J33" i="159"/>
  <c r="AI97" i="159"/>
  <c r="AI131" i="159" s="1"/>
  <c r="AI32" i="159"/>
  <c r="AA97" i="159"/>
  <c r="AA131" i="159" s="1"/>
  <c r="AA32" i="159"/>
  <c r="S97" i="159"/>
  <c r="S131" i="159" s="1"/>
  <c r="S32" i="159"/>
  <c r="K97" i="159"/>
  <c r="K131" i="159" s="1"/>
  <c r="K32" i="159"/>
  <c r="X31" i="159"/>
  <c r="AE24" i="159"/>
  <c r="S24" i="159"/>
  <c r="V24" i="159"/>
  <c r="AC98" i="159"/>
  <c r="AC33" i="159"/>
  <c r="U98" i="159"/>
  <c r="U33" i="159"/>
  <c r="M98" i="159"/>
  <c r="M33" i="159"/>
  <c r="E98" i="159"/>
  <c r="E33" i="159"/>
  <c r="AC97" i="159"/>
  <c r="AC32" i="159"/>
  <c r="U97" i="159"/>
  <c r="U32" i="159"/>
  <c r="M97" i="159"/>
  <c r="M32" i="159"/>
  <c r="E97" i="159"/>
  <c r="E32" i="159"/>
  <c r="J24" i="159"/>
  <c r="K24" i="159"/>
  <c r="R97" i="159"/>
  <c r="R32" i="159"/>
  <c r="Y34" i="159"/>
  <c r="Q34" i="159"/>
  <c r="I34" i="159"/>
  <c r="R24" i="159"/>
  <c r="L34" i="159"/>
  <c r="AA34" i="159"/>
  <c r="K34" i="159"/>
  <c r="AB24" i="159"/>
  <c r="T24" i="159"/>
  <c r="AD97" i="159"/>
  <c r="AD32" i="159"/>
  <c r="N97" i="159"/>
  <c r="N32" i="159"/>
  <c r="S43" i="159"/>
  <c r="S45" i="159" s="1"/>
  <c r="L97" i="159"/>
  <c r="L32" i="159"/>
  <c r="T131" i="159"/>
  <c r="H89" i="159"/>
  <c r="G89" i="159"/>
  <c r="F89" i="159"/>
  <c r="W131" i="159"/>
  <c r="O131" i="159"/>
  <c r="I89" i="159"/>
  <c r="E89" i="159"/>
  <c r="D24" i="159"/>
  <c r="AI89" i="159"/>
  <c r="W89" i="159"/>
  <c r="J89" i="159"/>
  <c r="K89" i="159"/>
  <c r="D89" i="159"/>
  <c r="L89" i="159"/>
  <c r="S89" i="159"/>
  <c r="AF89" i="159"/>
  <c r="AC89" i="159"/>
  <c r="T89" i="159"/>
  <c r="M89" i="159"/>
  <c r="D97" i="159"/>
  <c r="D32" i="159"/>
  <c r="AB89" i="159"/>
  <c r="AA89" i="159"/>
  <c r="Y89" i="159"/>
  <c r="O89" i="159"/>
  <c r="Z89" i="159"/>
  <c r="D98" i="159"/>
  <c r="D33" i="159"/>
  <c r="AH89" i="159"/>
  <c r="D31" i="159"/>
  <c r="V89" i="159"/>
  <c r="AG89" i="159"/>
  <c r="X89" i="159"/>
  <c r="P89" i="159"/>
  <c r="Q89" i="159"/>
  <c r="AE89" i="159"/>
  <c r="U89" i="159"/>
  <c r="N89" i="159"/>
  <c r="AD89" i="159"/>
  <c r="R89" i="159"/>
  <c r="I206" i="159"/>
  <c r="M206" i="159"/>
  <c r="U206" i="159"/>
  <c r="S207" i="159"/>
  <c r="O207" i="159"/>
  <c r="AE207" i="159"/>
  <c r="AA207" i="159"/>
  <c r="AC206" i="159"/>
  <c r="K207" i="159"/>
  <c r="P207" i="159"/>
  <c r="AB207" i="159"/>
  <c r="G207" i="159"/>
  <c r="L207" i="159"/>
  <c r="D207" i="159"/>
  <c r="AD207" i="159"/>
  <c r="AD114" i="159"/>
  <c r="V207" i="159"/>
  <c r="V114" i="159"/>
  <c r="V31" i="159" s="1"/>
  <c r="V43" i="159" s="1"/>
  <c r="V45" i="159" s="1"/>
  <c r="M207" i="159"/>
  <c r="M96" i="159"/>
  <c r="AC96" i="159"/>
  <c r="R207" i="159"/>
  <c r="R114" i="159"/>
  <c r="R31" i="159" s="1"/>
  <c r="AG96" i="159"/>
  <c r="Y207" i="159"/>
  <c r="Y96" i="159"/>
  <c r="P206" i="159"/>
  <c r="AI207" i="159"/>
  <c r="I207" i="159"/>
  <c r="I96" i="159"/>
  <c r="AH207" i="159"/>
  <c r="AH114" i="159"/>
  <c r="J207" i="159"/>
  <c r="J114" i="159"/>
  <c r="H96" i="159"/>
  <c r="W207" i="159"/>
  <c r="X207" i="159"/>
  <c r="T207" i="159"/>
  <c r="Z207" i="159"/>
  <c r="Z114" i="159"/>
  <c r="Z31" i="159" s="1"/>
  <c r="Q207" i="159"/>
  <c r="Q96" i="159"/>
  <c r="C207" i="159"/>
  <c r="C96" i="159"/>
  <c r="N207" i="159"/>
  <c r="N114" i="159"/>
  <c r="F207" i="159"/>
  <c r="F114" i="159"/>
  <c r="U207" i="159"/>
  <c r="U96" i="159"/>
  <c r="E207" i="159"/>
  <c r="E96" i="159"/>
  <c r="AA206" i="159"/>
  <c r="AI206" i="159"/>
  <c r="AF207" i="159"/>
  <c r="AF206" i="159"/>
  <c r="N206" i="159"/>
  <c r="O206" i="159"/>
  <c r="Y206" i="159"/>
  <c r="V206" i="159"/>
  <c r="K206" i="159"/>
  <c r="C206" i="159"/>
  <c r="E206" i="159"/>
  <c r="AG206" i="159"/>
  <c r="F206" i="159"/>
  <c r="AH206" i="159"/>
  <c r="Q206" i="159"/>
  <c r="AE206" i="159"/>
  <c r="L206" i="159"/>
  <c r="D206" i="159"/>
  <c r="X206" i="159"/>
  <c r="J206" i="159"/>
  <c r="AB206" i="159"/>
  <c r="G206" i="159"/>
  <c r="T206" i="159"/>
  <c r="S206" i="159"/>
  <c r="Z206" i="159"/>
  <c r="R206" i="159"/>
  <c r="W206" i="159"/>
  <c r="AD206" i="159"/>
  <c r="L43" i="159" l="1"/>
  <c r="L45" i="159" s="1"/>
  <c r="L131" i="159"/>
  <c r="Z43" i="159"/>
  <c r="Z45" i="159" s="1"/>
  <c r="K43" i="159"/>
  <c r="K45" i="159" s="1"/>
  <c r="T43" i="159"/>
  <c r="AF43" i="159"/>
  <c r="AF45" i="159" s="1"/>
  <c r="T45" i="159"/>
  <c r="F131" i="159"/>
  <c r="AD131" i="159"/>
  <c r="AI43" i="159"/>
  <c r="AI45" i="159" s="1"/>
  <c r="R43" i="159"/>
  <c r="R45" i="159" s="1"/>
  <c r="P131" i="159"/>
  <c r="AE43" i="159"/>
  <c r="AE45" i="159" s="1"/>
  <c r="AA43" i="159"/>
  <c r="AA45" i="159" s="1"/>
  <c r="G45" i="159"/>
  <c r="P43" i="159"/>
  <c r="P45" i="159" s="1"/>
  <c r="Z131" i="159"/>
  <c r="AC131" i="159"/>
  <c r="AC31" i="159"/>
  <c r="AC43" i="159" s="1"/>
  <c r="AC45" i="159" s="1"/>
  <c r="E131" i="159"/>
  <c r="E31" i="159"/>
  <c r="E43" i="159" s="1"/>
  <c r="E45" i="159" s="1"/>
  <c r="H131" i="159"/>
  <c r="H31" i="159"/>
  <c r="H43" i="159" s="1"/>
  <c r="H45" i="159" s="1"/>
  <c r="R131" i="159"/>
  <c r="U131" i="159"/>
  <c r="U31" i="159"/>
  <c r="U43" i="159" s="1"/>
  <c r="U45" i="159" s="1"/>
  <c r="N131" i="159"/>
  <c r="Q131" i="159"/>
  <c r="Q31" i="159"/>
  <c r="Q43" i="159" s="1"/>
  <c r="Q45" i="159" s="1"/>
  <c r="J131" i="159"/>
  <c r="I131" i="159"/>
  <c r="I31" i="159"/>
  <c r="I43" i="159" s="1"/>
  <c r="I45" i="159" s="1"/>
  <c r="Y131" i="159"/>
  <c r="Y31" i="159"/>
  <c r="Y43" i="159" s="1"/>
  <c r="Y45" i="159" s="1"/>
  <c r="V131" i="159"/>
  <c r="D43" i="159"/>
  <c r="D45" i="159" s="1"/>
  <c r="X43" i="159"/>
  <c r="X45" i="159" s="1"/>
  <c r="N31" i="159"/>
  <c r="N43" i="159" s="1"/>
  <c r="N45" i="159" s="1"/>
  <c r="F31" i="159"/>
  <c r="F43" i="159" s="1"/>
  <c r="F45" i="159" s="1"/>
  <c r="J31" i="159"/>
  <c r="J43" i="159" s="1"/>
  <c r="J45" i="159" s="1"/>
  <c r="AH131" i="159"/>
  <c r="AG131" i="159"/>
  <c r="AG31" i="159"/>
  <c r="AG43" i="159" s="1"/>
  <c r="AG45" i="159" s="1"/>
  <c r="M131" i="159"/>
  <c r="M31" i="159"/>
  <c r="M43" i="159" s="1"/>
  <c r="M45" i="159" s="1"/>
  <c r="AH31" i="159"/>
  <c r="AH43" i="159" s="1"/>
  <c r="AH45" i="159" s="1"/>
  <c r="AB43" i="159"/>
  <c r="AB45" i="159" s="1"/>
  <c r="AD31" i="159"/>
  <c r="AD43" i="159" s="1"/>
  <c r="AD45" i="159" s="1"/>
  <c r="D131" i="159"/>
  <c r="M208" i="159"/>
  <c r="M210" i="159" s="1"/>
  <c r="I208" i="159"/>
  <c r="I210" i="159" s="1"/>
  <c r="Y208" i="159"/>
  <c r="Y210" i="159" s="1"/>
  <c r="U208" i="159"/>
  <c r="U210" i="159" s="1"/>
  <c r="AB208" i="159"/>
  <c r="AB210" i="159" s="1"/>
  <c r="O208" i="159"/>
  <c r="O210" i="159" s="1"/>
  <c r="C208" i="159"/>
  <c r="C210" i="159" s="1"/>
  <c r="H207" i="159"/>
  <c r="H208" i="159" s="1"/>
  <c r="H210" i="159" s="1"/>
  <c r="P208" i="159"/>
  <c r="P210" i="159" s="1"/>
  <c r="AE208" i="159"/>
  <c r="AE210" i="159" s="1"/>
  <c r="AI208" i="159"/>
  <c r="AI210" i="159" s="1"/>
  <c r="L208" i="159"/>
  <c r="L210" i="159" s="1"/>
  <c r="K208" i="159"/>
  <c r="K210" i="159" s="1"/>
  <c r="D208" i="159"/>
  <c r="D210" i="159" s="1"/>
  <c r="N208" i="159"/>
  <c r="N210" i="159" s="1"/>
  <c r="T208" i="159"/>
  <c r="T210" i="159" s="1"/>
  <c r="X208" i="159"/>
  <c r="X210" i="159" s="1"/>
  <c r="Q208" i="159"/>
  <c r="Q210" i="159" s="1"/>
  <c r="E208" i="159"/>
  <c r="E210" i="159" s="1"/>
  <c r="AF208" i="159"/>
  <c r="AF210" i="159" s="1"/>
  <c r="AA208" i="159"/>
  <c r="AA210" i="159" s="1"/>
  <c r="AG207" i="159"/>
  <c r="AG208" i="159" s="1"/>
  <c r="AG210" i="159" s="1"/>
  <c r="AC207" i="159"/>
  <c r="AC208" i="159" s="1"/>
  <c r="AC210" i="159" s="1"/>
  <c r="AD208" i="159"/>
  <c r="AD210" i="159" s="1"/>
  <c r="F208" i="159"/>
  <c r="F210" i="159" s="1"/>
  <c r="W208" i="159"/>
  <c r="W210" i="159" s="1"/>
  <c r="G208" i="159"/>
  <c r="G210" i="159" s="1"/>
  <c r="S208" i="159"/>
  <c r="S210" i="159" s="1"/>
  <c r="Z208" i="159"/>
  <c r="Z210" i="159" s="1"/>
  <c r="V208" i="159"/>
  <c r="V210" i="159" s="1"/>
  <c r="AH208" i="159"/>
  <c r="AH210" i="159" s="1"/>
  <c r="J208" i="159"/>
  <c r="J210" i="159" s="1"/>
  <c r="R208" i="159"/>
  <c r="R210" i="159" s="1"/>
  <c r="E62" i="158" l="1"/>
  <c r="F62" i="158" s="1"/>
  <c r="C62" i="158"/>
  <c r="D62" i="158" s="1"/>
  <c r="C61" i="158"/>
  <c r="D61" i="158" s="1"/>
  <c r="C60" i="158"/>
  <c r="D60" i="158" s="1"/>
  <c r="C59" i="158"/>
  <c r="D59" i="158" s="1"/>
  <c r="C58" i="158"/>
  <c r="D58" i="158" s="1"/>
  <c r="B31" i="158"/>
  <c r="F30" i="158"/>
  <c r="F29" i="158"/>
  <c r="F28" i="158"/>
  <c r="F27" i="158"/>
  <c r="F26" i="158"/>
  <c r="F25" i="158"/>
  <c r="F24" i="158"/>
  <c r="F23" i="158"/>
  <c r="F22" i="158"/>
  <c r="F21" i="158"/>
  <c r="F20" i="158"/>
  <c r="F19" i="158"/>
  <c r="F18" i="158"/>
  <c r="F17" i="158"/>
  <c r="F13" i="158"/>
  <c r="F12" i="158"/>
  <c r="F11" i="158"/>
  <c r="F10" i="158"/>
  <c r="F9" i="158"/>
  <c r="F8" i="158"/>
  <c r="F7" i="158"/>
  <c r="F6" i="158"/>
  <c r="I17" i="7" l="1"/>
  <c r="S141" i="182" s="1"/>
  <c r="T141" i="182" l="1"/>
  <c r="W141" i="182"/>
  <c r="F15" i="129"/>
  <c r="I74" i="137" l="1"/>
  <c r="T225" i="66" l="1"/>
  <c r="U224" i="66"/>
  <c r="Q30" i="29" l="1"/>
  <c r="R30" i="29" s="1"/>
  <c r="Q29" i="29"/>
  <c r="R29" i="29" s="1"/>
  <c r="P69" i="30"/>
  <c r="P68" i="30"/>
  <c r="P67" i="30"/>
  <c r="P66" i="30"/>
  <c r="P65" i="30"/>
  <c r="P64" i="30"/>
  <c r="P63" i="30"/>
  <c r="P62" i="30"/>
  <c r="P61" i="30"/>
  <c r="P60" i="30"/>
  <c r="R60" i="30" s="1"/>
  <c r="P59" i="30"/>
  <c r="P58" i="30"/>
  <c r="P57" i="30"/>
  <c r="P54" i="30"/>
  <c r="P53" i="30"/>
  <c r="P52" i="30"/>
  <c r="P54" i="33"/>
  <c r="P53" i="33"/>
  <c r="P52" i="33"/>
  <c r="R52" i="33" s="1"/>
  <c r="P51" i="33"/>
  <c r="P50" i="33"/>
  <c r="P49" i="33"/>
  <c r="P48" i="33"/>
  <c r="R48" i="33" s="1"/>
  <c r="P46" i="33"/>
  <c r="P45" i="33"/>
  <c r="P43" i="33"/>
  <c r="P42" i="33"/>
  <c r="P40" i="33"/>
  <c r="R40" i="33" s="1"/>
  <c r="D39" i="33"/>
  <c r="P81" i="34"/>
  <c r="Q81" i="34" s="1"/>
  <c r="R81" i="34" s="1"/>
  <c r="P80" i="34"/>
  <c r="Q80" i="34" s="1"/>
  <c r="R80" i="34" s="1"/>
  <c r="P79" i="34"/>
  <c r="Q79" i="34" s="1"/>
  <c r="R79" i="34" s="1"/>
  <c r="P78" i="34"/>
  <c r="Q78" i="34" s="1"/>
  <c r="R78" i="34" s="1"/>
  <c r="P77" i="34"/>
  <c r="Q77" i="34" s="1"/>
  <c r="R77" i="34" s="1"/>
  <c r="P75" i="34"/>
  <c r="Q75" i="34" s="1"/>
  <c r="R75" i="34" s="1"/>
  <c r="P74" i="34"/>
  <c r="Q74" i="34" s="1"/>
  <c r="R74" i="34" s="1"/>
  <c r="P72" i="34"/>
  <c r="P71" i="34"/>
  <c r="P70" i="34"/>
  <c r="Q70" i="34" s="1"/>
  <c r="R70" i="34" s="1"/>
  <c r="Q69" i="34"/>
  <c r="R69" i="34" s="1"/>
  <c r="Q68" i="34"/>
  <c r="R68" i="34" s="1"/>
  <c r="P67" i="34"/>
  <c r="Q67" i="34" s="1"/>
  <c r="R67" i="34" s="1"/>
  <c r="Q66" i="34"/>
  <c r="R66" i="34" s="1"/>
  <c r="Q65" i="34"/>
  <c r="R65" i="34" s="1"/>
  <c r="P64" i="34"/>
  <c r="Q64" i="34" s="1"/>
  <c r="R64" i="34" s="1"/>
  <c r="Q63" i="34"/>
  <c r="R63" i="34" s="1"/>
  <c r="P61" i="34"/>
  <c r="P60" i="34"/>
  <c r="P59" i="34"/>
  <c r="P58" i="34"/>
  <c r="C68" i="34"/>
  <c r="E66" i="34"/>
  <c r="D66" i="34"/>
  <c r="C66" i="34"/>
  <c r="P75" i="35"/>
  <c r="P74" i="35"/>
  <c r="P73" i="35"/>
  <c r="P72" i="35"/>
  <c r="P71" i="35"/>
  <c r="P70" i="35"/>
  <c r="P69" i="35"/>
  <c r="P68" i="35"/>
  <c r="P67" i="35"/>
  <c r="P66" i="35"/>
  <c r="P65" i="35"/>
  <c r="P63" i="35"/>
  <c r="P62" i="35"/>
  <c r="P57" i="35"/>
  <c r="P22" i="36"/>
  <c r="P44" i="149"/>
  <c r="P43" i="149"/>
  <c r="P41" i="77"/>
  <c r="P40" i="77"/>
  <c r="P38" i="77"/>
  <c r="P37" i="77"/>
  <c r="P36" i="77"/>
  <c r="P35" i="77"/>
  <c r="P34" i="77"/>
  <c r="P33" i="77"/>
  <c r="P32" i="77"/>
  <c r="P31" i="77"/>
  <c r="P30" i="77"/>
  <c r="D41" i="77"/>
  <c r="D40" i="77"/>
  <c r="P88" i="38"/>
  <c r="P87" i="38"/>
  <c r="P86" i="38"/>
  <c r="P85" i="38"/>
  <c r="P84" i="38"/>
  <c r="P82" i="38"/>
  <c r="P79" i="38"/>
  <c r="P78" i="38"/>
  <c r="P75" i="38"/>
  <c r="P74" i="38"/>
  <c r="P73" i="38"/>
  <c r="P72" i="38"/>
  <c r="P71" i="38"/>
  <c r="P67" i="38"/>
  <c r="P66" i="38"/>
  <c r="C73" i="38"/>
  <c r="P55" i="40"/>
  <c r="P54" i="40"/>
  <c r="P53" i="40"/>
  <c r="P52" i="40"/>
  <c r="P51" i="40"/>
  <c r="P50" i="40"/>
  <c r="P29" i="41"/>
  <c r="P28" i="41"/>
  <c r="P27" i="41"/>
  <c r="P26" i="41"/>
  <c r="P25" i="41"/>
  <c r="P24" i="41"/>
  <c r="P49" i="87"/>
  <c r="P75" i="87" s="1"/>
  <c r="P136" i="43"/>
  <c r="P135" i="43"/>
  <c r="P134" i="43"/>
  <c r="P133" i="43"/>
  <c r="P132" i="43"/>
  <c r="P131" i="43"/>
  <c r="P130" i="43"/>
  <c r="P129" i="43"/>
  <c r="P128" i="43"/>
  <c r="R128" i="43" s="1"/>
  <c r="P127" i="43"/>
  <c r="P126" i="43"/>
  <c r="P125" i="43"/>
  <c r="P124" i="43"/>
  <c r="P121" i="43"/>
  <c r="P120" i="43"/>
  <c r="P119" i="43"/>
  <c r="P118" i="43"/>
  <c r="P117" i="43"/>
  <c r="P116" i="43"/>
  <c r="R116" i="43" s="1"/>
  <c r="P114" i="43"/>
  <c r="P113" i="43"/>
  <c r="P112" i="43"/>
  <c r="P111" i="43"/>
  <c r="P110" i="43"/>
  <c r="P109" i="43"/>
  <c r="R109" i="43" s="1"/>
  <c r="P108" i="43"/>
  <c r="P107" i="43"/>
  <c r="R107" i="43" s="1"/>
  <c r="P106" i="43"/>
  <c r="R106" i="43" s="1"/>
  <c r="P105" i="43"/>
  <c r="R105" i="43" s="1"/>
  <c r="P102" i="43"/>
  <c r="P101" i="43"/>
  <c r="P100" i="43"/>
  <c r="P99" i="43"/>
  <c r="P98" i="43"/>
  <c r="P96" i="43"/>
  <c r="P95" i="43"/>
  <c r="P94" i="43"/>
  <c r="C126" i="43"/>
  <c r="D94" i="43"/>
  <c r="C94" i="43"/>
  <c r="D93" i="43"/>
  <c r="P59" i="60"/>
  <c r="P58" i="60"/>
  <c r="P57" i="60"/>
  <c r="P56" i="60"/>
  <c r="P55" i="60"/>
  <c r="P54" i="60"/>
  <c r="P53" i="60"/>
  <c r="P52" i="60"/>
  <c r="P50" i="60"/>
  <c r="P49" i="60"/>
  <c r="P48" i="60"/>
  <c r="P47" i="60"/>
  <c r="Q66" i="44"/>
  <c r="R66" i="44" s="1"/>
  <c r="Q65" i="44"/>
  <c r="R65" i="44" s="1"/>
  <c r="Q64" i="44"/>
  <c r="R64" i="44" s="1"/>
  <c r="Q62" i="44"/>
  <c r="R62" i="44" s="1"/>
  <c r="Q61" i="44"/>
  <c r="Q60" i="44"/>
  <c r="R60" i="44" s="1"/>
  <c r="Q59" i="44"/>
  <c r="R59" i="44" s="1"/>
  <c r="Q58" i="44"/>
  <c r="R58" i="44" s="1"/>
  <c r="P56" i="44"/>
  <c r="P54" i="44"/>
  <c r="P53" i="44"/>
  <c r="P52" i="44"/>
  <c r="P51" i="44"/>
  <c r="Q50" i="44"/>
  <c r="R50" i="44" s="1"/>
  <c r="P20" i="45"/>
  <c r="P22" i="45" s="1"/>
  <c r="Q22" i="45" s="1"/>
  <c r="R22" i="45" s="1"/>
  <c r="P23" i="46"/>
  <c r="P28" i="46" s="1"/>
  <c r="Q28" i="46" s="1"/>
  <c r="R28" i="46" s="1"/>
  <c r="P18" i="48"/>
  <c r="P20" i="48" s="1"/>
  <c r="Q20" i="48" s="1"/>
  <c r="R20" i="48" s="1"/>
  <c r="Q30" i="86"/>
  <c r="R30" i="86" s="1"/>
  <c r="Q29" i="86"/>
  <c r="R29" i="86" s="1"/>
  <c r="Q28" i="86"/>
  <c r="R28" i="86" s="1"/>
  <c r="Q27" i="86"/>
  <c r="R27" i="86" s="1"/>
  <c r="Q26" i="86"/>
  <c r="R26" i="86" s="1"/>
  <c r="Q25" i="86"/>
  <c r="R25" i="86" s="1"/>
  <c r="E29" i="86"/>
  <c r="E26" i="86" s="1"/>
  <c r="C29" i="86"/>
  <c r="C26" i="86" s="1"/>
  <c r="D26" i="86"/>
  <c r="P43" i="56"/>
  <c r="P42" i="56"/>
  <c r="P41" i="56"/>
  <c r="P40" i="56"/>
  <c r="P39" i="56"/>
  <c r="P38" i="56"/>
  <c r="P37" i="56"/>
  <c r="P36" i="56"/>
  <c r="P35" i="56"/>
  <c r="D35" i="56"/>
  <c r="D34" i="56"/>
  <c r="P100" i="17"/>
  <c r="P99" i="17"/>
  <c r="P98" i="17"/>
  <c r="P97" i="17"/>
  <c r="P96" i="17"/>
  <c r="P94" i="17"/>
  <c r="P93" i="17"/>
  <c r="P92" i="17"/>
  <c r="P91" i="17"/>
  <c r="P90" i="17"/>
  <c r="P89" i="17"/>
  <c r="P88" i="17"/>
  <c r="P87" i="17"/>
  <c r="P86" i="17"/>
  <c r="P85" i="17"/>
  <c r="P84" i="17"/>
  <c r="P83" i="17"/>
  <c r="P82" i="17"/>
  <c r="P81" i="17"/>
  <c r="P80" i="17"/>
  <c r="P78" i="17"/>
  <c r="P77" i="17"/>
  <c r="P76" i="17"/>
  <c r="P75" i="17"/>
  <c r="P74" i="17"/>
  <c r="P73" i="17"/>
  <c r="P72" i="17"/>
  <c r="P71" i="17"/>
  <c r="P70" i="17"/>
  <c r="P69" i="17"/>
  <c r="P68" i="17"/>
  <c r="P67" i="17"/>
  <c r="P65" i="17"/>
  <c r="P64" i="17"/>
  <c r="D65" i="17"/>
  <c r="D64" i="17"/>
  <c r="C64" i="17"/>
  <c r="D63" i="17"/>
  <c r="P33" i="23"/>
  <c r="P31" i="23"/>
  <c r="P29" i="23"/>
  <c r="P28" i="23"/>
  <c r="D28" i="23"/>
  <c r="D27" i="23"/>
  <c r="P32" i="18"/>
  <c r="P30" i="18"/>
  <c r="P29" i="18"/>
  <c r="P28" i="18"/>
  <c r="P26" i="18"/>
  <c r="D27" i="18"/>
  <c r="P47" i="22"/>
  <c r="P46" i="22"/>
  <c r="P42" i="22"/>
  <c r="P41" i="22"/>
  <c r="P40" i="22"/>
  <c r="P39" i="22"/>
  <c r="P38" i="22"/>
  <c r="P35" i="22"/>
  <c r="F13" i="22"/>
  <c r="F25" i="22"/>
  <c r="D37" i="22"/>
  <c r="P28" i="7"/>
  <c r="P83" i="8"/>
  <c r="P82" i="8"/>
  <c r="P81" i="8"/>
  <c r="P79" i="8"/>
  <c r="P78" i="8"/>
  <c r="P77" i="8"/>
  <c r="P75" i="8"/>
  <c r="P74" i="8"/>
  <c r="P73" i="8"/>
  <c r="P72" i="8"/>
  <c r="P71" i="8"/>
  <c r="P67" i="8"/>
  <c r="P65" i="8"/>
  <c r="P64" i="8"/>
  <c r="P63" i="8"/>
  <c r="P62" i="8"/>
  <c r="P61" i="8"/>
  <c r="D58" i="8"/>
  <c r="P50" i="9"/>
  <c r="P49" i="9"/>
  <c r="P48" i="9"/>
  <c r="P47" i="9"/>
  <c r="P46" i="9"/>
  <c r="P45" i="9"/>
  <c r="P44" i="9"/>
  <c r="P42" i="9"/>
  <c r="P41" i="9"/>
  <c r="P40" i="9"/>
  <c r="P21" i="10"/>
  <c r="Q75" i="11"/>
  <c r="P105" i="11"/>
  <c r="P104" i="11"/>
  <c r="P103" i="11"/>
  <c r="P102" i="11"/>
  <c r="P100" i="11"/>
  <c r="P99" i="11"/>
  <c r="P98" i="11"/>
  <c r="P97" i="11"/>
  <c r="P95" i="11"/>
  <c r="P94" i="11"/>
  <c r="P93" i="11"/>
  <c r="P91" i="11"/>
  <c r="P90" i="11"/>
  <c r="P89" i="11"/>
  <c r="P86" i="11"/>
  <c r="P85" i="11"/>
  <c r="P84" i="11"/>
  <c r="P83" i="11"/>
  <c r="P82" i="11"/>
  <c r="P81" i="11"/>
  <c r="P79" i="11"/>
  <c r="Q45" i="49"/>
  <c r="Q57" i="49"/>
  <c r="R57" i="49" s="1"/>
  <c r="Q56" i="49"/>
  <c r="R56" i="49" s="1"/>
  <c r="Q55" i="49"/>
  <c r="Q54" i="49"/>
  <c r="R54" i="49" s="1"/>
  <c r="Q53" i="49"/>
  <c r="R53" i="49" s="1"/>
  <c r="Q52" i="49"/>
  <c r="R52" i="49" s="1"/>
  <c r="Q51" i="49"/>
  <c r="R51" i="49" s="1"/>
  <c r="P48" i="49"/>
  <c r="AA225" i="66"/>
  <c r="P50" i="49"/>
  <c r="P48" i="22"/>
  <c r="P43" i="22"/>
  <c r="P70" i="38"/>
  <c r="S11" i="32"/>
  <c r="S14" i="32" s="1"/>
  <c r="Q65" i="30" l="1"/>
  <c r="R65" i="30"/>
  <c r="Q61" i="30"/>
  <c r="R61" i="30"/>
  <c r="Q22" i="10"/>
  <c r="R22" i="10" s="1"/>
  <c r="Q23" i="10"/>
  <c r="R23" i="10" s="1"/>
  <c r="Q24" i="10"/>
  <c r="R24" i="10" s="1"/>
  <c r="P31" i="41"/>
  <c r="P26" i="10"/>
  <c r="Q21" i="10"/>
  <c r="T14" i="32"/>
  <c r="S42" i="66" s="1"/>
  <c r="M11" i="129" s="1"/>
  <c r="Q63" i="8"/>
  <c r="R63" i="8" s="1"/>
  <c r="Q65" i="8"/>
  <c r="R65" i="8" s="1"/>
  <c r="Q64" i="8"/>
  <c r="R64" i="8" s="1"/>
  <c r="Q67" i="8"/>
  <c r="R67" i="8" s="1"/>
  <c r="O26" i="10"/>
  <c r="Q62" i="30"/>
  <c r="R62" i="30" s="1"/>
  <c r="Q63" i="30"/>
  <c r="R63" i="30" s="1"/>
  <c r="Q67" i="30"/>
  <c r="R67" i="30" s="1"/>
  <c r="Q64" i="30"/>
  <c r="R64" i="30" s="1"/>
  <c r="Q68" i="30"/>
  <c r="R68" i="30" s="1"/>
  <c r="R42" i="66"/>
  <c r="L11" i="129" s="1"/>
  <c r="P26" i="36"/>
  <c r="Q26" i="36" s="1"/>
  <c r="R26" i="36" s="1"/>
  <c r="P57" i="149"/>
  <c r="Q57" i="149" s="1"/>
  <c r="R57" i="149" s="1"/>
  <c r="P43" i="77"/>
  <c r="Q43" i="77" s="1"/>
  <c r="R43" i="77" s="1"/>
  <c r="Q60" i="30"/>
  <c r="Q69" i="30"/>
  <c r="R69" i="30" s="1"/>
  <c r="Q66" i="30"/>
  <c r="R66" i="30" s="1"/>
  <c r="Q59" i="30"/>
  <c r="R59" i="30" s="1"/>
  <c r="Q58" i="30"/>
  <c r="R58" i="30" s="1"/>
  <c r="Q57" i="30"/>
  <c r="R57" i="30" s="1"/>
  <c r="Q79" i="11"/>
  <c r="R79" i="11" s="1"/>
  <c r="Q84" i="11"/>
  <c r="R84" i="11" s="1"/>
  <c r="Q90" i="11"/>
  <c r="R90" i="11" s="1"/>
  <c r="Q95" i="11"/>
  <c r="R95" i="11" s="1"/>
  <c r="Q100" i="11"/>
  <c r="R100" i="11" s="1"/>
  <c r="Q105" i="11"/>
  <c r="R105" i="11" s="1"/>
  <c r="Q42" i="9"/>
  <c r="R42" i="9" s="1"/>
  <c r="Q47" i="9"/>
  <c r="R47" i="9"/>
  <c r="Q38" i="22"/>
  <c r="R38" i="22"/>
  <c r="Q42" i="22"/>
  <c r="R42" i="22" s="1"/>
  <c r="Q26" i="18"/>
  <c r="R26" i="18" s="1"/>
  <c r="Q32" i="18"/>
  <c r="R32" i="18" s="1"/>
  <c r="Q29" i="23"/>
  <c r="R29" i="23" s="1"/>
  <c r="Q65" i="17"/>
  <c r="R65" i="17" s="1"/>
  <c r="Q70" i="17"/>
  <c r="R70" i="17" s="1"/>
  <c r="Q74" i="17"/>
  <c r="R74" i="17"/>
  <c r="Q78" i="17"/>
  <c r="R78" i="17" s="1"/>
  <c r="Q83" i="17"/>
  <c r="R83" i="17" s="1"/>
  <c r="Q87" i="17"/>
  <c r="R87" i="17" s="1"/>
  <c r="Q91" i="17"/>
  <c r="R91" i="17" s="1"/>
  <c r="Q96" i="17"/>
  <c r="R96" i="17" s="1"/>
  <c r="Q100" i="17"/>
  <c r="R100" i="17" s="1"/>
  <c r="Q36" i="56"/>
  <c r="R36" i="56" s="1"/>
  <c r="Q40" i="56"/>
  <c r="R40" i="56" s="1"/>
  <c r="Q54" i="44"/>
  <c r="R54" i="44" s="1"/>
  <c r="Q58" i="60"/>
  <c r="R58" i="60" s="1"/>
  <c r="Q49" i="87"/>
  <c r="Q27" i="41"/>
  <c r="R27" i="41"/>
  <c r="Q55" i="40"/>
  <c r="R55" i="40" s="1"/>
  <c r="Q60" i="40"/>
  <c r="R60" i="40" s="1"/>
  <c r="Q67" i="38"/>
  <c r="R67" i="38" s="1"/>
  <c r="Q74" i="38"/>
  <c r="R74" i="38" s="1"/>
  <c r="Q82" i="38"/>
  <c r="R82" i="38" s="1"/>
  <c r="Q87" i="38"/>
  <c r="R87" i="38" s="1"/>
  <c r="Q57" i="35"/>
  <c r="R57" i="35" s="1"/>
  <c r="Q66" i="35"/>
  <c r="R66" i="35" s="1"/>
  <c r="Q70" i="35"/>
  <c r="R70" i="35" s="1"/>
  <c r="Q74" i="35"/>
  <c r="R74" i="35" s="1"/>
  <c r="Q72" i="34"/>
  <c r="R72" i="34"/>
  <c r="Q45" i="33"/>
  <c r="R45" i="33" s="1"/>
  <c r="Q50" i="33"/>
  <c r="R50" i="33" s="1"/>
  <c r="Q54" i="33"/>
  <c r="R54" i="33" s="1"/>
  <c r="Q91" i="11"/>
  <c r="R91" i="11"/>
  <c r="Q102" i="11"/>
  <c r="R102" i="11" s="1"/>
  <c r="Q44" i="9"/>
  <c r="R44" i="9" s="1"/>
  <c r="Q48" i="9"/>
  <c r="R48" i="9" s="1"/>
  <c r="Q39" i="22"/>
  <c r="R39" i="22" s="1"/>
  <c r="Q46" i="22"/>
  <c r="R46" i="22" s="1"/>
  <c r="Q28" i="18"/>
  <c r="R28" i="18" s="1"/>
  <c r="Q31" i="23"/>
  <c r="R31" i="23" s="1"/>
  <c r="Q67" i="17"/>
  <c r="R67" i="17" s="1"/>
  <c r="Q71" i="17"/>
  <c r="R71" i="17" s="1"/>
  <c r="Q75" i="17"/>
  <c r="R75" i="17" s="1"/>
  <c r="Q80" i="17"/>
  <c r="R80" i="17" s="1"/>
  <c r="Q84" i="17"/>
  <c r="R84" i="17" s="1"/>
  <c r="Q88" i="17"/>
  <c r="R88" i="17" s="1"/>
  <c r="Q92" i="17"/>
  <c r="R92" i="17" s="1"/>
  <c r="Q97" i="17"/>
  <c r="R97" i="17" s="1"/>
  <c r="Q37" i="56"/>
  <c r="R37" i="56" s="1"/>
  <c r="Q41" i="56"/>
  <c r="R41" i="56" s="1"/>
  <c r="Q18" i="48"/>
  <c r="R18" i="48" s="1"/>
  <c r="Q51" i="44"/>
  <c r="R51" i="44" s="1"/>
  <c r="Q56" i="44"/>
  <c r="R56" i="44" s="1"/>
  <c r="Q24" i="41"/>
  <c r="R24" i="41" s="1"/>
  <c r="Q28" i="41"/>
  <c r="R28" i="41" s="1"/>
  <c r="Q52" i="40"/>
  <c r="R52" i="40" s="1"/>
  <c r="Q57" i="40"/>
  <c r="R57" i="40" s="1"/>
  <c r="Q61" i="40"/>
  <c r="R61" i="40" s="1"/>
  <c r="Q66" i="38"/>
  <c r="R66" i="38" s="1"/>
  <c r="Q71" i="38"/>
  <c r="R71" i="38" s="1"/>
  <c r="Q75" i="38"/>
  <c r="R75" i="38" s="1"/>
  <c r="Q84" i="38"/>
  <c r="R84" i="38" s="1"/>
  <c r="Q88" i="38"/>
  <c r="R88" i="38" s="1"/>
  <c r="Q62" i="35"/>
  <c r="R62" i="35" s="1"/>
  <c r="Q67" i="35"/>
  <c r="R67" i="35"/>
  <c r="Q71" i="35"/>
  <c r="R71" i="35"/>
  <c r="Q75" i="35"/>
  <c r="R75" i="35" s="1"/>
  <c r="Q40" i="33"/>
  <c r="Q46" i="33"/>
  <c r="R46" i="33" s="1"/>
  <c r="Q51" i="33"/>
  <c r="R51" i="33" s="1"/>
  <c r="Q81" i="11"/>
  <c r="R81" i="11"/>
  <c r="Q97" i="11"/>
  <c r="R97" i="11" s="1"/>
  <c r="Q98" i="11"/>
  <c r="R98" i="11" s="1"/>
  <c r="Q40" i="9"/>
  <c r="R40" i="9" s="1"/>
  <c r="Q49" i="9"/>
  <c r="R49" i="9" s="1"/>
  <c r="Q28" i="7"/>
  <c r="R28" i="7" s="1"/>
  <c r="Q40" i="22"/>
  <c r="R40" i="22" s="1"/>
  <c r="Q47" i="22"/>
  <c r="R47" i="22" s="1"/>
  <c r="Q29" i="18"/>
  <c r="R29" i="18" s="1"/>
  <c r="Q33" i="23"/>
  <c r="R33" i="23" s="1"/>
  <c r="Q68" i="17"/>
  <c r="R68" i="17" s="1"/>
  <c r="Q72" i="17"/>
  <c r="R72" i="17" s="1"/>
  <c r="Q76" i="17"/>
  <c r="R76" i="17" s="1"/>
  <c r="Q81" i="17"/>
  <c r="R81" i="17" s="1"/>
  <c r="Q85" i="17"/>
  <c r="R85" i="17"/>
  <c r="Q89" i="17"/>
  <c r="R89" i="17" s="1"/>
  <c r="Q93" i="17"/>
  <c r="R93" i="17" s="1"/>
  <c r="Q98" i="17"/>
  <c r="R98" i="17" s="1"/>
  <c r="Q38" i="56"/>
  <c r="R38" i="56" s="1"/>
  <c r="Q42" i="56"/>
  <c r="R42" i="56" s="1"/>
  <c r="Q23" i="46"/>
  <c r="R23" i="46" s="1"/>
  <c r="Q52" i="44"/>
  <c r="R52" i="44" s="1"/>
  <c r="Q25" i="41"/>
  <c r="R25" i="41" s="1"/>
  <c r="Q29" i="41"/>
  <c r="R29" i="41"/>
  <c r="Q53" i="40"/>
  <c r="R53" i="40"/>
  <c r="Q58" i="40"/>
  <c r="R58" i="40" s="1"/>
  <c r="Q62" i="40"/>
  <c r="R62" i="40" s="1"/>
  <c r="Q72" i="38"/>
  <c r="R72" i="38" s="1"/>
  <c r="Q78" i="38"/>
  <c r="R78" i="38"/>
  <c r="Q85" i="38"/>
  <c r="R85" i="38" s="1"/>
  <c r="Q63" i="35"/>
  <c r="R63" i="35" s="1"/>
  <c r="Q68" i="35"/>
  <c r="R68" i="35" s="1"/>
  <c r="Q72" i="35"/>
  <c r="R72" i="35" s="1"/>
  <c r="Q42" i="33"/>
  <c r="R42" i="33" s="1"/>
  <c r="Q48" i="33"/>
  <c r="Q52" i="33"/>
  <c r="Q85" i="11"/>
  <c r="R85" i="11" s="1"/>
  <c r="Q82" i="11"/>
  <c r="R82" i="11"/>
  <c r="Q86" i="11"/>
  <c r="R86" i="11" s="1"/>
  <c r="Q93" i="11"/>
  <c r="R93" i="11" s="1"/>
  <c r="Q103" i="11"/>
  <c r="R103" i="11" s="1"/>
  <c r="Q45" i="9"/>
  <c r="R45" i="9" s="1"/>
  <c r="Q43" i="22"/>
  <c r="R43" i="22" s="1"/>
  <c r="Q83" i="11"/>
  <c r="R83" i="11" s="1"/>
  <c r="Q89" i="11"/>
  <c r="R89" i="11" s="1"/>
  <c r="Q94" i="11"/>
  <c r="R94" i="11" s="1"/>
  <c r="Q99" i="11"/>
  <c r="R99" i="11" s="1"/>
  <c r="Q104" i="11"/>
  <c r="R104" i="11" s="1"/>
  <c r="Q41" i="9"/>
  <c r="R41" i="9" s="1"/>
  <c r="Q46" i="9"/>
  <c r="R46" i="9" s="1"/>
  <c r="Q50" i="9"/>
  <c r="R50" i="9" s="1"/>
  <c r="Q41" i="22"/>
  <c r="R41" i="22" s="1"/>
  <c r="Q30" i="18"/>
  <c r="R30" i="18" s="1"/>
  <c r="Q28" i="23"/>
  <c r="R28" i="23" s="1"/>
  <c r="Q64" i="17"/>
  <c r="R64" i="17" s="1"/>
  <c r="Q69" i="17"/>
  <c r="R69" i="17" s="1"/>
  <c r="Q73" i="17"/>
  <c r="R73" i="17" s="1"/>
  <c r="Q77" i="17"/>
  <c r="R77" i="17" s="1"/>
  <c r="Q82" i="17"/>
  <c r="R82" i="17" s="1"/>
  <c r="Q86" i="17"/>
  <c r="R86" i="17" s="1"/>
  <c r="Q90" i="17"/>
  <c r="R90" i="17" s="1"/>
  <c r="Q94" i="17"/>
  <c r="R94" i="17"/>
  <c r="Q99" i="17"/>
  <c r="R99" i="17" s="1"/>
  <c r="Q35" i="56"/>
  <c r="R35" i="56" s="1"/>
  <c r="Q39" i="56"/>
  <c r="R39" i="56" s="1"/>
  <c r="Q43" i="56"/>
  <c r="R43" i="56" s="1"/>
  <c r="Q20" i="45"/>
  <c r="R20" i="45" s="1"/>
  <c r="Q53" i="44"/>
  <c r="R53" i="44" s="1"/>
  <c r="Q57" i="60"/>
  <c r="R57" i="60" s="1"/>
  <c r="Q26" i="41"/>
  <c r="R26" i="41" s="1"/>
  <c r="Q50" i="40"/>
  <c r="R50" i="40"/>
  <c r="Q54" i="40"/>
  <c r="R54" i="40" s="1"/>
  <c r="Q59" i="40"/>
  <c r="R59" i="40" s="1"/>
  <c r="Q63" i="40"/>
  <c r="R63" i="40" s="1"/>
  <c r="Q73" i="38"/>
  <c r="R73" i="38" s="1"/>
  <c r="Q79" i="38"/>
  <c r="R79" i="38" s="1"/>
  <c r="Q86" i="38"/>
  <c r="R86" i="38" s="1"/>
  <c r="Q43" i="149"/>
  <c r="R43" i="149" s="1"/>
  <c r="Q22" i="36"/>
  <c r="R22" i="36" s="1"/>
  <c r="Q65" i="35"/>
  <c r="R65" i="35" s="1"/>
  <c r="Q69" i="35"/>
  <c r="R69" i="35" s="1"/>
  <c r="Q73" i="35"/>
  <c r="R73" i="35" s="1"/>
  <c r="Q71" i="34"/>
  <c r="R71" i="34" s="1"/>
  <c r="Q43" i="33"/>
  <c r="R43" i="33"/>
  <c r="Q49" i="33"/>
  <c r="R49" i="33" s="1"/>
  <c r="Q53" i="33"/>
  <c r="R53" i="33" s="1"/>
  <c r="Q44" i="149"/>
  <c r="R44" i="149" s="1"/>
  <c r="Q30" i="77"/>
  <c r="R30" i="77" s="1"/>
  <c r="Q34" i="77"/>
  <c r="R34" i="77" s="1"/>
  <c r="Q38" i="77"/>
  <c r="R38" i="77" s="1"/>
  <c r="Q31" i="77"/>
  <c r="R31" i="77" s="1"/>
  <c r="Q40" i="77"/>
  <c r="R40" i="77" s="1"/>
  <c r="Q32" i="77"/>
  <c r="R32" i="77" s="1"/>
  <c r="Q36" i="77"/>
  <c r="R36" i="77" s="1"/>
  <c r="Q41" i="77"/>
  <c r="R41" i="77" s="1"/>
  <c r="Q33" i="77"/>
  <c r="R33" i="77" s="1"/>
  <c r="Q37" i="77"/>
  <c r="R37" i="77" s="1"/>
  <c r="Q49" i="60"/>
  <c r="R49" i="60" s="1"/>
  <c r="Q54" i="60"/>
  <c r="R54" i="60"/>
  <c r="Q50" i="60"/>
  <c r="R50" i="60" s="1"/>
  <c r="Q55" i="60"/>
  <c r="R55" i="60"/>
  <c r="Q52" i="60"/>
  <c r="R52" i="60" s="1"/>
  <c r="Q56" i="60"/>
  <c r="R56" i="60" s="1"/>
  <c r="Q48" i="60"/>
  <c r="R48" i="60" s="1"/>
  <c r="Q53" i="60"/>
  <c r="R53" i="60" s="1"/>
  <c r="Q35" i="77"/>
  <c r="R35" i="77" s="1"/>
  <c r="Q60" i="34"/>
  <c r="R60" i="34" s="1"/>
  <c r="Q61" i="34"/>
  <c r="R61" i="34"/>
  <c r="Q58" i="34"/>
  <c r="R58" i="34" s="1"/>
  <c r="Q59" i="34"/>
  <c r="R59" i="34" s="1"/>
  <c r="Q51" i="40"/>
  <c r="R51" i="40" s="1"/>
  <c r="Q59" i="60"/>
  <c r="R59" i="60" s="1"/>
  <c r="Q48" i="49"/>
  <c r="R48" i="49" s="1"/>
  <c r="Q47" i="60"/>
  <c r="R47" i="60" s="1"/>
  <c r="Q52" i="30"/>
  <c r="R52" i="30" s="1"/>
  <c r="Q53" i="30"/>
  <c r="R53" i="30" s="1"/>
  <c r="Q54" i="30"/>
  <c r="R54" i="30" s="1"/>
  <c r="Q62" i="8"/>
  <c r="R62" i="8" s="1"/>
  <c r="Q74" i="8"/>
  <c r="R74" i="8" s="1"/>
  <c r="Q79" i="8"/>
  <c r="R79" i="8" s="1"/>
  <c r="Q71" i="8"/>
  <c r="R71" i="8" s="1"/>
  <c r="Q75" i="8"/>
  <c r="R75" i="8" s="1"/>
  <c r="Q81" i="8"/>
  <c r="R81" i="8" s="1"/>
  <c r="Q72" i="8"/>
  <c r="R72" i="8" s="1"/>
  <c r="Q77" i="8"/>
  <c r="R77" i="8" s="1"/>
  <c r="Q82" i="8"/>
  <c r="R82" i="8" s="1"/>
  <c r="Q61" i="8"/>
  <c r="R61" i="8" s="1"/>
  <c r="Q73" i="8"/>
  <c r="R73" i="8" s="1"/>
  <c r="Q78" i="8"/>
  <c r="R78" i="8" s="1"/>
  <c r="Q83" i="8"/>
  <c r="R83" i="8" s="1"/>
  <c r="Q94" i="43"/>
  <c r="R94" i="43" s="1"/>
  <c r="Q99" i="43"/>
  <c r="R99" i="43" s="1"/>
  <c r="Q105" i="43"/>
  <c r="Q109" i="43"/>
  <c r="Q113" i="43"/>
  <c r="R113" i="43" s="1"/>
  <c r="Q118" i="43"/>
  <c r="R118" i="43" s="1"/>
  <c r="Q124" i="43"/>
  <c r="R124" i="43" s="1"/>
  <c r="Q128" i="43"/>
  <c r="Q132" i="43"/>
  <c r="R132" i="43" s="1"/>
  <c r="Q136" i="43"/>
  <c r="R136" i="43" s="1"/>
  <c r="Q95" i="43"/>
  <c r="R95" i="43" s="1"/>
  <c r="Q100" i="43"/>
  <c r="R100" i="43" s="1"/>
  <c r="Q106" i="43"/>
  <c r="Q110" i="43"/>
  <c r="R110" i="43" s="1"/>
  <c r="Q114" i="43"/>
  <c r="R114" i="43" s="1"/>
  <c r="Q119" i="43"/>
  <c r="R119" i="43" s="1"/>
  <c r="Q125" i="43"/>
  <c r="R125" i="43" s="1"/>
  <c r="Q129" i="43"/>
  <c r="R129" i="43" s="1"/>
  <c r="Q133" i="43"/>
  <c r="R133" i="43" s="1"/>
  <c r="Q96" i="43"/>
  <c r="R96" i="43" s="1"/>
  <c r="Q101" i="43"/>
  <c r="R101" i="43" s="1"/>
  <c r="Q107" i="43"/>
  <c r="Q111" i="43"/>
  <c r="R111" i="43" s="1"/>
  <c r="Q116" i="43"/>
  <c r="Q120" i="43"/>
  <c r="R120" i="43" s="1"/>
  <c r="Q126" i="43"/>
  <c r="R126" i="43" s="1"/>
  <c r="Q130" i="43"/>
  <c r="R130" i="43" s="1"/>
  <c r="Q134" i="43"/>
  <c r="R134" i="43" s="1"/>
  <c r="Q98" i="43"/>
  <c r="R98" i="43" s="1"/>
  <c r="Q102" i="43"/>
  <c r="R102" i="43" s="1"/>
  <c r="Q108" i="43"/>
  <c r="R108" i="43" s="1"/>
  <c r="Q112" i="43"/>
  <c r="R112" i="43" s="1"/>
  <c r="Q117" i="43"/>
  <c r="R117" i="43" s="1"/>
  <c r="Q121" i="43"/>
  <c r="R121" i="43" s="1"/>
  <c r="Q127" i="43"/>
  <c r="R127" i="43" s="1"/>
  <c r="Q131" i="43"/>
  <c r="R131" i="43" s="1"/>
  <c r="Q135" i="43"/>
  <c r="R135" i="43" s="1"/>
  <c r="Q50" i="49"/>
  <c r="R50" i="49" s="1"/>
  <c r="Q70" i="38"/>
  <c r="R70" i="38" s="1"/>
  <c r="Q48" i="22"/>
  <c r="R48" i="22" s="1"/>
  <c r="P21" i="135"/>
  <c r="P23" i="135" s="1"/>
  <c r="P21" i="50"/>
  <c r="P20" i="50"/>
  <c r="P31" i="52"/>
  <c r="P29" i="52"/>
  <c r="P28" i="52"/>
  <c r="P27" i="52"/>
  <c r="P26" i="52"/>
  <c r="D49" i="93"/>
  <c r="E106" i="24"/>
  <c r="E98" i="12"/>
  <c r="E95" i="12"/>
  <c r="P50" i="5"/>
  <c r="P49" i="5"/>
  <c r="P48" i="5"/>
  <c r="P46" i="5"/>
  <c r="P45" i="5"/>
  <c r="P44" i="5"/>
  <c r="P43" i="5"/>
  <c r="P42" i="5"/>
  <c r="P41" i="5"/>
  <c r="P40" i="5"/>
  <c r="P39" i="5"/>
  <c r="P38" i="5"/>
  <c r="D40" i="5"/>
  <c r="D39" i="5"/>
  <c r="D38" i="5"/>
  <c r="P32" i="4"/>
  <c r="P31" i="4"/>
  <c r="P30" i="4"/>
  <c r="P29" i="4"/>
  <c r="P28" i="4"/>
  <c r="P35" i="53"/>
  <c r="P34" i="53"/>
  <c r="P33" i="53"/>
  <c r="P32" i="53"/>
  <c r="P31" i="53"/>
  <c r="P30" i="53"/>
  <c r="Q26" i="10" l="1"/>
  <c r="O33" i="54"/>
  <c r="R33" i="54" s="1"/>
  <c r="Q31" i="54"/>
  <c r="R31" i="54" s="1"/>
  <c r="R49" i="87"/>
  <c r="Q75" i="87"/>
  <c r="R75" i="87" s="1"/>
  <c r="P53" i="5"/>
  <c r="Q53" i="5" s="1"/>
  <c r="R53" i="5" s="1"/>
  <c r="Q31" i="41"/>
  <c r="R31" i="41" s="1"/>
  <c r="P23" i="50"/>
  <c r="Q23" i="50" s="1"/>
  <c r="R23" i="50" s="1"/>
  <c r="P33" i="52"/>
  <c r="Q33" i="52" s="1"/>
  <c r="R33" i="52" s="1"/>
  <c r="Q42" i="5"/>
  <c r="Q44" i="5"/>
  <c r="Q49" i="5"/>
  <c r="Q37" i="93"/>
  <c r="R37" i="93" s="1"/>
  <c r="Q41" i="93"/>
  <c r="R41" i="93" s="1"/>
  <c r="Q21" i="50"/>
  <c r="R21" i="50" s="1"/>
  <c r="Q41" i="5"/>
  <c r="Q45" i="5"/>
  <c r="Q50" i="5"/>
  <c r="R50" i="5" s="1"/>
  <c r="Q38" i="93"/>
  <c r="R38" i="93" s="1"/>
  <c r="Q42" i="93"/>
  <c r="R42" i="93" s="1"/>
  <c r="Q21" i="135"/>
  <c r="R21" i="135" s="1"/>
  <c r="Q38" i="5"/>
  <c r="Q43" i="93"/>
  <c r="R43" i="93" s="1"/>
  <c r="Q51" i="5"/>
  <c r="R51" i="5"/>
  <c r="Q39" i="5"/>
  <c r="Q43" i="5"/>
  <c r="Q48" i="5"/>
  <c r="Q40" i="93"/>
  <c r="R40" i="93" s="1"/>
  <c r="Q44" i="93"/>
  <c r="R44" i="93" s="1"/>
  <c r="Q20" i="50"/>
  <c r="R20" i="50" s="1"/>
  <c r="Q46" i="5"/>
  <c r="R46" i="5" s="1"/>
  <c r="Q39" i="93"/>
  <c r="R39" i="93" s="1"/>
  <c r="Q40" i="5"/>
  <c r="Q45" i="93"/>
  <c r="R45" i="93" s="1"/>
  <c r="Q30" i="4"/>
  <c r="R30" i="4" s="1"/>
  <c r="Q31" i="4"/>
  <c r="R31" i="4" s="1"/>
  <c r="Q28" i="4"/>
  <c r="R28" i="4" s="1"/>
  <c r="Q32" i="4"/>
  <c r="R32" i="4" s="1"/>
  <c r="Q31" i="53"/>
  <c r="R31" i="53" s="1"/>
  <c r="Q35" i="53"/>
  <c r="R35" i="53" s="1"/>
  <c r="Q33" i="53"/>
  <c r="R33" i="53" s="1"/>
  <c r="Q32" i="53"/>
  <c r="R32" i="53" s="1"/>
  <c r="Q30" i="53"/>
  <c r="R30" i="53" s="1"/>
  <c r="Q34" i="53"/>
  <c r="R34" i="53" s="1"/>
  <c r="Q29" i="52"/>
  <c r="R29" i="52" s="1"/>
  <c r="Q31" i="52"/>
  <c r="R31" i="52" s="1"/>
  <c r="Q27" i="52"/>
  <c r="R27" i="52" s="1"/>
  <c r="Q26" i="52"/>
  <c r="R26" i="52" s="1"/>
  <c r="Q28" i="52"/>
  <c r="R28" i="52" s="1"/>
  <c r="Q36" i="93"/>
  <c r="R36" i="93" s="1"/>
  <c r="Q29" i="4"/>
  <c r="R29" i="4" s="1"/>
  <c r="G78" i="26" l="1"/>
  <c r="G52" i="26"/>
  <c r="G58" i="26" s="1"/>
  <c r="H8" i="66" s="1"/>
  <c r="G83" i="26"/>
  <c r="G27" i="26"/>
  <c r="G28" i="26" s="1"/>
  <c r="G31" i="26" s="1"/>
  <c r="H7" i="66" s="1"/>
  <c r="H25" i="66" l="1"/>
  <c r="G93" i="26"/>
  <c r="G9" i="26"/>
  <c r="S96" i="15"/>
  <c r="P66" i="17" s="1"/>
  <c r="P56" i="30"/>
  <c r="G15" i="4"/>
  <c r="G18" i="4" s="1"/>
  <c r="G29" i="6"/>
  <c r="G59" i="6"/>
  <c r="G56" i="6"/>
  <c r="G27" i="5"/>
  <c r="F130" i="129" s="1"/>
  <c r="G24" i="5"/>
  <c r="G12" i="5"/>
  <c r="G64" i="12"/>
  <c r="M214" i="182" s="1"/>
  <c r="G16" i="12"/>
  <c r="M213" i="182" s="1"/>
  <c r="G16" i="24"/>
  <c r="M197" i="182" s="1"/>
  <c r="F16" i="24"/>
  <c r="J197" i="182" s="1"/>
  <c r="G47" i="24"/>
  <c r="M198" i="182" s="1"/>
  <c r="G26" i="93"/>
  <c r="G20" i="93"/>
  <c r="G21" i="54"/>
  <c r="G18" i="53"/>
  <c r="G20" i="53" s="1"/>
  <c r="M186" i="182" s="1"/>
  <c r="G16" i="52"/>
  <c r="G61" i="51"/>
  <c r="G56" i="51"/>
  <c r="G31" i="51"/>
  <c r="G11" i="50"/>
  <c r="G14" i="50" s="1"/>
  <c r="G12" i="135"/>
  <c r="G15" i="135" s="1"/>
  <c r="G13" i="49"/>
  <c r="G27" i="49"/>
  <c r="G16" i="11"/>
  <c r="M160" i="182" s="1"/>
  <c r="G41" i="11"/>
  <c r="M161" i="182" s="1"/>
  <c r="G12" i="10"/>
  <c r="G15" i="10" s="1"/>
  <c r="G11" i="9"/>
  <c r="G24" i="9"/>
  <c r="M152" i="182" s="1"/>
  <c r="G39" i="8"/>
  <c r="M147" i="182" s="1"/>
  <c r="G17" i="7"/>
  <c r="G25" i="22"/>
  <c r="G13" i="22"/>
  <c r="G18" i="18"/>
  <c r="G50" i="17"/>
  <c r="G54" i="15"/>
  <c r="G52" i="15"/>
  <c r="G51" i="15"/>
  <c r="G50" i="15"/>
  <c r="G48" i="15"/>
  <c r="G47" i="15"/>
  <c r="G46" i="15"/>
  <c r="G45" i="15"/>
  <c r="G44" i="15"/>
  <c r="G43" i="15"/>
  <c r="G42" i="15"/>
  <c r="G41" i="15"/>
  <c r="G39" i="15"/>
  <c r="G38" i="15"/>
  <c r="G37" i="15"/>
  <c r="G36" i="15"/>
  <c r="G35" i="15"/>
  <c r="G34" i="15"/>
  <c r="G33" i="15"/>
  <c r="G32" i="15"/>
  <c r="G31" i="15"/>
  <c r="G29" i="15"/>
  <c r="G28" i="15"/>
  <c r="G27" i="15"/>
  <c r="G26" i="15"/>
  <c r="G25" i="15"/>
  <c r="G24" i="15"/>
  <c r="G23" i="15"/>
  <c r="G22" i="15"/>
  <c r="G21" i="15"/>
  <c r="G20" i="15"/>
  <c r="G19" i="15"/>
  <c r="G16" i="15"/>
  <c r="G15" i="15"/>
  <c r="G14" i="15"/>
  <c r="G13" i="15"/>
  <c r="G12" i="15"/>
  <c r="G11" i="15"/>
  <c r="G10" i="15"/>
  <c r="G9" i="15"/>
  <c r="G19" i="23"/>
  <c r="G13" i="23"/>
  <c r="G16" i="17"/>
  <c r="G22" i="56"/>
  <c r="G12" i="56"/>
  <c r="G14" i="13"/>
  <c r="G131" i="66" s="1"/>
  <c r="G11" i="13"/>
  <c r="G130" i="66" s="1"/>
  <c r="G17" i="86"/>
  <c r="G10" i="86"/>
  <c r="G10" i="48"/>
  <c r="G12" i="48" s="1"/>
  <c r="G16" i="47"/>
  <c r="G14" i="46"/>
  <c r="G10" i="46"/>
  <c r="G10" i="45"/>
  <c r="G12" i="45" s="1"/>
  <c r="G33" i="44"/>
  <c r="G24" i="60"/>
  <c r="G19" i="60"/>
  <c r="G28" i="43"/>
  <c r="G57" i="43"/>
  <c r="G54" i="43"/>
  <c r="G39" i="87"/>
  <c r="F22" i="129"/>
  <c r="G15" i="41"/>
  <c r="G18" i="41" s="1"/>
  <c r="G30" i="40"/>
  <c r="G13" i="40"/>
  <c r="G39" i="38"/>
  <c r="M54" i="182" s="1"/>
  <c r="G22" i="77"/>
  <c r="M49" i="182" s="1"/>
  <c r="G28" i="149"/>
  <c r="M44" i="182" s="1"/>
  <c r="G11" i="149"/>
  <c r="M43" i="182" s="1"/>
  <c r="G16" i="35"/>
  <c r="M33" i="182" s="1"/>
  <c r="G32" i="35"/>
  <c r="M34" i="182" s="1"/>
  <c r="G16" i="34"/>
  <c r="G40" i="34"/>
  <c r="G45" i="66" s="1"/>
  <c r="G37" i="34"/>
  <c r="G27" i="33"/>
  <c r="M24" i="182" s="1"/>
  <c r="G12" i="33"/>
  <c r="G11" i="32"/>
  <c r="G14" i="32" s="1"/>
  <c r="G17" i="31"/>
  <c r="G34" i="30"/>
  <c r="G19" i="30"/>
  <c r="G21" i="29"/>
  <c r="G10" i="29"/>
  <c r="M247" i="182" l="1"/>
  <c r="M187" i="182"/>
  <c r="Q186" i="182"/>
  <c r="J260" i="182"/>
  <c r="M260" i="182"/>
  <c r="N197" i="182"/>
  <c r="M200" i="182"/>
  <c r="Q197" i="182"/>
  <c r="M261" i="182"/>
  <c r="Q198" i="182"/>
  <c r="G20" i="31"/>
  <c r="M15" i="182"/>
  <c r="M148" i="182"/>
  <c r="Q148" i="182" s="1"/>
  <c r="Q147" i="182"/>
  <c r="M25" i="182"/>
  <c r="Q24" i="182"/>
  <c r="G41" i="87"/>
  <c r="M71" i="182"/>
  <c r="M153" i="182"/>
  <c r="Q152" i="182"/>
  <c r="M277" i="182"/>
  <c r="M216" i="182"/>
  <c r="Q213" i="182"/>
  <c r="M278" i="182"/>
  <c r="Q214" i="182"/>
  <c r="M50" i="182"/>
  <c r="Q49" i="182"/>
  <c r="M45" i="182"/>
  <c r="Q43" i="182"/>
  <c r="Q44" i="182"/>
  <c r="G22" i="7"/>
  <c r="F50" i="129" s="1"/>
  <c r="M141" i="182"/>
  <c r="M55" i="182"/>
  <c r="Q55" i="182" s="1"/>
  <c r="Q54" i="182"/>
  <c r="M35" i="182"/>
  <c r="Q33" i="182"/>
  <c r="Q34" i="182"/>
  <c r="Q161" i="182"/>
  <c r="M162" i="182"/>
  <c r="Q160" i="182"/>
  <c r="H8" i="26"/>
  <c r="H5" i="26"/>
  <c r="D125" i="137"/>
  <c r="F20" i="129"/>
  <c r="G52" i="66"/>
  <c r="G21" i="47"/>
  <c r="F39" i="129" s="1"/>
  <c r="G65" i="66"/>
  <c r="F69" i="129"/>
  <c r="G93" i="66"/>
  <c r="F10" i="129"/>
  <c r="G41" i="66"/>
  <c r="F37" i="129"/>
  <c r="G63" i="66"/>
  <c r="F40" i="129"/>
  <c r="G67" i="66"/>
  <c r="F70" i="129"/>
  <c r="G94" i="66"/>
  <c r="F11" i="129"/>
  <c r="G42" i="66"/>
  <c r="G78" i="66"/>
  <c r="F63" i="129"/>
  <c r="G86" i="66"/>
  <c r="G23" i="54"/>
  <c r="F87" i="129" s="1"/>
  <c r="G106" i="66"/>
  <c r="Q66" i="17"/>
  <c r="R66" i="17" s="1"/>
  <c r="G132" i="66"/>
  <c r="F77" i="129"/>
  <c r="G102" i="66"/>
  <c r="Q56" i="30"/>
  <c r="R56" i="30" s="1"/>
  <c r="F121" i="129"/>
  <c r="G118" i="66"/>
  <c r="G53" i="66"/>
  <c r="F21" i="129"/>
  <c r="F86" i="129"/>
  <c r="G105" i="66"/>
  <c r="F27" i="129"/>
  <c r="G60" i="66"/>
  <c r="G19" i="13"/>
  <c r="G23" i="29"/>
  <c r="G24" i="77"/>
  <c r="G49" i="66" s="1"/>
  <c r="F17" i="129"/>
  <c r="G26" i="56"/>
  <c r="G30" i="93"/>
  <c r="G41" i="38"/>
  <c r="G55" i="17"/>
  <c r="G29" i="49"/>
  <c r="G13" i="26"/>
  <c r="G16" i="26" s="1"/>
  <c r="H6" i="66" s="1"/>
  <c r="H30" i="66" s="1"/>
  <c r="G69" i="12"/>
  <c r="F118" i="129" s="1"/>
  <c r="G17" i="15"/>
  <c r="M120" i="182" s="1"/>
  <c r="M243" i="182" s="1"/>
  <c r="G61" i="6"/>
  <c r="G29" i="5"/>
  <c r="G116" i="66" s="1"/>
  <c r="G54" i="24"/>
  <c r="G64" i="51"/>
  <c r="G46" i="11"/>
  <c r="G26" i="9"/>
  <c r="G41" i="8"/>
  <c r="G27" i="22"/>
  <c r="G12" i="18"/>
  <c r="G20" i="18" s="1"/>
  <c r="G21" i="23"/>
  <c r="G19" i="86"/>
  <c r="G16" i="46"/>
  <c r="G35" i="44"/>
  <c r="G26" i="60"/>
  <c r="G59" i="43"/>
  <c r="G32" i="40"/>
  <c r="G30" i="149"/>
  <c r="G34" i="35"/>
  <c r="G42" i="34"/>
  <c r="G29" i="33"/>
  <c r="G36" i="30"/>
  <c r="I11" i="149"/>
  <c r="S43" i="182" s="1"/>
  <c r="I19" i="47"/>
  <c r="I66" i="66" s="1"/>
  <c r="I16" i="47"/>
  <c r="I65" i="66" s="1"/>
  <c r="I10" i="86"/>
  <c r="Q187" i="182" l="1"/>
  <c r="M210" i="182"/>
  <c r="Q200" i="182"/>
  <c r="M265" i="182"/>
  <c r="M268" i="182"/>
  <c r="M16" i="182"/>
  <c r="Q15" i="182"/>
  <c r="Q25" i="182"/>
  <c r="M72" i="182"/>
  <c r="Q71" i="182"/>
  <c r="Q153" i="182"/>
  <c r="M232" i="182"/>
  <c r="Q216" i="182"/>
  <c r="M282" i="182"/>
  <c r="M285" i="182" s="1"/>
  <c r="Q120" i="182"/>
  <c r="Q50" i="182"/>
  <c r="T43" i="182"/>
  <c r="W43" i="182"/>
  <c r="Q45" i="182"/>
  <c r="M143" i="182"/>
  <c r="Q141" i="182"/>
  <c r="Q35" i="182"/>
  <c r="Q162" i="182"/>
  <c r="F88" i="129"/>
  <c r="G108" i="66"/>
  <c r="F41" i="129"/>
  <c r="G68" i="66"/>
  <c r="F62" i="129"/>
  <c r="F64" i="129" s="1"/>
  <c r="G85" i="66"/>
  <c r="Q47" i="93"/>
  <c r="R47" i="93" s="1"/>
  <c r="Q46" i="93"/>
  <c r="R46" i="93" s="1"/>
  <c r="F68" i="129"/>
  <c r="G92" i="66"/>
  <c r="F13" i="129"/>
  <c r="G44" i="66"/>
  <c r="F129" i="129"/>
  <c r="F131" i="129" s="1"/>
  <c r="F38" i="129"/>
  <c r="G64" i="66"/>
  <c r="F18" i="129"/>
  <c r="G50" i="66"/>
  <c r="F48" i="129"/>
  <c r="G76" i="66"/>
  <c r="F47" i="129"/>
  <c r="G75" i="66"/>
  <c r="I12" i="18"/>
  <c r="F8" i="129"/>
  <c r="G39" i="66"/>
  <c r="G85" i="26"/>
  <c r="G100" i="26" s="1"/>
  <c r="F67" i="129"/>
  <c r="G91" i="66"/>
  <c r="F36" i="129"/>
  <c r="G62" i="66"/>
  <c r="F16" i="129"/>
  <c r="G48" i="66"/>
  <c r="F9" i="129"/>
  <c r="G40" i="66"/>
  <c r="F120" i="129"/>
  <c r="F122" i="129" s="1"/>
  <c r="G117" i="66"/>
  <c r="F12" i="129"/>
  <c r="G43" i="66"/>
  <c r="F143" i="129"/>
  <c r="F147" i="129" s="1"/>
  <c r="G123" i="66"/>
  <c r="F74" i="129"/>
  <c r="G99" i="66"/>
  <c r="F19" i="129"/>
  <c r="G51" i="66"/>
  <c r="H9" i="26"/>
  <c r="G114" i="66"/>
  <c r="F54" i="129"/>
  <c r="G84" i="66"/>
  <c r="F14" i="129"/>
  <c r="G46" i="66"/>
  <c r="F26" i="129"/>
  <c r="G59" i="66"/>
  <c r="F28" i="129"/>
  <c r="G61" i="66"/>
  <c r="I21" i="47"/>
  <c r="H39" i="129" s="1"/>
  <c r="I39" i="87"/>
  <c r="S71" i="182" s="1"/>
  <c r="M272" i="182" l="1"/>
  <c r="M271" i="182"/>
  <c r="M270" i="182"/>
  <c r="Q210" i="182"/>
  <c r="M269" i="182"/>
  <c r="M273" i="182" s="1"/>
  <c r="Q16" i="182"/>
  <c r="S72" i="182"/>
  <c r="T71" i="182"/>
  <c r="W71" i="182"/>
  <c r="Q72" i="182"/>
  <c r="M288" i="182"/>
  <c r="M289" i="182"/>
  <c r="M287" i="182"/>
  <c r="Q232" i="182"/>
  <c r="M286" i="182"/>
  <c r="Q143" i="182"/>
  <c r="I8" i="26"/>
  <c r="J8" i="26" s="1"/>
  <c r="I5" i="26"/>
  <c r="K8" i="26"/>
  <c r="F42" i="129"/>
  <c r="G96" i="66"/>
  <c r="K9" i="26"/>
  <c r="F71" i="129"/>
  <c r="F133" i="129"/>
  <c r="F23" i="129"/>
  <c r="G120" i="66"/>
  <c r="G56" i="66"/>
  <c r="G70" i="66"/>
  <c r="M290" i="182" l="1"/>
  <c r="W72" i="182"/>
  <c r="T72" i="182"/>
  <c r="M8" i="26"/>
  <c r="J9" i="26"/>
  <c r="J13" i="26"/>
  <c r="J16" i="26" s="1"/>
  <c r="K13" i="26"/>
  <c r="L5" i="26"/>
  <c r="I13" i="26"/>
  <c r="I16" i="26" s="1"/>
  <c r="I85" i="26" s="1"/>
  <c r="I100" i="26" s="1"/>
  <c r="K5" i="26"/>
  <c r="L8" i="26"/>
  <c r="Z223" i="66"/>
  <c r="J85" i="26" l="1"/>
  <c r="J100" i="26" s="1"/>
  <c r="K6" i="66"/>
  <c r="K30" i="66" s="1"/>
  <c r="J6" i="66"/>
  <c r="J30" i="66" s="1"/>
  <c r="J277" i="66" s="1"/>
  <c r="J280" i="66" s="1"/>
  <c r="M9" i="26"/>
  <c r="N8" i="26" s="1"/>
  <c r="O8" i="26"/>
  <c r="L9" i="26"/>
  <c r="S27" i="49"/>
  <c r="S41" i="11"/>
  <c r="AQ161" i="182" s="1"/>
  <c r="AQ152" i="182"/>
  <c r="S25" i="22"/>
  <c r="S22" i="56"/>
  <c r="S17" i="86"/>
  <c r="S16" i="47"/>
  <c r="AQ106" i="182" s="1"/>
  <c r="S33" i="44"/>
  <c r="U33" i="44" s="1"/>
  <c r="S24" i="60"/>
  <c r="S39" i="87"/>
  <c r="AQ71" i="182" s="1"/>
  <c r="S15" i="41"/>
  <c r="S30" i="40"/>
  <c r="AQ59" i="182" s="1"/>
  <c r="S39" i="38"/>
  <c r="AQ54" i="182" s="1"/>
  <c r="S22" i="77"/>
  <c r="AQ49" i="182" s="1"/>
  <c r="S28" i="149"/>
  <c r="AQ44" i="182" s="1"/>
  <c r="S37" i="34"/>
  <c r="AQ29" i="182" s="1"/>
  <c r="S27" i="33"/>
  <c r="AQ24" i="182" s="1"/>
  <c r="S17" i="31"/>
  <c r="AQ15" i="182" s="1"/>
  <c r="S34" i="30"/>
  <c r="AQ11" i="182" s="1"/>
  <c r="AQ16" i="182" l="1"/>
  <c r="AR15" i="182"/>
  <c r="AT15" i="182"/>
  <c r="AV15" i="182" s="1"/>
  <c r="AS15" i="182"/>
  <c r="AQ30" i="182"/>
  <c r="AR29" i="182"/>
  <c r="AT29" i="182"/>
  <c r="AV29" i="182" s="1"/>
  <c r="AS29" i="182"/>
  <c r="AT71" i="182"/>
  <c r="AV71" i="182" s="1"/>
  <c r="AS71" i="182"/>
  <c r="AR71" i="182"/>
  <c r="AQ72" i="182"/>
  <c r="AS152" i="182"/>
  <c r="AR152" i="182"/>
  <c r="AT152" i="182"/>
  <c r="AV152" i="182" s="1"/>
  <c r="AQ153" i="182"/>
  <c r="U25" i="22"/>
  <c r="AQ132" i="182"/>
  <c r="AV44" i="182"/>
  <c r="AR44" i="182"/>
  <c r="AQ45" i="182"/>
  <c r="AT44" i="182"/>
  <c r="AS44" i="182"/>
  <c r="AS11" i="182"/>
  <c r="AT11" i="182"/>
  <c r="AV11" i="182" s="1"/>
  <c r="AR11" i="182"/>
  <c r="AS106" i="182"/>
  <c r="AT106" i="182"/>
  <c r="AV106" i="182" s="1"/>
  <c r="AR106" i="182"/>
  <c r="AQ107" i="182"/>
  <c r="T24" i="60"/>
  <c r="AQ87" i="182"/>
  <c r="AS59" i="182"/>
  <c r="AR59" i="182"/>
  <c r="AQ60" i="182"/>
  <c r="AT59" i="182"/>
  <c r="AV59" i="182" s="1"/>
  <c r="AV54" i="182"/>
  <c r="AW54" i="182" s="1"/>
  <c r="AX54" i="182" s="1"/>
  <c r="AY54" i="182" s="1"/>
  <c r="AZ54" i="182" s="1"/>
  <c r="AT54" i="182"/>
  <c r="AR54" i="182"/>
  <c r="AS54" i="182"/>
  <c r="AR161" i="182"/>
  <c r="AS161" i="182"/>
  <c r="AT161" i="182"/>
  <c r="AV161" i="182" s="1"/>
  <c r="AW161" i="182" s="1"/>
  <c r="AX161" i="182" s="1"/>
  <c r="AY161" i="182" s="1"/>
  <c r="AZ161" i="182" s="1"/>
  <c r="AQ25" i="182"/>
  <c r="AR24" i="182"/>
  <c r="AT24" i="182"/>
  <c r="AV24" i="182" s="1"/>
  <c r="AS24" i="182"/>
  <c r="AT49" i="182"/>
  <c r="AV49" i="182" s="1"/>
  <c r="AS49" i="182"/>
  <c r="AQ50" i="182"/>
  <c r="AR49" i="182"/>
  <c r="M13" i="26"/>
  <c r="M16" i="26" s="1"/>
  <c r="M85" i="26"/>
  <c r="N6" i="66"/>
  <c r="N30" i="66" s="1"/>
  <c r="O9" i="26"/>
  <c r="O13" i="26" s="1"/>
  <c r="O16" i="26" s="1"/>
  <c r="L13" i="26"/>
  <c r="L16" i="26" s="1"/>
  <c r="B20" i="181" s="1"/>
  <c r="N5" i="26"/>
  <c r="U16" i="47"/>
  <c r="T65" i="66" s="1"/>
  <c r="T16" i="47"/>
  <c r="S65" i="66" s="1"/>
  <c r="M39" i="129" s="1"/>
  <c r="R102" i="66"/>
  <c r="T16" i="52"/>
  <c r="S102" i="66" s="1"/>
  <c r="M77" i="129" s="1"/>
  <c r="U39" i="87"/>
  <c r="Q36" i="47"/>
  <c r="R36" i="47" s="1"/>
  <c r="R65" i="66"/>
  <c r="L39" i="129" s="1"/>
  <c r="U22" i="77"/>
  <c r="U16" i="52"/>
  <c r="AW15" i="182" l="1"/>
  <c r="AV16" i="182"/>
  <c r="AR16" i="182"/>
  <c r="AS16" i="182"/>
  <c r="AT16" i="182"/>
  <c r="AW29" i="182"/>
  <c r="AV30" i="182"/>
  <c r="AR30" i="182"/>
  <c r="AT30" i="182"/>
  <c r="AS30" i="182"/>
  <c r="AT72" i="182"/>
  <c r="AS72" i="182"/>
  <c r="AR72" i="182"/>
  <c r="AW71" i="182"/>
  <c r="AV72" i="182"/>
  <c r="AS153" i="182"/>
  <c r="AR153" i="182"/>
  <c r="AT153" i="182"/>
  <c r="AW152" i="182"/>
  <c r="AV153" i="182"/>
  <c r="AR132" i="182"/>
  <c r="AT132" i="182"/>
  <c r="AV132" i="182" s="1"/>
  <c r="AW132" i="182" s="1"/>
  <c r="AX132" i="182" s="1"/>
  <c r="AY132" i="182" s="1"/>
  <c r="AZ132" i="182" s="1"/>
  <c r="AS132" i="182"/>
  <c r="AS45" i="182"/>
  <c r="AT45" i="182"/>
  <c r="AR45" i="182"/>
  <c r="AW44" i="182"/>
  <c r="AV45" i="182"/>
  <c r="AW11" i="182"/>
  <c r="AT107" i="182"/>
  <c r="AS107" i="182"/>
  <c r="AR107" i="182"/>
  <c r="AV107" i="182"/>
  <c r="AW106" i="182"/>
  <c r="AV87" i="182"/>
  <c r="AW87" i="182" s="1"/>
  <c r="AX87" i="182" s="1"/>
  <c r="AY87" i="182" s="1"/>
  <c r="AZ87" i="182" s="1"/>
  <c r="AS87" i="182"/>
  <c r="AR87" i="182"/>
  <c r="AT87" i="182"/>
  <c r="AR60" i="182"/>
  <c r="AS60" i="182"/>
  <c r="AT60" i="182"/>
  <c r="AW59" i="182"/>
  <c r="AV60" i="182"/>
  <c r="AW24" i="182"/>
  <c r="AV25" i="182"/>
  <c r="AT25" i="182"/>
  <c r="AR25" i="182"/>
  <c r="AS25" i="182"/>
  <c r="AR50" i="182"/>
  <c r="AT50" i="182"/>
  <c r="AS50" i="182"/>
  <c r="AW49" i="182"/>
  <c r="AV50" i="182"/>
  <c r="M100" i="26"/>
  <c r="M86" i="26"/>
  <c r="P8" i="26"/>
  <c r="O85" i="26"/>
  <c r="P6" i="66"/>
  <c r="P30" i="66" s="1"/>
  <c r="Q8" i="26"/>
  <c r="Q9" i="26" s="1"/>
  <c r="M6" i="66"/>
  <c r="M30" i="66" s="1"/>
  <c r="M33" i="66" s="1"/>
  <c r="L85" i="26"/>
  <c r="C58" i="179"/>
  <c r="D58" i="179" s="1"/>
  <c r="L77" i="129"/>
  <c r="N77" i="129"/>
  <c r="O77" i="129" s="1"/>
  <c r="T102" i="66"/>
  <c r="W11" i="66"/>
  <c r="AX15" i="182" l="1"/>
  <c r="AW16" i="182"/>
  <c r="AX29" i="182"/>
  <c r="AW30" i="182"/>
  <c r="AX71" i="182"/>
  <c r="AW72" i="182"/>
  <c r="AX152" i="182"/>
  <c r="AW153" i="182"/>
  <c r="AX44" i="182"/>
  <c r="AW45" i="182"/>
  <c r="AX11" i="182"/>
  <c r="AW107" i="182"/>
  <c r="AX106" i="182"/>
  <c r="AX59" i="182"/>
  <c r="AW60" i="182"/>
  <c r="AX24" i="182"/>
  <c r="AW25" i="182"/>
  <c r="AX49" i="182"/>
  <c r="AW50" i="182"/>
  <c r="O100" i="26"/>
  <c r="O86" i="26"/>
  <c r="L86" i="26"/>
  <c r="L100" i="26"/>
  <c r="M277" i="66"/>
  <c r="M280" i="66" s="1"/>
  <c r="R5" i="26"/>
  <c r="P5" i="26"/>
  <c r="N13" i="26"/>
  <c r="N16" i="26" s="1"/>
  <c r="H31" i="26"/>
  <c r="AX16" i="182" l="1"/>
  <c r="AY15" i="182"/>
  <c r="AY29" i="182"/>
  <c r="AX30" i="182"/>
  <c r="AY71" i="182"/>
  <c r="AX72" i="182"/>
  <c r="AY152" i="182"/>
  <c r="AX153" i="182"/>
  <c r="AY44" i="182"/>
  <c r="AX45" i="182"/>
  <c r="AY11" i="182"/>
  <c r="AY106" i="182"/>
  <c r="AX107" i="182"/>
  <c r="AY59" i="182"/>
  <c r="AX60" i="182"/>
  <c r="AY24" i="182"/>
  <c r="AX25" i="182"/>
  <c r="AY49" i="182"/>
  <c r="AX50" i="182"/>
  <c r="N17" i="26"/>
  <c r="N18" i="26" s="1"/>
  <c r="B21" i="181"/>
  <c r="B22" i="181" s="1"/>
  <c r="B25" i="181" s="1"/>
  <c r="B26" i="181" s="1"/>
  <c r="P9" i="26"/>
  <c r="N85" i="26"/>
  <c r="N86" i="26" s="1"/>
  <c r="N87" i="26" s="1"/>
  <c r="N88" i="26" s="1"/>
  <c r="O6" i="66"/>
  <c r="I7" i="66"/>
  <c r="J22" i="144"/>
  <c r="G22" i="144"/>
  <c r="AZ15" i="182" l="1"/>
  <c r="AZ16" i="182" s="1"/>
  <c r="AY16" i="182"/>
  <c r="AZ29" i="182"/>
  <c r="AZ30" i="182" s="1"/>
  <c r="AY30" i="182"/>
  <c r="AZ71" i="182"/>
  <c r="AZ72" i="182" s="1"/>
  <c r="AY72" i="182"/>
  <c r="AZ152" i="182"/>
  <c r="AZ153" i="182" s="1"/>
  <c r="AY153" i="182"/>
  <c r="AZ44" i="182"/>
  <c r="AZ45" i="182" s="1"/>
  <c r="AY45" i="182"/>
  <c r="AZ11" i="182"/>
  <c r="AY107" i="182"/>
  <c r="AZ106" i="182"/>
  <c r="AZ107" i="182" s="1"/>
  <c r="AZ59" i="182"/>
  <c r="AZ60" i="182" s="1"/>
  <c r="AY60" i="182"/>
  <c r="AZ24" i="182"/>
  <c r="AZ25" i="182" s="1"/>
  <c r="AY25" i="182"/>
  <c r="AZ49" i="182"/>
  <c r="AZ50" i="182" s="1"/>
  <c r="AY50" i="182"/>
  <c r="C6" i="179"/>
  <c r="D6" i="179" s="1"/>
  <c r="R9" i="26"/>
  <c r="C7" i="179" s="1"/>
  <c r="D7" i="179" s="1"/>
  <c r="P13" i="26"/>
  <c r="P16" i="26" s="1"/>
  <c r="E12" i="12"/>
  <c r="F12" i="12"/>
  <c r="F9" i="12"/>
  <c r="E9" i="12"/>
  <c r="P17" i="26" l="1"/>
  <c r="P18" i="26" s="1"/>
  <c r="P85" i="26"/>
  <c r="Q6" i="66"/>
  <c r="C8" i="107"/>
  <c r="C22" i="181" l="1"/>
  <c r="C25" i="181" s="1"/>
  <c r="C26" i="181" s="1"/>
  <c r="P100" i="26"/>
  <c r="P86" i="26"/>
  <c r="P87" i="26" s="1"/>
  <c r="P88" i="26" s="1"/>
  <c r="D8" i="107"/>
  <c r="C26" i="107"/>
  <c r="D26" i="107" s="1"/>
  <c r="S12" i="49"/>
  <c r="P49" i="49" s="1"/>
  <c r="P66" i="8"/>
  <c r="Q66" i="8" l="1"/>
  <c r="R66" i="8" s="1"/>
  <c r="Q49" i="49"/>
  <c r="R49" i="49" s="1"/>
  <c r="R11" i="9"/>
  <c r="AM151" i="182" s="1"/>
  <c r="AN151" i="182" s="1"/>
  <c r="S17" i="7"/>
  <c r="AQ141" i="182" s="1"/>
  <c r="S19" i="47"/>
  <c r="AT141" i="182" l="1"/>
  <c r="AV141" i="182" s="1"/>
  <c r="AS141" i="182"/>
  <c r="AR141" i="182"/>
  <c r="S21" i="47"/>
  <c r="S22" i="47" s="1"/>
  <c r="T22" i="47" s="1"/>
  <c r="R66" i="66"/>
  <c r="R91" i="15"/>
  <c r="D88" i="137" s="1"/>
  <c r="AV143" i="182" l="1"/>
  <c r="AW141" i="182"/>
  <c r="T21" i="47"/>
  <c r="U21" i="47"/>
  <c r="N39" i="129" s="1"/>
  <c r="O39" i="129" s="1"/>
  <c r="AW143" i="182" l="1"/>
  <c r="AX141" i="182"/>
  <c r="D124" i="137"/>
  <c r="D123" i="137"/>
  <c r="R89" i="15"/>
  <c r="D86" i="137" s="1"/>
  <c r="B34" i="133"/>
  <c r="C34" i="133" s="1"/>
  <c r="V132" i="66"/>
  <c r="V136" i="66" s="1"/>
  <c r="H83" i="26"/>
  <c r="P39" i="9"/>
  <c r="R88" i="15"/>
  <c r="D85" i="137" s="1"/>
  <c r="R84" i="15"/>
  <c r="D83" i="137" s="1"/>
  <c r="R81" i="15"/>
  <c r="S10" i="22" s="1"/>
  <c r="R80" i="15"/>
  <c r="D76" i="137" s="1"/>
  <c r="R78" i="15"/>
  <c r="R77" i="15"/>
  <c r="D75" i="137" s="1"/>
  <c r="R76" i="15"/>
  <c r="D74" i="137" s="1"/>
  <c r="R74" i="15"/>
  <c r="D72" i="137" s="1"/>
  <c r="R79" i="15"/>
  <c r="D78" i="137" s="1"/>
  <c r="R75" i="15"/>
  <c r="F15" i="4"/>
  <c r="F18" i="4" s="1"/>
  <c r="F118" i="66" s="1"/>
  <c r="F59" i="6"/>
  <c r="F56" i="6"/>
  <c r="F29" i="6"/>
  <c r="F27" i="5"/>
  <c r="F24" i="5"/>
  <c r="F12" i="5"/>
  <c r="F64" i="12"/>
  <c r="J214" i="182" s="1"/>
  <c r="F16" i="12"/>
  <c r="J213" i="182" s="1"/>
  <c r="F47" i="24"/>
  <c r="F26" i="93"/>
  <c r="F20" i="93"/>
  <c r="F21" i="54"/>
  <c r="F106" i="66" s="1"/>
  <c r="F18" i="53"/>
  <c r="F20" i="53" s="1"/>
  <c r="F16" i="52"/>
  <c r="F102" i="66" s="1"/>
  <c r="F61" i="51"/>
  <c r="F56" i="51"/>
  <c r="F31" i="51"/>
  <c r="F11" i="50"/>
  <c r="F14" i="50" s="1"/>
  <c r="F94" i="66" s="1"/>
  <c r="F12" i="135"/>
  <c r="F15" i="135" s="1"/>
  <c r="F93" i="66" s="1"/>
  <c r="F27" i="49"/>
  <c r="F13" i="49"/>
  <c r="F41" i="11"/>
  <c r="J161" i="182" s="1"/>
  <c r="F16" i="11"/>
  <c r="J160" i="182" s="1"/>
  <c r="F12" i="10"/>
  <c r="F15" i="10" s="1"/>
  <c r="F86" i="66" s="1"/>
  <c r="F24" i="9"/>
  <c r="J152" i="182" s="1"/>
  <c r="F11" i="9"/>
  <c r="F21" i="8"/>
  <c r="J146" i="182" s="1"/>
  <c r="F39" i="8"/>
  <c r="J147" i="182" s="1"/>
  <c r="F17" i="7"/>
  <c r="F27" i="22"/>
  <c r="F76" i="66" s="1"/>
  <c r="F18" i="18"/>
  <c r="F12" i="18"/>
  <c r="F54" i="15"/>
  <c r="F53" i="15"/>
  <c r="F52" i="15"/>
  <c r="F51" i="15"/>
  <c r="F50" i="15"/>
  <c r="F48" i="15"/>
  <c r="F47" i="15"/>
  <c r="F46" i="15"/>
  <c r="F45" i="15"/>
  <c r="F44" i="15"/>
  <c r="F43" i="15"/>
  <c r="F42" i="15"/>
  <c r="F41" i="15"/>
  <c r="F39" i="15"/>
  <c r="F38" i="15"/>
  <c r="F37" i="15"/>
  <c r="F36" i="15"/>
  <c r="F35" i="15"/>
  <c r="F34" i="15"/>
  <c r="F33" i="15"/>
  <c r="F32" i="15"/>
  <c r="F31" i="15"/>
  <c r="F29" i="15"/>
  <c r="F28" i="15"/>
  <c r="F27" i="15"/>
  <c r="F26" i="15"/>
  <c r="F25" i="15"/>
  <c r="F24" i="15"/>
  <c r="F23" i="15"/>
  <c r="F22" i="15"/>
  <c r="F21" i="15"/>
  <c r="F20" i="15"/>
  <c r="F19" i="15"/>
  <c r="F16" i="15"/>
  <c r="F15" i="15"/>
  <c r="F14" i="15"/>
  <c r="F13" i="15"/>
  <c r="F12" i="15"/>
  <c r="F11" i="15"/>
  <c r="F10" i="15"/>
  <c r="F9" i="15"/>
  <c r="F50" i="17"/>
  <c r="F16" i="17"/>
  <c r="F19" i="23"/>
  <c r="F13" i="23"/>
  <c r="F22" i="56"/>
  <c r="F12" i="56"/>
  <c r="F14" i="13"/>
  <c r="F131" i="66" s="1"/>
  <c r="F11" i="13"/>
  <c r="F17" i="86"/>
  <c r="F10" i="86"/>
  <c r="F10" i="48"/>
  <c r="F12" i="48" s="1"/>
  <c r="F67" i="66" s="1"/>
  <c r="F16" i="47"/>
  <c r="F14" i="46"/>
  <c r="F10" i="46"/>
  <c r="F33" i="44"/>
  <c r="F24" i="60"/>
  <c r="F19" i="60"/>
  <c r="F57" i="43"/>
  <c r="F60" i="66" s="1"/>
  <c r="F54" i="43"/>
  <c r="F26" i="43"/>
  <c r="F28" i="43" s="1"/>
  <c r="F39" i="87"/>
  <c r="F15" i="41"/>
  <c r="F18" i="41" s="1"/>
  <c r="F52" i="66" s="1"/>
  <c r="F30" i="40"/>
  <c r="F13" i="40"/>
  <c r="F39" i="38"/>
  <c r="J54" i="182" s="1"/>
  <c r="F18" i="38"/>
  <c r="J53" i="182" s="1"/>
  <c r="F22" i="77"/>
  <c r="J49" i="182" s="1"/>
  <c r="F28" i="149"/>
  <c r="J44" i="182" s="1"/>
  <c r="F11" i="149"/>
  <c r="J43" i="182" s="1"/>
  <c r="F13" i="36"/>
  <c r="F16" i="36" s="1"/>
  <c r="F47" i="66" s="1"/>
  <c r="F16" i="35"/>
  <c r="J33" i="182" s="1"/>
  <c r="F32" i="35"/>
  <c r="J34" i="182" s="1"/>
  <c r="F40" i="34"/>
  <c r="F45" i="66" s="1"/>
  <c r="C23" i="34"/>
  <c r="F23" i="34"/>
  <c r="F37" i="34" s="1"/>
  <c r="F11" i="34"/>
  <c r="F16" i="34" s="1"/>
  <c r="F27" i="33"/>
  <c r="J24" i="182" s="1"/>
  <c r="F12" i="33"/>
  <c r="F11" i="32"/>
  <c r="F14" i="32" s="1"/>
  <c r="F42" i="66" s="1"/>
  <c r="F17" i="31"/>
  <c r="F34" i="30"/>
  <c r="F19" i="30"/>
  <c r="F21" i="29"/>
  <c r="F10" i="29"/>
  <c r="I11" i="9"/>
  <c r="E21" i="34"/>
  <c r="D21" i="34"/>
  <c r="D37" i="34" s="1"/>
  <c r="C21" i="34"/>
  <c r="I27" i="5"/>
  <c r="H130" i="129" s="1"/>
  <c r="F10" i="45"/>
  <c r="F12" i="45" s="1"/>
  <c r="F63" i="66" s="1"/>
  <c r="E10" i="45"/>
  <c r="E12" i="45" s="1"/>
  <c r="I10" i="29"/>
  <c r="I23" i="29" s="1"/>
  <c r="H8" i="129" s="1"/>
  <c r="U15" i="4"/>
  <c r="U26" i="93"/>
  <c r="U20" i="93"/>
  <c r="U18" i="53"/>
  <c r="U12" i="135"/>
  <c r="U27" i="49"/>
  <c r="U44" i="11"/>
  <c r="U41" i="11"/>
  <c r="U12" i="10"/>
  <c r="U24" i="9"/>
  <c r="U20" i="7"/>
  <c r="U17" i="7"/>
  <c r="P37" i="22"/>
  <c r="U18" i="18"/>
  <c r="P27" i="18"/>
  <c r="U50" i="17"/>
  <c r="U19" i="23"/>
  <c r="U22" i="56"/>
  <c r="U17" i="86"/>
  <c r="U10" i="86"/>
  <c r="U10" i="48"/>
  <c r="U14" i="46"/>
  <c r="U10" i="46"/>
  <c r="U10" i="45"/>
  <c r="U24" i="60"/>
  <c r="U30" i="40"/>
  <c r="U39" i="38"/>
  <c r="U28" i="149"/>
  <c r="U32" i="35"/>
  <c r="U40" i="34"/>
  <c r="T45" i="66" s="1"/>
  <c r="U37" i="34"/>
  <c r="U27" i="33"/>
  <c r="U11" i="32"/>
  <c r="U17" i="31"/>
  <c r="U34" i="30"/>
  <c r="U21" i="29"/>
  <c r="U15" i="41"/>
  <c r="C35" i="143"/>
  <c r="F27" i="26"/>
  <c r="F28" i="26" s="1"/>
  <c r="F31" i="26" s="1"/>
  <c r="G7" i="66" s="1"/>
  <c r="F91" i="26"/>
  <c r="G25" i="66" s="1"/>
  <c r="E15" i="86"/>
  <c r="E12" i="86" s="1"/>
  <c r="E17" i="86" s="1"/>
  <c r="D12" i="86"/>
  <c r="D17" i="86" s="1"/>
  <c r="C15" i="86"/>
  <c r="C12" i="86" s="1"/>
  <c r="C17" i="86" s="1"/>
  <c r="F92" i="26"/>
  <c r="G26" i="66" s="1"/>
  <c r="R14" i="46"/>
  <c r="AA226" i="66"/>
  <c r="AA271" i="66" s="1"/>
  <c r="S27" i="5"/>
  <c r="D20" i="77"/>
  <c r="D19" i="77"/>
  <c r="D16" i="144"/>
  <c r="D22" i="144" s="1"/>
  <c r="I22" i="56"/>
  <c r="I22" i="77"/>
  <c r="S49" i="182" s="1"/>
  <c r="R22" i="77"/>
  <c r="C22" i="77"/>
  <c r="C49" i="182" s="1"/>
  <c r="C50" i="182" s="1"/>
  <c r="R28" i="149"/>
  <c r="AM44" i="182" s="1"/>
  <c r="AN44" i="182" s="1"/>
  <c r="I28" i="149"/>
  <c r="S44" i="182" s="1"/>
  <c r="E28" i="149"/>
  <c r="G44" i="182" s="1"/>
  <c r="H44" i="182" s="1"/>
  <c r="D28" i="149"/>
  <c r="D44" i="182" s="1"/>
  <c r="C28" i="149"/>
  <c r="R11" i="149"/>
  <c r="AM43" i="182" s="1"/>
  <c r="E11" i="149"/>
  <c r="G43" i="182" s="1"/>
  <c r="D11" i="149"/>
  <c r="D43" i="182" s="1"/>
  <c r="C11" i="149"/>
  <c r="C43" i="182" s="1"/>
  <c r="W130" i="66"/>
  <c r="W132" i="66" s="1"/>
  <c r="W136" i="66" s="1"/>
  <c r="I73" i="137"/>
  <c r="I12" i="10"/>
  <c r="S10" i="86"/>
  <c r="S19" i="86" s="1"/>
  <c r="S10" i="46"/>
  <c r="S10" i="29"/>
  <c r="Y32" i="6"/>
  <c r="X32" i="6"/>
  <c r="W32" i="6"/>
  <c r="AC35" i="51"/>
  <c r="AB35" i="51"/>
  <c r="AA35" i="51"/>
  <c r="Z35" i="51"/>
  <c r="Y35" i="51"/>
  <c r="X35" i="51"/>
  <c r="W35" i="51"/>
  <c r="AC11" i="51"/>
  <c r="AB11" i="51"/>
  <c r="AA11" i="51"/>
  <c r="Z11" i="51"/>
  <c r="Y11" i="51"/>
  <c r="X11" i="51"/>
  <c r="W11" i="51"/>
  <c r="X25" i="93"/>
  <c r="W25" i="93"/>
  <c r="Y26" i="93"/>
  <c r="Y20" i="93"/>
  <c r="X20" i="93"/>
  <c r="W20" i="93"/>
  <c r="W36"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AZ61" i="51"/>
  <c r="AY61" i="51"/>
  <c r="AX61" i="51"/>
  <c r="AW61" i="51"/>
  <c r="AV61" i="51"/>
  <c r="AU61" i="51"/>
  <c r="AT61" i="51"/>
  <c r="AS61" i="51"/>
  <c r="AR61" i="51"/>
  <c r="AQ61" i="51"/>
  <c r="AP61" i="51"/>
  <c r="AO61" i="51"/>
  <c r="AN61" i="51"/>
  <c r="AM61" i="51"/>
  <c r="AL61" i="51"/>
  <c r="AK61" i="51"/>
  <c r="AJ61" i="51"/>
  <c r="AI61" i="51"/>
  <c r="AH61" i="51"/>
  <c r="AG61" i="51"/>
  <c r="AF61" i="51"/>
  <c r="AE61" i="51"/>
  <c r="AD61" i="51"/>
  <c r="AC61" i="51"/>
  <c r="AB61" i="51"/>
  <c r="AA61" i="51"/>
  <c r="Z61" i="51"/>
  <c r="Y61" i="51"/>
  <c r="X61" i="51"/>
  <c r="W61" i="51"/>
  <c r="AJ74" i="148"/>
  <c r="AI74" i="148"/>
  <c r="AJ64" i="148"/>
  <c r="AI64" i="148"/>
  <c r="AJ22" i="148"/>
  <c r="AJ47" i="148" s="1"/>
  <c r="AI22" i="148"/>
  <c r="AJ21" i="148"/>
  <c r="AI21" i="148"/>
  <c r="AJ20" i="148"/>
  <c r="AI20" i="148"/>
  <c r="AJ19" i="148"/>
  <c r="AI19" i="148"/>
  <c r="AJ18" i="148"/>
  <c r="AI18" i="148"/>
  <c r="AJ17" i="148"/>
  <c r="AI17" i="148"/>
  <c r="AJ13" i="148"/>
  <c r="AI13" i="148"/>
  <c r="AJ12" i="148"/>
  <c r="AI12" i="148"/>
  <c r="AJ11" i="148"/>
  <c r="AI11" i="148"/>
  <c r="AJ10" i="148"/>
  <c r="AI10" i="148"/>
  <c r="AH74" i="148"/>
  <c r="AG74" i="148"/>
  <c r="AF74" i="148"/>
  <c r="AE74" i="148"/>
  <c r="AD74" i="148"/>
  <c r="AD76" i="148" s="1"/>
  <c r="AH64" i="148"/>
  <c r="AG64" i="148"/>
  <c r="AF64" i="148"/>
  <c r="AE64" i="148"/>
  <c r="AD64" i="148"/>
  <c r="AH22" i="148"/>
  <c r="AG22" i="148"/>
  <c r="AF22" i="148"/>
  <c r="AE22" i="148"/>
  <c r="AD22" i="148"/>
  <c r="AH21" i="148"/>
  <c r="AG21" i="148"/>
  <c r="AF21" i="148"/>
  <c r="AE21" i="148"/>
  <c r="AD21" i="148"/>
  <c r="AD46" i="148" s="1"/>
  <c r="AT41" i="6" s="1"/>
  <c r="AH20" i="148"/>
  <c r="AH45" i="148" s="1"/>
  <c r="AX40" i="6" s="1"/>
  <c r="AG20" i="148"/>
  <c r="AF20" i="148"/>
  <c r="AE20" i="148"/>
  <c r="AD20" i="148"/>
  <c r="AH19" i="148"/>
  <c r="AG19" i="148"/>
  <c r="AF19" i="148"/>
  <c r="AE19" i="148"/>
  <c r="AD19" i="148"/>
  <c r="AH18" i="148"/>
  <c r="AG18" i="148"/>
  <c r="AF18" i="148"/>
  <c r="AE18" i="148"/>
  <c r="AD18" i="148"/>
  <c r="AH17" i="148"/>
  <c r="AG17" i="148"/>
  <c r="AF17" i="148"/>
  <c r="AE17" i="148"/>
  <c r="AD17" i="148"/>
  <c r="AH13" i="148"/>
  <c r="AG13" i="148"/>
  <c r="AF13" i="148"/>
  <c r="AE13" i="148"/>
  <c r="AD13" i="148"/>
  <c r="AH12" i="148"/>
  <c r="AG12" i="148"/>
  <c r="AF12" i="148"/>
  <c r="AE12" i="148"/>
  <c r="AD12" i="148"/>
  <c r="AH11" i="148"/>
  <c r="AG11" i="148"/>
  <c r="AF11" i="148"/>
  <c r="AE11" i="148"/>
  <c r="AD11" i="148"/>
  <c r="AH10" i="148"/>
  <c r="AG10" i="148"/>
  <c r="AW13" i="51" s="1"/>
  <c r="AF10" i="148"/>
  <c r="AE10" i="148"/>
  <c r="AU13" i="51"/>
  <c r="AD10" i="148"/>
  <c r="AT13" i="51" s="1"/>
  <c r="AC74" i="148"/>
  <c r="AB74" i="148"/>
  <c r="AA74" i="148"/>
  <c r="Z74" i="148"/>
  <c r="Y74" i="148"/>
  <c r="X74" i="148"/>
  <c r="W74" i="148"/>
  <c r="V74" i="148"/>
  <c r="AC64" i="148"/>
  <c r="AB64" i="148"/>
  <c r="AA64" i="148"/>
  <c r="Z64" i="148"/>
  <c r="Y64" i="148"/>
  <c r="X64" i="148"/>
  <c r="W64" i="148"/>
  <c r="V64" i="148"/>
  <c r="AC22" i="148"/>
  <c r="AB22" i="148"/>
  <c r="AA22" i="148"/>
  <c r="Z22" i="148"/>
  <c r="Y22" i="148"/>
  <c r="X22" i="148"/>
  <c r="W22" i="148"/>
  <c r="W47" i="148" s="1"/>
  <c r="AM42" i="6" s="1"/>
  <c r="V22" i="148"/>
  <c r="AC21" i="148"/>
  <c r="AB21" i="148"/>
  <c r="AA21" i="148"/>
  <c r="Z21" i="148"/>
  <c r="Y21" i="148"/>
  <c r="X21" i="148"/>
  <c r="W21" i="148"/>
  <c r="AM41" i="51" s="1"/>
  <c r="V21" i="148"/>
  <c r="V46" i="148" s="1"/>
  <c r="AL41" i="6" s="1"/>
  <c r="AC20" i="148"/>
  <c r="AB20" i="148"/>
  <c r="AA20" i="148"/>
  <c r="Z20" i="148"/>
  <c r="Y20" i="148"/>
  <c r="X20" i="148"/>
  <c r="W20" i="148"/>
  <c r="W45" i="148" s="1"/>
  <c r="AM40" i="6" s="1"/>
  <c r="V20" i="148"/>
  <c r="V45" i="148" s="1"/>
  <c r="AL40" i="6" s="1"/>
  <c r="AC19" i="148"/>
  <c r="AB19" i="148"/>
  <c r="AA19" i="148"/>
  <c r="Z19" i="148"/>
  <c r="Y19" i="148"/>
  <c r="X19" i="148"/>
  <c r="W19" i="148"/>
  <c r="AM39" i="51" s="1"/>
  <c r="V19" i="148"/>
  <c r="AC18" i="148"/>
  <c r="AB18" i="148"/>
  <c r="AA18" i="148"/>
  <c r="Z18" i="148"/>
  <c r="Y18" i="148"/>
  <c r="X18" i="148"/>
  <c r="W18" i="148"/>
  <c r="AM38" i="51" s="1"/>
  <c r="V18" i="148"/>
  <c r="AC17" i="148"/>
  <c r="AB17" i="148"/>
  <c r="AA17" i="148"/>
  <c r="Z17" i="148"/>
  <c r="Y17" i="148"/>
  <c r="X17" i="148"/>
  <c r="W17" i="148"/>
  <c r="V17" i="148"/>
  <c r="V24" i="148" s="1"/>
  <c r="AC13" i="148"/>
  <c r="AB13" i="148"/>
  <c r="AA13" i="148"/>
  <c r="Z13" i="148"/>
  <c r="Y13" i="148"/>
  <c r="X13" i="148"/>
  <c r="W13" i="148"/>
  <c r="W38" i="148" s="1"/>
  <c r="AM16" i="6" s="1"/>
  <c r="V13" i="148"/>
  <c r="V38" i="148" s="1"/>
  <c r="AL16" i="6" s="1"/>
  <c r="AC12" i="148"/>
  <c r="AB12" i="148"/>
  <c r="AA12" i="148"/>
  <c r="Z12" i="148"/>
  <c r="Y12" i="148"/>
  <c r="X12" i="148"/>
  <c r="X37" i="148" s="1"/>
  <c r="W12" i="148"/>
  <c r="V12" i="148"/>
  <c r="AC11" i="148"/>
  <c r="AB11" i="148"/>
  <c r="AA11" i="148"/>
  <c r="Z11" i="148"/>
  <c r="Y11" i="148"/>
  <c r="X11" i="148"/>
  <c r="W11" i="148"/>
  <c r="V11" i="148"/>
  <c r="AL14" i="51" s="1"/>
  <c r="AC10" i="148"/>
  <c r="AB10" i="148"/>
  <c r="AA10" i="148"/>
  <c r="Z10" i="148"/>
  <c r="Y10" i="148"/>
  <c r="X10" i="148"/>
  <c r="W10" i="148"/>
  <c r="V10" i="148"/>
  <c r="U74" i="148"/>
  <c r="T74" i="148"/>
  <c r="S74" i="148"/>
  <c r="R74" i="148"/>
  <c r="Q74" i="148"/>
  <c r="P74" i="148"/>
  <c r="O74" i="148"/>
  <c r="O76" i="148" s="1"/>
  <c r="N74" i="148"/>
  <c r="N76" i="148" s="1"/>
  <c r="M74" i="148"/>
  <c r="L74" i="148"/>
  <c r="K74" i="148"/>
  <c r="J74" i="148"/>
  <c r="I74" i="148"/>
  <c r="H74" i="148"/>
  <c r="G74" i="148"/>
  <c r="F74" i="148"/>
  <c r="E74" i="148"/>
  <c r="D74" i="148"/>
  <c r="U64" i="148"/>
  <c r="T64" i="148"/>
  <c r="S64" i="148"/>
  <c r="R64" i="148"/>
  <c r="Q64" i="148"/>
  <c r="Q76" i="148" s="1"/>
  <c r="P64" i="148"/>
  <c r="P76" i="148" s="1"/>
  <c r="O64" i="148"/>
  <c r="N64" i="148"/>
  <c r="M64" i="148"/>
  <c r="L64" i="148"/>
  <c r="K64" i="148"/>
  <c r="J64" i="148"/>
  <c r="I64" i="148"/>
  <c r="H64" i="148"/>
  <c r="G64" i="148"/>
  <c r="F64" i="148"/>
  <c r="E64" i="148"/>
  <c r="D64" i="148"/>
  <c r="U22" i="148"/>
  <c r="T22" i="148"/>
  <c r="AJ42" i="51" s="1"/>
  <c r="S22" i="148"/>
  <c r="R22" i="148"/>
  <c r="AH42" i="51" s="1"/>
  <c r="Q22" i="148"/>
  <c r="P22" i="148"/>
  <c r="O22" i="148"/>
  <c r="N22" i="148"/>
  <c r="M22" i="148"/>
  <c r="L22" i="148"/>
  <c r="AB42" i="51" s="1"/>
  <c r="K22" i="148"/>
  <c r="AA42" i="51" s="1"/>
  <c r="J22" i="148"/>
  <c r="J47" i="148" s="1"/>
  <c r="I22" i="148"/>
  <c r="H22" i="148"/>
  <c r="G22" i="148"/>
  <c r="F22" i="148"/>
  <c r="E22" i="148"/>
  <c r="D22" i="148"/>
  <c r="D47" i="148" s="1"/>
  <c r="U21" i="148"/>
  <c r="AK41" i="51" s="1"/>
  <c r="T21" i="148"/>
  <c r="AJ41" i="51" s="1"/>
  <c r="S21" i="148"/>
  <c r="R21" i="148"/>
  <c r="Q21" i="148"/>
  <c r="P21" i="148"/>
  <c r="O21" i="148"/>
  <c r="N21" i="148"/>
  <c r="M21" i="148"/>
  <c r="L21" i="148"/>
  <c r="L46" i="148" s="1"/>
  <c r="AB41" i="6" s="1"/>
  <c r="K21" i="148"/>
  <c r="J21" i="148"/>
  <c r="I21" i="148"/>
  <c r="H21" i="148"/>
  <c r="G21" i="148"/>
  <c r="F21" i="148"/>
  <c r="E21" i="148"/>
  <c r="D21" i="148"/>
  <c r="D46" i="148" s="1"/>
  <c r="U20" i="148"/>
  <c r="T20" i="148"/>
  <c r="S20" i="148"/>
  <c r="R20" i="148"/>
  <c r="Q20" i="148"/>
  <c r="P20" i="148"/>
  <c r="O20" i="148"/>
  <c r="N20" i="148"/>
  <c r="M20" i="148"/>
  <c r="L20" i="148"/>
  <c r="K20" i="148"/>
  <c r="J20" i="148"/>
  <c r="I20" i="148"/>
  <c r="H20" i="148"/>
  <c r="G20" i="148"/>
  <c r="F20" i="148"/>
  <c r="F24" i="148" s="1"/>
  <c r="E20" i="148"/>
  <c r="D20" i="148"/>
  <c r="U19" i="148"/>
  <c r="T19" i="148"/>
  <c r="S19" i="148"/>
  <c r="R19" i="148"/>
  <c r="AH39" i="51" s="1"/>
  <c r="Q19" i="148"/>
  <c r="AG39" i="51" s="1"/>
  <c r="P19" i="148"/>
  <c r="P44" i="148" s="1"/>
  <c r="AF39" i="6" s="1"/>
  <c r="O19" i="148"/>
  <c r="N19" i="148"/>
  <c r="M19" i="148"/>
  <c r="L19" i="148"/>
  <c r="K19" i="148"/>
  <c r="J19" i="148"/>
  <c r="J44" i="148" s="1"/>
  <c r="I19" i="148"/>
  <c r="H19" i="148"/>
  <c r="G19" i="148"/>
  <c r="F19" i="148"/>
  <c r="E19" i="148"/>
  <c r="D19" i="148"/>
  <c r="U18" i="148"/>
  <c r="T18" i="148"/>
  <c r="S18" i="148"/>
  <c r="R18" i="148"/>
  <c r="R43" i="148" s="1"/>
  <c r="Q18" i="148"/>
  <c r="P18" i="148"/>
  <c r="O18" i="148"/>
  <c r="N18" i="148"/>
  <c r="M18" i="148"/>
  <c r="L18" i="148"/>
  <c r="L43" i="148" s="1"/>
  <c r="AB38" i="6" s="1"/>
  <c r="K18" i="148"/>
  <c r="J18" i="148"/>
  <c r="I18" i="148"/>
  <c r="H18" i="148"/>
  <c r="G18" i="148"/>
  <c r="F18" i="148"/>
  <c r="E18" i="148"/>
  <c r="D18" i="148"/>
  <c r="U17" i="148"/>
  <c r="AK37" i="51" s="1"/>
  <c r="T17" i="148"/>
  <c r="T42" i="148" s="1"/>
  <c r="S17" i="148"/>
  <c r="R17" i="148"/>
  <c r="Q17" i="148"/>
  <c r="P17" i="148"/>
  <c r="O17" i="148"/>
  <c r="N17" i="148"/>
  <c r="M17" i="148"/>
  <c r="L17" i="148"/>
  <c r="L42" i="148" s="1"/>
  <c r="AB37" i="6" s="1"/>
  <c r="K17" i="148"/>
  <c r="J17" i="148"/>
  <c r="I17" i="148"/>
  <c r="H17" i="148"/>
  <c r="G17" i="148"/>
  <c r="F17" i="148"/>
  <c r="E17" i="148"/>
  <c r="D17" i="148"/>
  <c r="U13" i="148"/>
  <c r="T13" i="148"/>
  <c r="S13" i="148"/>
  <c r="R13" i="148"/>
  <c r="Q13" i="148"/>
  <c r="P13" i="148"/>
  <c r="P38" i="148" s="1"/>
  <c r="AF16" i="6" s="1"/>
  <c r="O13" i="148"/>
  <c r="N13" i="148"/>
  <c r="AD16" i="51" s="1"/>
  <c r="M13" i="148"/>
  <c r="L13" i="148"/>
  <c r="K13" i="148"/>
  <c r="J13" i="148"/>
  <c r="I13" i="148"/>
  <c r="H13" i="148"/>
  <c r="H38" i="148" s="1"/>
  <c r="X16" i="6" s="1"/>
  <c r="G13" i="148"/>
  <c r="W16" i="51" s="1"/>
  <c r="F13" i="148"/>
  <c r="F14" i="148" s="1"/>
  <c r="E13" i="148"/>
  <c r="D13" i="148"/>
  <c r="U12" i="148"/>
  <c r="T12" i="148"/>
  <c r="S12" i="148"/>
  <c r="R12" i="148"/>
  <c r="AH15" i="51" s="1"/>
  <c r="Q12" i="148"/>
  <c r="P12" i="148"/>
  <c r="P14" i="148" s="1"/>
  <c r="O12" i="148"/>
  <c r="N12" i="148"/>
  <c r="M12" i="148"/>
  <c r="L12" i="148"/>
  <c r="K12" i="148"/>
  <c r="J12" i="148"/>
  <c r="J37" i="148" s="1"/>
  <c r="Z15" i="6" s="1"/>
  <c r="I12" i="148"/>
  <c r="H12" i="148"/>
  <c r="G12" i="148"/>
  <c r="F12" i="148"/>
  <c r="E12" i="148"/>
  <c r="D12" i="148"/>
  <c r="U11" i="148"/>
  <c r="T11" i="148"/>
  <c r="S11" i="148"/>
  <c r="AI14" i="51" s="1"/>
  <c r="R11" i="148"/>
  <c r="R36" i="148" s="1"/>
  <c r="Q11" i="148"/>
  <c r="P11" i="148"/>
  <c r="O11" i="148"/>
  <c r="N11" i="148"/>
  <c r="M11" i="148"/>
  <c r="L11" i="148"/>
  <c r="L36" i="148" s="1"/>
  <c r="AB14" i="6" s="1"/>
  <c r="K11" i="148"/>
  <c r="J11" i="148"/>
  <c r="I11" i="148"/>
  <c r="H11" i="148"/>
  <c r="G11" i="148"/>
  <c r="F11" i="148"/>
  <c r="E11" i="148"/>
  <c r="D11" i="148"/>
  <c r="U10" i="148"/>
  <c r="U14" i="148" s="1"/>
  <c r="T10" i="148"/>
  <c r="AJ13" i="51" s="1"/>
  <c r="S10" i="148"/>
  <c r="R10" i="148"/>
  <c r="Q10" i="148"/>
  <c r="P10" i="148"/>
  <c r="O10" i="148"/>
  <c r="N10" i="148"/>
  <c r="M10" i="148"/>
  <c r="M14" i="148" s="1"/>
  <c r="L10" i="148"/>
  <c r="K10" i="148"/>
  <c r="J10" i="148"/>
  <c r="I10" i="148"/>
  <c r="H10" i="148"/>
  <c r="G10" i="148"/>
  <c r="F10" i="148"/>
  <c r="E10" i="148"/>
  <c r="D10" i="148"/>
  <c r="D35" i="148" s="1"/>
  <c r="D39" i="148" s="1"/>
  <c r="C22" i="148"/>
  <c r="C47" i="148" s="1"/>
  <c r="C21" i="148"/>
  <c r="C46" i="148" s="1"/>
  <c r="C20" i="148"/>
  <c r="C45" i="148"/>
  <c r="C19" i="148"/>
  <c r="C44" i="148" s="1"/>
  <c r="C18" i="148"/>
  <c r="C43" i="148" s="1"/>
  <c r="C17" i="148"/>
  <c r="C13" i="148"/>
  <c r="C12" i="148"/>
  <c r="C37" i="148"/>
  <c r="C11" i="148"/>
  <c r="C36" i="148" s="1"/>
  <c r="C10" i="148"/>
  <c r="C35" i="148"/>
  <c r="E22" i="56"/>
  <c r="E15" i="4"/>
  <c r="E18" i="4" s="1"/>
  <c r="E29" i="6"/>
  <c r="E59" i="6"/>
  <c r="D59" i="6"/>
  <c r="E56" i="6"/>
  <c r="E27" i="5"/>
  <c r="E130" i="129" s="1"/>
  <c r="E24" i="5"/>
  <c r="E12" i="5"/>
  <c r="E16" i="12"/>
  <c r="G213" i="182" s="1"/>
  <c r="E64" i="12"/>
  <c r="G214" i="182" s="1"/>
  <c r="E47" i="24"/>
  <c r="G198" i="182" s="1"/>
  <c r="E16" i="24"/>
  <c r="G197" i="182" s="1"/>
  <c r="E26" i="93"/>
  <c r="E20" i="93"/>
  <c r="E21" i="54"/>
  <c r="E106" i="66" s="1"/>
  <c r="E18" i="53"/>
  <c r="E20" i="53" s="1"/>
  <c r="E16" i="52"/>
  <c r="E61" i="51"/>
  <c r="E56" i="51"/>
  <c r="E31" i="51"/>
  <c r="E12" i="135"/>
  <c r="E15" i="135" s="1"/>
  <c r="E27" i="49"/>
  <c r="E13" i="49"/>
  <c r="E44" i="11"/>
  <c r="E41" i="11"/>
  <c r="G161" i="182" s="1"/>
  <c r="E16" i="11"/>
  <c r="G160" i="182" s="1"/>
  <c r="E12" i="10"/>
  <c r="E15" i="10" s="1"/>
  <c r="E24" i="9"/>
  <c r="E11" i="9"/>
  <c r="E21" i="8"/>
  <c r="G146" i="182" s="1"/>
  <c r="E39" i="8"/>
  <c r="G147" i="182" s="1"/>
  <c r="H147" i="182" s="1"/>
  <c r="E20" i="7"/>
  <c r="G142" i="182" s="1"/>
  <c r="E17" i="7"/>
  <c r="G141" i="182" s="1"/>
  <c r="E25" i="22"/>
  <c r="E27" i="22" s="1"/>
  <c r="E13" i="22"/>
  <c r="E18" i="18"/>
  <c r="E20" i="18" s="1"/>
  <c r="E12" i="18"/>
  <c r="U19" i="15"/>
  <c r="S19" i="15"/>
  <c r="R19" i="15"/>
  <c r="I19" i="15"/>
  <c r="D19" i="15"/>
  <c r="C19" i="15"/>
  <c r="E19" i="15"/>
  <c r="E54" i="15"/>
  <c r="E53" i="15"/>
  <c r="E52" i="15"/>
  <c r="E51" i="15"/>
  <c r="E50" i="15"/>
  <c r="E48" i="15"/>
  <c r="E47" i="15"/>
  <c r="E46" i="15"/>
  <c r="E45" i="15"/>
  <c r="E44" i="15"/>
  <c r="E43" i="15"/>
  <c r="E42" i="15"/>
  <c r="E41" i="15"/>
  <c r="E39" i="15"/>
  <c r="E38" i="15"/>
  <c r="E37" i="15"/>
  <c r="E36" i="15"/>
  <c r="E35" i="15"/>
  <c r="E34" i="15"/>
  <c r="E33" i="15"/>
  <c r="E32" i="15"/>
  <c r="E31" i="15"/>
  <c r="E29" i="15"/>
  <c r="E28" i="15"/>
  <c r="E27" i="15"/>
  <c r="E26" i="15"/>
  <c r="E25" i="15"/>
  <c r="E24" i="15"/>
  <c r="E23" i="15"/>
  <c r="E22" i="15"/>
  <c r="E21" i="15"/>
  <c r="E20" i="15"/>
  <c r="E16" i="15"/>
  <c r="E15" i="15"/>
  <c r="E14" i="15"/>
  <c r="E13" i="15"/>
  <c r="E12" i="15"/>
  <c r="E11" i="15"/>
  <c r="E10" i="15"/>
  <c r="E9" i="15"/>
  <c r="E19" i="23"/>
  <c r="E13" i="23"/>
  <c r="E50" i="17"/>
  <c r="E16" i="17"/>
  <c r="E12" i="56"/>
  <c r="E14" i="13"/>
  <c r="E11" i="13"/>
  <c r="E130" i="66" s="1"/>
  <c r="E10" i="86"/>
  <c r="E10" i="48"/>
  <c r="E12" i="48" s="1"/>
  <c r="E67" i="66" s="1"/>
  <c r="E16" i="47"/>
  <c r="E14" i="46"/>
  <c r="E10" i="46"/>
  <c r="E33" i="44"/>
  <c r="E20" i="44"/>
  <c r="E24" i="60"/>
  <c r="E19" i="60"/>
  <c r="E57" i="43"/>
  <c r="E60" i="66" s="1"/>
  <c r="E54" i="43"/>
  <c r="E28" i="43"/>
  <c r="E39" i="87"/>
  <c r="E22" i="129"/>
  <c r="E15" i="41"/>
  <c r="E18" i="41" s="1"/>
  <c r="E52" i="66" s="1"/>
  <c r="E30" i="40"/>
  <c r="E13" i="40"/>
  <c r="E13" i="36"/>
  <c r="E16" i="36" s="1"/>
  <c r="E47" i="66" s="1"/>
  <c r="E32" i="35"/>
  <c r="G34" i="182" s="1"/>
  <c r="E16" i="35"/>
  <c r="G33" i="182" s="1"/>
  <c r="E16" i="34"/>
  <c r="E40" i="34"/>
  <c r="E45" i="66" s="1"/>
  <c r="E37" i="34"/>
  <c r="E27" i="33"/>
  <c r="G24" i="182" s="1"/>
  <c r="E12" i="33"/>
  <c r="E11" i="32"/>
  <c r="E14" i="32" s="1"/>
  <c r="E17" i="31"/>
  <c r="E34" i="30"/>
  <c r="E19" i="30"/>
  <c r="E21" i="29"/>
  <c r="E10" i="29"/>
  <c r="R22" i="56"/>
  <c r="I26" i="93"/>
  <c r="I56" i="6"/>
  <c r="K247" i="141"/>
  <c r="J247" i="141"/>
  <c r="I247" i="141"/>
  <c r="H247" i="141"/>
  <c r="G247" i="141"/>
  <c r="F247" i="141"/>
  <c r="E247" i="141"/>
  <c r="D247" i="141"/>
  <c r="C247" i="141"/>
  <c r="B247" i="141"/>
  <c r="E22" i="144"/>
  <c r="C22" i="144"/>
  <c r="B22" i="144"/>
  <c r="R40" i="34"/>
  <c r="I40" i="34"/>
  <c r="I45" i="66" s="1"/>
  <c r="D40" i="34"/>
  <c r="D45" i="66" s="1"/>
  <c r="C40" i="34"/>
  <c r="C45" i="66" s="1"/>
  <c r="S40" i="34"/>
  <c r="R45" i="66" s="1"/>
  <c r="Z110" i="66"/>
  <c r="Z132" i="66"/>
  <c r="Z227" i="66"/>
  <c r="Z271" i="66" s="1"/>
  <c r="D11" i="5"/>
  <c r="D10" i="5"/>
  <c r="D9" i="5"/>
  <c r="D11" i="22"/>
  <c r="D13" i="22" s="1"/>
  <c r="D10" i="18"/>
  <c r="D12" i="18" s="1"/>
  <c r="D10" i="23"/>
  <c r="D10" i="15" s="1"/>
  <c r="D9" i="23"/>
  <c r="D11" i="17"/>
  <c r="D12" i="15" s="1"/>
  <c r="D10" i="17"/>
  <c r="D9" i="17"/>
  <c r="D10" i="56"/>
  <c r="D9" i="56"/>
  <c r="D10" i="43"/>
  <c r="R24" i="60"/>
  <c r="I24" i="60"/>
  <c r="D24" i="60"/>
  <c r="C24" i="60"/>
  <c r="I15" i="41"/>
  <c r="I18" i="41" s="1"/>
  <c r="H20" i="129" s="1"/>
  <c r="D104" i="143"/>
  <c r="C9" i="143"/>
  <c r="C17" i="143"/>
  <c r="C44" i="143"/>
  <c r="F83" i="26"/>
  <c r="F52" i="26"/>
  <c r="I12" i="33"/>
  <c r="I54" i="15"/>
  <c r="I53" i="15"/>
  <c r="I52" i="15"/>
  <c r="I51" i="15"/>
  <c r="I50" i="15"/>
  <c r="I48" i="15"/>
  <c r="I47" i="15"/>
  <c r="I46" i="15"/>
  <c r="I45" i="15"/>
  <c r="I44" i="15"/>
  <c r="I43" i="15"/>
  <c r="I42" i="15"/>
  <c r="I41" i="15"/>
  <c r="I39" i="15"/>
  <c r="I38" i="15"/>
  <c r="I37" i="15"/>
  <c r="I36" i="15"/>
  <c r="I35" i="15"/>
  <c r="I34" i="15"/>
  <c r="I33" i="15"/>
  <c r="I32" i="15"/>
  <c r="I31" i="15"/>
  <c r="I29" i="15"/>
  <c r="I28" i="15"/>
  <c r="I27" i="15"/>
  <c r="I26" i="15"/>
  <c r="I25" i="15"/>
  <c r="I24" i="15"/>
  <c r="I23" i="15"/>
  <c r="I22" i="15"/>
  <c r="I21" i="15"/>
  <c r="I20" i="15"/>
  <c r="I16" i="15"/>
  <c r="I15" i="15"/>
  <c r="I14" i="15"/>
  <c r="I13" i="15"/>
  <c r="I12" i="15"/>
  <c r="I11" i="15"/>
  <c r="I10" i="15"/>
  <c r="I9" i="15"/>
  <c r="D13" i="15"/>
  <c r="D14" i="15"/>
  <c r="D15" i="15"/>
  <c r="D16" i="15"/>
  <c r="D11" i="43"/>
  <c r="I15" i="4"/>
  <c r="I18" i="4" s="1"/>
  <c r="H121" i="129" s="1"/>
  <c r="I59" i="6"/>
  <c r="I12" i="6"/>
  <c r="I29" i="6" s="1"/>
  <c r="I16" i="12"/>
  <c r="S213" i="182" s="1"/>
  <c r="I21" i="54"/>
  <c r="I106" i="66" s="1"/>
  <c r="I16" i="52"/>
  <c r="H77" i="129" s="1"/>
  <c r="I61" i="51"/>
  <c r="I56" i="51"/>
  <c r="I31" i="51"/>
  <c r="I11" i="50"/>
  <c r="I14" i="50" s="1"/>
  <c r="H70" i="129" s="1"/>
  <c r="I12" i="135"/>
  <c r="I13" i="49"/>
  <c r="I27" i="49"/>
  <c r="I16" i="11"/>
  <c r="S160" i="182" s="1"/>
  <c r="I44" i="11"/>
  <c r="I41" i="11"/>
  <c r="S161" i="182" s="1"/>
  <c r="I24" i="9"/>
  <c r="S152" i="182" s="1"/>
  <c r="I39" i="8"/>
  <c r="I20" i="7"/>
  <c r="S142" i="182" s="1"/>
  <c r="I25" i="22"/>
  <c r="I13" i="22"/>
  <c r="I18" i="18"/>
  <c r="I13" i="23"/>
  <c r="I55" i="17"/>
  <c r="I12" i="56"/>
  <c r="I26" i="56" s="1"/>
  <c r="I14" i="13"/>
  <c r="I11" i="13"/>
  <c r="I130" i="66" s="1"/>
  <c r="I17" i="86"/>
  <c r="I10" i="48"/>
  <c r="I12" i="48" s="1"/>
  <c r="H40" i="129" s="1"/>
  <c r="I14" i="46"/>
  <c r="I10" i="46"/>
  <c r="I10" i="45"/>
  <c r="I33" i="44"/>
  <c r="I19" i="60"/>
  <c r="I57" i="43"/>
  <c r="H27" i="129" s="1"/>
  <c r="I28" i="43"/>
  <c r="I13" i="40"/>
  <c r="I30" i="40"/>
  <c r="I39" i="38"/>
  <c r="S54" i="182" s="1"/>
  <c r="I13" i="36"/>
  <c r="I32" i="35"/>
  <c r="I37" i="34"/>
  <c r="I16" i="34"/>
  <c r="I27" i="33"/>
  <c r="S24" i="182" s="1"/>
  <c r="I11" i="32"/>
  <c r="I14" i="32" s="1"/>
  <c r="H11" i="129" s="1"/>
  <c r="I17" i="31"/>
  <c r="I34" i="30"/>
  <c r="I19" i="30"/>
  <c r="P80" i="11"/>
  <c r="K227" i="141"/>
  <c r="K208" i="141" s="1"/>
  <c r="K188" i="141" s="1"/>
  <c r="K167" i="141" s="1"/>
  <c r="K146" i="141" s="1"/>
  <c r="K124" i="141" s="1"/>
  <c r="J227" i="141"/>
  <c r="J208" i="141" s="1"/>
  <c r="J188" i="141" s="1"/>
  <c r="J167" i="141" s="1"/>
  <c r="J146" i="141" s="1"/>
  <c r="J124" i="141" s="1"/>
  <c r="J102" i="141" s="1"/>
  <c r="I227" i="141"/>
  <c r="I208" i="141" s="1"/>
  <c r="I188" i="141" s="1"/>
  <c r="I167" i="141" s="1"/>
  <c r="I146" i="141" s="1"/>
  <c r="I124" i="141" s="1"/>
  <c r="I102" i="141" s="1"/>
  <c r="H227" i="141"/>
  <c r="H208" i="141" s="1"/>
  <c r="H188" i="141" s="1"/>
  <c r="H167" i="141" s="1"/>
  <c r="H146" i="141" s="1"/>
  <c r="H124" i="141" s="1"/>
  <c r="H102" i="141" s="1"/>
  <c r="G227" i="141"/>
  <c r="G208" i="141" s="1"/>
  <c r="G188" i="141" s="1"/>
  <c r="G167" i="141" s="1"/>
  <c r="G146" i="141" s="1"/>
  <c r="G124" i="141" s="1"/>
  <c r="G102" i="141" s="1"/>
  <c r="F227" i="141"/>
  <c r="F208" i="141" s="1"/>
  <c r="F188" i="141" s="1"/>
  <c r="F167" i="141" s="1"/>
  <c r="F146" i="141" s="1"/>
  <c r="F124" i="141" s="1"/>
  <c r="F102" i="141" s="1"/>
  <c r="E227" i="141"/>
  <c r="E208" i="141" s="1"/>
  <c r="E188" i="141" s="1"/>
  <c r="E167" i="141" s="1"/>
  <c r="E146" i="141" s="1"/>
  <c r="E124" i="141" s="1"/>
  <c r="E102" i="141" s="1"/>
  <c r="D227" i="141"/>
  <c r="D208" i="141" s="1"/>
  <c r="D188" i="141" s="1"/>
  <c r="D167" i="141" s="1"/>
  <c r="D146" i="141" s="1"/>
  <c r="D124" i="141" s="1"/>
  <c r="D102" i="141" s="1"/>
  <c r="C227" i="141"/>
  <c r="C208" i="141" s="1"/>
  <c r="C188" i="141" s="1"/>
  <c r="C167" i="141" s="1"/>
  <c r="C146" i="141" s="1"/>
  <c r="C124" i="141" s="1"/>
  <c r="C102" i="141" s="1"/>
  <c r="K226" i="141"/>
  <c r="K207" i="141" s="1"/>
  <c r="K187" i="141" s="1"/>
  <c r="K166" i="141" s="1"/>
  <c r="K145" i="141" s="1"/>
  <c r="K123" i="141" s="1"/>
  <c r="J226" i="141"/>
  <c r="J207" i="141" s="1"/>
  <c r="J187" i="141" s="1"/>
  <c r="J166" i="141" s="1"/>
  <c r="J145" i="141" s="1"/>
  <c r="J123" i="141" s="1"/>
  <c r="J101" i="141" s="1"/>
  <c r="I226" i="141"/>
  <c r="I207" i="141" s="1"/>
  <c r="I187" i="141" s="1"/>
  <c r="I166" i="141" s="1"/>
  <c r="I145" i="141" s="1"/>
  <c r="I123" i="141" s="1"/>
  <c r="I101" i="141" s="1"/>
  <c r="H226" i="141"/>
  <c r="H207" i="141" s="1"/>
  <c r="H187" i="141" s="1"/>
  <c r="H166" i="141" s="1"/>
  <c r="H145" i="141" s="1"/>
  <c r="H123" i="141" s="1"/>
  <c r="H101" i="141" s="1"/>
  <c r="G226" i="141"/>
  <c r="G207" i="141" s="1"/>
  <c r="G187" i="141" s="1"/>
  <c r="G166" i="141" s="1"/>
  <c r="G145" i="141" s="1"/>
  <c r="G123" i="141" s="1"/>
  <c r="G101" i="141" s="1"/>
  <c r="F226" i="141"/>
  <c r="F207" i="141" s="1"/>
  <c r="F187" i="141" s="1"/>
  <c r="F166" i="141" s="1"/>
  <c r="F145" i="141" s="1"/>
  <c r="F123" i="141" s="1"/>
  <c r="F101" i="141" s="1"/>
  <c r="E226" i="141"/>
  <c r="E207" i="141" s="1"/>
  <c r="E187" i="141" s="1"/>
  <c r="E166" i="141" s="1"/>
  <c r="E145" i="141" s="1"/>
  <c r="E123" i="141" s="1"/>
  <c r="E101" i="141" s="1"/>
  <c r="D226" i="141"/>
  <c r="D207" i="141" s="1"/>
  <c r="D187" i="141" s="1"/>
  <c r="D166" i="141" s="1"/>
  <c r="D145" i="141" s="1"/>
  <c r="D123" i="141" s="1"/>
  <c r="D101" i="141" s="1"/>
  <c r="C226" i="141"/>
  <c r="C207" i="141" s="1"/>
  <c r="C187" i="141" s="1"/>
  <c r="C166" i="141" s="1"/>
  <c r="C145" i="141" s="1"/>
  <c r="C123" i="141" s="1"/>
  <c r="C101" i="141" s="1"/>
  <c r="K225" i="141"/>
  <c r="K206" i="141" s="1"/>
  <c r="K186" i="141" s="1"/>
  <c r="K165" i="141" s="1"/>
  <c r="K144" i="141" s="1"/>
  <c r="K122" i="141" s="1"/>
  <c r="J225" i="141"/>
  <c r="J206" i="141"/>
  <c r="J186" i="141" s="1"/>
  <c r="J165" i="141" s="1"/>
  <c r="J144" i="141" s="1"/>
  <c r="J122" i="141" s="1"/>
  <c r="J100" i="141" s="1"/>
  <c r="I225" i="141"/>
  <c r="I206" i="141" s="1"/>
  <c r="I186" i="141" s="1"/>
  <c r="I165" i="141" s="1"/>
  <c r="I144" i="141" s="1"/>
  <c r="I122" i="141" s="1"/>
  <c r="I100" i="141" s="1"/>
  <c r="H225" i="141"/>
  <c r="H206" i="141" s="1"/>
  <c r="H186" i="141" s="1"/>
  <c r="H165" i="141" s="1"/>
  <c r="H144" i="141" s="1"/>
  <c r="H122" i="141" s="1"/>
  <c r="H100" i="141" s="1"/>
  <c r="G225" i="141"/>
  <c r="G206" i="141" s="1"/>
  <c r="G186" i="141" s="1"/>
  <c r="G165" i="141" s="1"/>
  <c r="G144" i="141" s="1"/>
  <c r="G122" i="141" s="1"/>
  <c r="G100" i="141" s="1"/>
  <c r="F225" i="141"/>
  <c r="F206" i="141" s="1"/>
  <c r="F186" i="141" s="1"/>
  <c r="F165" i="141" s="1"/>
  <c r="F144" i="141" s="1"/>
  <c r="F122" i="141" s="1"/>
  <c r="F100" i="141" s="1"/>
  <c r="E225" i="141"/>
  <c r="E206" i="141" s="1"/>
  <c r="E186" i="141" s="1"/>
  <c r="E165" i="141" s="1"/>
  <c r="E144" i="141" s="1"/>
  <c r="E122" i="141" s="1"/>
  <c r="E100" i="141" s="1"/>
  <c r="D225" i="141"/>
  <c r="D206" i="141" s="1"/>
  <c r="D186" i="141" s="1"/>
  <c r="D165" i="141" s="1"/>
  <c r="D144" i="141" s="1"/>
  <c r="D122" i="141" s="1"/>
  <c r="D100" i="141" s="1"/>
  <c r="C225" i="141"/>
  <c r="C206" i="141" s="1"/>
  <c r="C186" i="141" s="1"/>
  <c r="C165" i="141" s="1"/>
  <c r="C144" i="141" s="1"/>
  <c r="C122" i="141" s="1"/>
  <c r="C100" i="141" s="1"/>
  <c r="K224" i="141"/>
  <c r="K205" i="141" s="1"/>
  <c r="J224" i="141"/>
  <c r="J205" i="141" s="1"/>
  <c r="I224" i="141"/>
  <c r="I205" i="141" s="1"/>
  <c r="H224" i="141"/>
  <c r="H205" i="141" s="1"/>
  <c r="H185" i="141" s="1"/>
  <c r="G224" i="141"/>
  <c r="G205" i="141" s="1"/>
  <c r="F224" i="141"/>
  <c r="F205" i="141" s="1"/>
  <c r="F185" i="141" s="1"/>
  <c r="F164" i="141" s="1"/>
  <c r="F142" i="141" s="1"/>
  <c r="F120" i="141" s="1"/>
  <c r="E224" i="141"/>
  <c r="E205" i="141" s="1"/>
  <c r="E185" i="141" s="1"/>
  <c r="E164" i="141" s="1"/>
  <c r="E142" i="141" s="1"/>
  <c r="E120" i="141" s="1"/>
  <c r="D224" i="141"/>
  <c r="D205" i="141" s="1"/>
  <c r="D185" i="141" s="1"/>
  <c r="D164" i="141" s="1"/>
  <c r="D142" i="141" s="1"/>
  <c r="D120" i="141" s="1"/>
  <c r="C224" i="141"/>
  <c r="C205" i="141" s="1"/>
  <c r="C185" i="141" s="1"/>
  <c r="C164" i="141" s="1"/>
  <c r="C142" i="141" s="1"/>
  <c r="C120" i="141" s="1"/>
  <c r="B224" i="141"/>
  <c r="B205" i="141" s="1"/>
  <c r="B185" i="141" s="1"/>
  <c r="B164" i="141" s="1"/>
  <c r="B142" i="141" s="1"/>
  <c r="B225" i="141"/>
  <c r="B206" i="141" s="1"/>
  <c r="B226" i="141"/>
  <c r="B207" i="141" s="1"/>
  <c r="B187" i="141" s="1"/>
  <c r="B166" i="141" s="1"/>
  <c r="B145" i="141" s="1"/>
  <c r="B227" i="141"/>
  <c r="B208" i="141" s="1"/>
  <c r="B188" i="141" s="1"/>
  <c r="B167" i="141" s="1"/>
  <c r="B146" i="141" s="1"/>
  <c r="V52" i="34"/>
  <c r="S13" i="34" s="1"/>
  <c r="P62" i="34" s="1"/>
  <c r="Q62" i="34" s="1"/>
  <c r="R62" i="34" s="1"/>
  <c r="U268" i="66"/>
  <c r="U34" i="15"/>
  <c r="U11" i="15"/>
  <c r="U12" i="15"/>
  <c r="K223" i="141"/>
  <c r="K204" i="141" s="1"/>
  <c r="K212" i="141" s="1"/>
  <c r="J223" i="141"/>
  <c r="J204" i="141" s="1"/>
  <c r="I223" i="141"/>
  <c r="I204" i="141" s="1"/>
  <c r="H223" i="141"/>
  <c r="H232" i="141" s="1"/>
  <c r="G223" i="141"/>
  <c r="G204" i="141" s="1"/>
  <c r="G184" i="141" s="1"/>
  <c r="G163" i="141" s="1"/>
  <c r="F223" i="141"/>
  <c r="F232" i="141" s="1"/>
  <c r="E223" i="141"/>
  <c r="E204" i="141" s="1"/>
  <c r="E232" i="141"/>
  <c r="D223" i="141"/>
  <c r="C223" i="141"/>
  <c r="K222" i="141"/>
  <c r="K203" i="141" s="1"/>
  <c r="J222" i="141"/>
  <c r="J203" i="141" s="1"/>
  <c r="J183" i="141" s="1"/>
  <c r="J162" i="141" s="1"/>
  <c r="J140" i="141" s="1"/>
  <c r="J118" i="141" s="1"/>
  <c r="J96" i="141" s="1"/>
  <c r="I222" i="141"/>
  <c r="I203" i="141" s="1"/>
  <c r="I183" i="141" s="1"/>
  <c r="I162" i="141" s="1"/>
  <c r="I140" i="141" s="1"/>
  <c r="I118" i="141" s="1"/>
  <c r="I96" i="141" s="1"/>
  <c r="H222" i="141"/>
  <c r="H203" i="141" s="1"/>
  <c r="H183" i="141" s="1"/>
  <c r="H162" i="141" s="1"/>
  <c r="H140" i="141" s="1"/>
  <c r="H118" i="141" s="1"/>
  <c r="H96" i="141" s="1"/>
  <c r="G222" i="141"/>
  <c r="G203" i="141"/>
  <c r="G183" i="141" s="1"/>
  <c r="G162" i="141" s="1"/>
  <c r="G140" i="141" s="1"/>
  <c r="G118" i="141" s="1"/>
  <c r="G96" i="141" s="1"/>
  <c r="F222" i="141"/>
  <c r="F203" i="141" s="1"/>
  <c r="E222" i="141"/>
  <c r="E203" i="141" s="1"/>
  <c r="E183" i="141" s="1"/>
  <c r="E162" i="141" s="1"/>
  <c r="E140" i="141" s="1"/>
  <c r="E118" i="141" s="1"/>
  <c r="E96" i="141" s="1"/>
  <c r="D222" i="141"/>
  <c r="D203" i="141" s="1"/>
  <c r="D183" i="141" s="1"/>
  <c r="D162" i="141" s="1"/>
  <c r="D140" i="141" s="1"/>
  <c r="D118" i="141" s="1"/>
  <c r="D96" i="141" s="1"/>
  <c r="C222" i="141"/>
  <c r="C203" i="141" s="1"/>
  <c r="C183" i="141" s="1"/>
  <c r="C162" i="141" s="1"/>
  <c r="C140" i="141" s="1"/>
  <c r="C118" i="141" s="1"/>
  <c r="C96" i="141" s="1"/>
  <c r="K221" i="141"/>
  <c r="K202" i="141" s="1"/>
  <c r="K182" i="141" s="1"/>
  <c r="K161" i="141" s="1"/>
  <c r="K139" i="141" s="1"/>
  <c r="K117" i="141" s="1"/>
  <c r="J221" i="141"/>
  <c r="J202" i="141" s="1"/>
  <c r="J182" i="141" s="1"/>
  <c r="J161" i="141" s="1"/>
  <c r="J139" i="141" s="1"/>
  <c r="J117" i="141" s="1"/>
  <c r="J95" i="141" s="1"/>
  <c r="I221" i="141"/>
  <c r="I202" i="141"/>
  <c r="I182" i="141" s="1"/>
  <c r="I161" i="141" s="1"/>
  <c r="I139" i="141" s="1"/>
  <c r="I117" i="141" s="1"/>
  <c r="I95" i="141" s="1"/>
  <c r="H221" i="141"/>
  <c r="H202" i="141" s="1"/>
  <c r="H182" i="141" s="1"/>
  <c r="H161" i="141" s="1"/>
  <c r="H139" i="141" s="1"/>
  <c r="H117" i="141" s="1"/>
  <c r="H95" i="141" s="1"/>
  <c r="G221" i="141"/>
  <c r="G202" i="141" s="1"/>
  <c r="G182" i="141" s="1"/>
  <c r="G161" i="141" s="1"/>
  <c r="G139" i="141" s="1"/>
  <c r="G117" i="141" s="1"/>
  <c r="G95" i="141" s="1"/>
  <c r="F221" i="141"/>
  <c r="F202" i="141" s="1"/>
  <c r="F182" i="141" s="1"/>
  <c r="F161" i="141" s="1"/>
  <c r="F139" i="141" s="1"/>
  <c r="F117" i="141" s="1"/>
  <c r="F95" i="141" s="1"/>
  <c r="E221" i="141"/>
  <c r="E202" i="141" s="1"/>
  <c r="E182" i="141" s="1"/>
  <c r="E161" i="141" s="1"/>
  <c r="E139" i="141" s="1"/>
  <c r="E117" i="141" s="1"/>
  <c r="E95" i="141" s="1"/>
  <c r="D221" i="141"/>
  <c r="D202" i="141" s="1"/>
  <c r="D182" i="141" s="1"/>
  <c r="D161" i="141" s="1"/>
  <c r="D139" i="141" s="1"/>
  <c r="D117" i="141" s="1"/>
  <c r="D95" i="141" s="1"/>
  <c r="C221" i="141"/>
  <c r="C202" i="141" s="1"/>
  <c r="C182" i="141" s="1"/>
  <c r="C161" i="141" s="1"/>
  <c r="C139" i="141" s="1"/>
  <c r="C117" i="141" s="1"/>
  <c r="C95" i="141" s="1"/>
  <c r="K220" i="141"/>
  <c r="K201" i="141" s="1"/>
  <c r="K181" i="141" s="1"/>
  <c r="K160" i="141" s="1"/>
  <c r="K138" i="141" s="1"/>
  <c r="K116" i="141" s="1"/>
  <c r="J220" i="141"/>
  <c r="J201" i="141" s="1"/>
  <c r="J181" i="141" s="1"/>
  <c r="J160" i="141" s="1"/>
  <c r="J138" i="141" s="1"/>
  <c r="J116" i="141" s="1"/>
  <c r="J94" i="141" s="1"/>
  <c r="I220" i="141"/>
  <c r="I201" i="141" s="1"/>
  <c r="I181" i="141" s="1"/>
  <c r="I160" i="141" s="1"/>
  <c r="I138" i="141" s="1"/>
  <c r="I116" i="141" s="1"/>
  <c r="I94" i="141" s="1"/>
  <c r="H220" i="141"/>
  <c r="H201" i="141" s="1"/>
  <c r="G220" i="141"/>
  <c r="G201" i="141"/>
  <c r="G181" i="141" s="1"/>
  <c r="G160" i="141" s="1"/>
  <c r="G138" i="141" s="1"/>
  <c r="G116" i="141" s="1"/>
  <c r="G94" i="141" s="1"/>
  <c r="F220" i="141"/>
  <c r="F201" i="141" s="1"/>
  <c r="F181" i="141" s="1"/>
  <c r="F160" i="141" s="1"/>
  <c r="F138" i="141" s="1"/>
  <c r="F116" i="141" s="1"/>
  <c r="F94" i="141" s="1"/>
  <c r="E220" i="141"/>
  <c r="E201" i="141" s="1"/>
  <c r="E181" i="141" s="1"/>
  <c r="E160" i="141" s="1"/>
  <c r="E138" i="141" s="1"/>
  <c r="E116" i="141" s="1"/>
  <c r="E94" i="141" s="1"/>
  <c r="D220" i="141"/>
  <c r="D201" i="141" s="1"/>
  <c r="D181" i="141" s="1"/>
  <c r="D160" i="141" s="1"/>
  <c r="D138" i="141" s="1"/>
  <c r="D116" i="141" s="1"/>
  <c r="D94" i="141" s="1"/>
  <c r="C220" i="141"/>
  <c r="C201" i="141" s="1"/>
  <c r="C181" i="141" s="1"/>
  <c r="C160" i="141" s="1"/>
  <c r="C138" i="141" s="1"/>
  <c r="C116" i="141" s="1"/>
  <c r="C94" i="141" s="1"/>
  <c r="K219" i="141"/>
  <c r="K200" i="141" s="1"/>
  <c r="K180" i="141" s="1"/>
  <c r="K159" i="141" s="1"/>
  <c r="K137" i="141" s="1"/>
  <c r="K115" i="141" s="1"/>
  <c r="J219" i="141"/>
  <c r="J200" i="141"/>
  <c r="J180" i="141" s="1"/>
  <c r="J159" i="141" s="1"/>
  <c r="J137" i="141" s="1"/>
  <c r="J115" i="141" s="1"/>
  <c r="J93" i="141" s="1"/>
  <c r="I219" i="141"/>
  <c r="I200" i="141" s="1"/>
  <c r="I180" i="141" s="1"/>
  <c r="I159" i="141" s="1"/>
  <c r="I137" i="141" s="1"/>
  <c r="I115" i="141" s="1"/>
  <c r="I93" i="141" s="1"/>
  <c r="H219" i="141"/>
  <c r="H200" i="141"/>
  <c r="H180" i="141" s="1"/>
  <c r="H159" i="141" s="1"/>
  <c r="H137" i="141" s="1"/>
  <c r="H115" i="141" s="1"/>
  <c r="H93" i="141" s="1"/>
  <c r="G219" i="141"/>
  <c r="G200" i="141" s="1"/>
  <c r="G180" i="141" s="1"/>
  <c r="G159" i="141" s="1"/>
  <c r="G137" i="141" s="1"/>
  <c r="G115" i="141" s="1"/>
  <c r="G93" i="141" s="1"/>
  <c r="F219" i="141"/>
  <c r="F200" i="141" s="1"/>
  <c r="F180" i="141" s="1"/>
  <c r="F159" i="141" s="1"/>
  <c r="F137" i="141" s="1"/>
  <c r="F115" i="141" s="1"/>
  <c r="F93" i="141" s="1"/>
  <c r="E219" i="141"/>
  <c r="E200" i="141" s="1"/>
  <c r="E180" i="141" s="1"/>
  <c r="E159" i="141" s="1"/>
  <c r="E137" i="141" s="1"/>
  <c r="E115" i="141" s="1"/>
  <c r="E93" i="141" s="1"/>
  <c r="D219" i="141"/>
  <c r="D200" i="141" s="1"/>
  <c r="D180" i="141" s="1"/>
  <c r="D159" i="141" s="1"/>
  <c r="D137" i="141" s="1"/>
  <c r="D115" i="141" s="1"/>
  <c r="D93" i="141" s="1"/>
  <c r="C219" i="141"/>
  <c r="C200" i="141" s="1"/>
  <c r="C180" i="141" s="1"/>
  <c r="C159" i="141" s="1"/>
  <c r="C137" i="141" s="1"/>
  <c r="C115" i="141" s="1"/>
  <c r="C93" i="141" s="1"/>
  <c r="K218" i="141"/>
  <c r="K199" i="141" s="1"/>
  <c r="K179" i="141" s="1"/>
  <c r="K158" i="141" s="1"/>
  <c r="K136" i="141" s="1"/>
  <c r="K114" i="141" s="1"/>
  <c r="J218" i="141"/>
  <c r="J199" i="141" s="1"/>
  <c r="J179" i="141" s="1"/>
  <c r="J158" i="141" s="1"/>
  <c r="J136" i="141" s="1"/>
  <c r="J114" i="141" s="1"/>
  <c r="J92" i="141" s="1"/>
  <c r="I218" i="141"/>
  <c r="I199" i="141" s="1"/>
  <c r="I179" i="141" s="1"/>
  <c r="I158" i="141" s="1"/>
  <c r="I136" i="141" s="1"/>
  <c r="I114" i="141" s="1"/>
  <c r="I92" i="141" s="1"/>
  <c r="H218" i="141"/>
  <c r="H199" i="141" s="1"/>
  <c r="H179" i="141" s="1"/>
  <c r="H158" i="141" s="1"/>
  <c r="H136" i="141" s="1"/>
  <c r="H114" i="141" s="1"/>
  <c r="H92" i="141" s="1"/>
  <c r="G218" i="141"/>
  <c r="G199" i="141" s="1"/>
  <c r="G179" i="141" s="1"/>
  <c r="G158" i="141" s="1"/>
  <c r="G136" i="141" s="1"/>
  <c r="G114" i="141" s="1"/>
  <c r="G92" i="141" s="1"/>
  <c r="F218" i="141"/>
  <c r="F199" i="141" s="1"/>
  <c r="F179" i="141" s="1"/>
  <c r="F158" i="141" s="1"/>
  <c r="F136" i="141" s="1"/>
  <c r="F114" i="141" s="1"/>
  <c r="F92" i="141" s="1"/>
  <c r="E218" i="141"/>
  <c r="E199" i="141" s="1"/>
  <c r="E179" i="141" s="1"/>
  <c r="E158" i="141" s="1"/>
  <c r="E136" i="141" s="1"/>
  <c r="E114" i="141" s="1"/>
  <c r="E92" i="141" s="1"/>
  <c r="D218" i="141"/>
  <c r="D199" i="141" s="1"/>
  <c r="D179" i="141" s="1"/>
  <c r="D158" i="141" s="1"/>
  <c r="D136" i="141" s="1"/>
  <c r="D114" i="141" s="1"/>
  <c r="D92" i="141" s="1"/>
  <c r="C218" i="141"/>
  <c r="C199" i="141"/>
  <c r="C179" i="141" s="1"/>
  <c r="C158" i="141" s="1"/>
  <c r="C136" i="141" s="1"/>
  <c r="C114" i="141" s="1"/>
  <c r="C92" i="141" s="1"/>
  <c r="B223" i="141"/>
  <c r="B232" i="141" s="1"/>
  <c r="B222" i="141"/>
  <c r="B203" i="141" s="1"/>
  <c r="B183" i="141" s="1"/>
  <c r="B162" i="141" s="1"/>
  <c r="B140" i="141" s="1"/>
  <c r="B221" i="141"/>
  <c r="B202" i="141" s="1"/>
  <c r="B182" i="141" s="1"/>
  <c r="B161" i="141" s="1"/>
  <c r="B139" i="141" s="1"/>
  <c r="B220" i="141"/>
  <c r="B201" i="141" s="1"/>
  <c r="B181" i="141" s="1"/>
  <c r="B160" i="141" s="1"/>
  <c r="B138" i="141" s="1"/>
  <c r="B219" i="141"/>
  <c r="B200" i="141" s="1"/>
  <c r="B180" i="141" s="1"/>
  <c r="B159" i="141" s="1"/>
  <c r="B137" i="141" s="1"/>
  <c r="B218" i="141"/>
  <c r="B199" i="141" s="1"/>
  <c r="B179" i="141" s="1"/>
  <c r="B158" i="141" s="1"/>
  <c r="B136" i="141" s="1"/>
  <c r="AB263" i="66"/>
  <c r="AB271" i="66" s="1"/>
  <c r="U227" i="66"/>
  <c r="S21" i="54"/>
  <c r="R21" i="54"/>
  <c r="R23" i="54" s="1"/>
  <c r="AM190" i="182" s="1"/>
  <c r="D21" i="54"/>
  <c r="C21" i="54"/>
  <c r="R54" i="43"/>
  <c r="AM81" i="182" s="1"/>
  <c r="AN81" i="182" s="1"/>
  <c r="C23" i="38"/>
  <c r="C39" i="38" s="1"/>
  <c r="C54" i="182" s="1"/>
  <c r="C43" i="43"/>
  <c r="C54" i="43" s="1"/>
  <c r="C9" i="107"/>
  <c r="D9" i="8"/>
  <c r="D21" i="8" s="1"/>
  <c r="D146" i="182" s="1"/>
  <c r="D8" i="43"/>
  <c r="D9" i="33"/>
  <c r="D12" i="33" s="1"/>
  <c r="G231" i="141"/>
  <c r="H122" i="138"/>
  <c r="H142" i="138" s="1"/>
  <c r="G122" i="138"/>
  <c r="F122" i="138"/>
  <c r="F111" i="138" s="1"/>
  <c r="F100" i="138" s="1"/>
  <c r="F90" i="138" s="1"/>
  <c r="F80" i="138" s="1"/>
  <c r="H121" i="138"/>
  <c r="G121" i="138"/>
  <c r="F121" i="138"/>
  <c r="H119" i="138"/>
  <c r="G119" i="138"/>
  <c r="G108" i="138" s="1"/>
  <c r="G97" i="138" s="1"/>
  <c r="G87" i="138" s="1"/>
  <c r="G77" i="138" s="1"/>
  <c r="G67" i="138" s="1"/>
  <c r="G57" i="138" s="1"/>
  <c r="G47" i="138" s="1"/>
  <c r="F119" i="138"/>
  <c r="F139" i="138" s="1"/>
  <c r="E119" i="138"/>
  <c r="D119" i="138"/>
  <c r="D108" i="138" s="1"/>
  <c r="D97" i="138" s="1"/>
  <c r="D87" i="138" s="1"/>
  <c r="D77" i="138" s="1"/>
  <c r="D67" i="138" s="1"/>
  <c r="D57" i="138" s="1"/>
  <c r="D47" i="138" s="1"/>
  <c r="C119" i="138"/>
  <c r="C139" i="138" s="1"/>
  <c r="H118" i="138"/>
  <c r="G118" i="138"/>
  <c r="F118" i="138"/>
  <c r="F107" i="138" s="1"/>
  <c r="F96" i="138" s="1"/>
  <c r="F86" i="138" s="1"/>
  <c r="F76" i="138" s="1"/>
  <c r="F66" i="138" s="1"/>
  <c r="F56" i="138" s="1"/>
  <c r="F46" i="138" s="1"/>
  <c r="E118" i="138"/>
  <c r="E107" i="138" s="1"/>
  <c r="E96" i="138" s="1"/>
  <c r="E86" i="138" s="1"/>
  <c r="E76" i="138" s="1"/>
  <c r="D118" i="138"/>
  <c r="C118" i="138"/>
  <c r="C138" i="138"/>
  <c r="E122" i="138"/>
  <c r="E121" i="138"/>
  <c r="E110" i="138" s="1"/>
  <c r="E99" i="138" s="1"/>
  <c r="E89" i="138" s="1"/>
  <c r="E79" i="138" s="1"/>
  <c r="E69" i="138" s="1"/>
  <c r="E59" i="138" s="1"/>
  <c r="B119" i="138"/>
  <c r="B139" i="138" s="1"/>
  <c r="B118" i="138"/>
  <c r="B138" i="138" s="1"/>
  <c r="C12" i="15"/>
  <c r="C10" i="17"/>
  <c r="C16" i="17" s="1"/>
  <c r="C11" i="43"/>
  <c r="C28" i="43" s="1"/>
  <c r="C19" i="30"/>
  <c r="D10" i="29"/>
  <c r="C12" i="33"/>
  <c r="D10" i="86"/>
  <c r="D25" i="93"/>
  <c r="D26" i="93" s="1"/>
  <c r="D20" i="93"/>
  <c r="D24" i="5"/>
  <c r="D12" i="6"/>
  <c r="D29" i="6" s="1"/>
  <c r="D32" i="6"/>
  <c r="D33" i="6"/>
  <c r="D36" i="6"/>
  <c r="I12" i="2"/>
  <c r="C6" i="107"/>
  <c r="C15" i="4"/>
  <c r="C18" i="4" s="1"/>
  <c r="D15" i="4"/>
  <c r="D18" i="4" s="1"/>
  <c r="R15" i="4"/>
  <c r="R18" i="4" s="1"/>
  <c r="AM229" i="182" s="1"/>
  <c r="C29" i="6"/>
  <c r="R29" i="6"/>
  <c r="C56" i="6"/>
  <c r="R56" i="6"/>
  <c r="C59" i="6"/>
  <c r="R59" i="6"/>
  <c r="C12" i="5"/>
  <c r="R12" i="5"/>
  <c r="AM219" i="182" s="1"/>
  <c r="C24" i="5"/>
  <c r="R24" i="5"/>
  <c r="AM220" i="182" s="1"/>
  <c r="C27" i="5"/>
  <c r="D27" i="5"/>
  <c r="D130" i="129" s="1"/>
  <c r="R27" i="5"/>
  <c r="C16" i="12"/>
  <c r="C213" i="182" s="1"/>
  <c r="D16" i="12"/>
  <c r="D213" i="182" s="1"/>
  <c r="R16" i="12"/>
  <c r="AM213" i="182" s="1"/>
  <c r="C64" i="12"/>
  <c r="C214" i="182" s="1"/>
  <c r="C278" i="182" s="1"/>
  <c r="D64" i="12"/>
  <c r="D214" i="182" s="1"/>
  <c r="C16" i="24"/>
  <c r="C197" i="182" s="1"/>
  <c r="D16" i="24"/>
  <c r="D197" i="182" s="1"/>
  <c r="C47" i="24"/>
  <c r="C198" i="182" s="1"/>
  <c r="C261" i="182" s="1"/>
  <c r="D47" i="24"/>
  <c r="D198" i="182" s="1"/>
  <c r="C20" i="93"/>
  <c r="R20" i="93"/>
  <c r="C26" i="93"/>
  <c r="R26" i="93"/>
  <c r="C18" i="53"/>
  <c r="C20" i="53" s="1"/>
  <c r="C186" i="182" s="1"/>
  <c r="D18" i="53"/>
  <c r="D20" i="53" s="1"/>
  <c r="D186" i="182" s="1"/>
  <c r="R18" i="53"/>
  <c r="R20" i="53" s="1"/>
  <c r="AM186" i="182" s="1"/>
  <c r="C16" i="52"/>
  <c r="D16" i="52"/>
  <c r="R16" i="52"/>
  <c r="AM182" i="182" s="1"/>
  <c r="C31" i="51"/>
  <c r="D31" i="51"/>
  <c r="R31" i="51"/>
  <c r="C56" i="51"/>
  <c r="D56" i="51"/>
  <c r="R56" i="51"/>
  <c r="C61" i="51"/>
  <c r="D61" i="51"/>
  <c r="R61" i="51"/>
  <c r="C11" i="50"/>
  <c r="C14" i="50" s="1"/>
  <c r="D11" i="50"/>
  <c r="D14" i="50" s="1"/>
  <c r="R11" i="50"/>
  <c r="S11" i="50"/>
  <c r="C12" i="135"/>
  <c r="C15" i="135" s="1"/>
  <c r="D12" i="135"/>
  <c r="D15" i="135" s="1"/>
  <c r="D93" i="66" s="1"/>
  <c r="R12" i="135"/>
  <c r="R15" i="135" s="1"/>
  <c r="S12" i="135"/>
  <c r="S15" i="135" s="1"/>
  <c r="C13" i="49"/>
  <c r="D13" i="49"/>
  <c r="R13" i="49"/>
  <c r="AM165" i="182" s="1"/>
  <c r="C27" i="49"/>
  <c r="D27" i="49"/>
  <c r="R27" i="49"/>
  <c r="AM166" i="182" s="1"/>
  <c r="AN166" i="182" s="1"/>
  <c r="C16" i="11"/>
  <c r="C160" i="182" s="1"/>
  <c r="D16" i="11"/>
  <c r="D160" i="182" s="1"/>
  <c r="C41" i="11"/>
  <c r="C161" i="182" s="1"/>
  <c r="D41" i="11"/>
  <c r="D161" i="182" s="1"/>
  <c r="R41" i="11"/>
  <c r="AM161" i="182" s="1"/>
  <c r="C44" i="11"/>
  <c r="D44" i="11"/>
  <c r="R44" i="11"/>
  <c r="S44" i="11"/>
  <c r="C12" i="10"/>
  <c r="C15" i="10" s="1"/>
  <c r="C86" i="66" s="1"/>
  <c r="D12" i="10"/>
  <c r="D15" i="10" s="1"/>
  <c r="R12" i="10"/>
  <c r="S12" i="10"/>
  <c r="C11" i="9"/>
  <c r="D11" i="9"/>
  <c r="C24" i="9"/>
  <c r="C152" i="182" s="1"/>
  <c r="C153" i="182" s="1"/>
  <c r="D24" i="9"/>
  <c r="D152" i="182" s="1"/>
  <c r="R24" i="9"/>
  <c r="C21" i="8"/>
  <c r="C146" i="182" s="1"/>
  <c r="C148" i="182" s="1"/>
  <c r="C39" i="8"/>
  <c r="C147" i="182" s="1"/>
  <c r="D39" i="8"/>
  <c r="D147" i="182" s="1"/>
  <c r="C17" i="7"/>
  <c r="C141" i="182" s="1"/>
  <c r="D17" i="7"/>
  <c r="D141" i="182" s="1"/>
  <c r="C20" i="7"/>
  <c r="C142" i="182" s="1"/>
  <c r="C245" i="182" s="1"/>
  <c r="D20" i="7"/>
  <c r="D142" i="182" s="1"/>
  <c r="R20" i="7"/>
  <c r="AM142" i="182" s="1"/>
  <c r="S20" i="7"/>
  <c r="AQ142" i="182" s="1"/>
  <c r="C13" i="22"/>
  <c r="R13" i="22"/>
  <c r="AM131" i="182" s="1"/>
  <c r="AN131" i="182" s="1"/>
  <c r="C25" i="22"/>
  <c r="D25" i="22"/>
  <c r="R25" i="22"/>
  <c r="AM132" i="182" s="1"/>
  <c r="C12" i="18"/>
  <c r="R12" i="18"/>
  <c r="AM126" i="182" s="1"/>
  <c r="C18" i="18"/>
  <c r="D18" i="18"/>
  <c r="R18" i="18"/>
  <c r="AM127" i="182" s="1"/>
  <c r="AN127" i="182" s="1"/>
  <c r="C13" i="23"/>
  <c r="R13" i="23"/>
  <c r="C19" i="23"/>
  <c r="D19" i="23"/>
  <c r="R16" i="17"/>
  <c r="C50" i="17"/>
  <c r="D50" i="17"/>
  <c r="R50" i="17"/>
  <c r="C12" i="56"/>
  <c r="R12" i="56"/>
  <c r="C22" i="56"/>
  <c r="D22" i="56"/>
  <c r="C9" i="15"/>
  <c r="R9" i="15"/>
  <c r="C10" i="15"/>
  <c r="R10" i="15"/>
  <c r="U10" i="15"/>
  <c r="R11" i="15"/>
  <c r="R12" i="15"/>
  <c r="S12" i="15"/>
  <c r="C13" i="15"/>
  <c r="C14" i="15"/>
  <c r="C16" i="15"/>
  <c r="R13" i="15"/>
  <c r="R14" i="15"/>
  <c r="S14" i="15"/>
  <c r="U14" i="15"/>
  <c r="R15" i="15"/>
  <c r="S15" i="15"/>
  <c r="U15" i="15"/>
  <c r="R16" i="15"/>
  <c r="S16" i="15"/>
  <c r="U16" i="15"/>
  <c r="C20" i="15"/>
  <c r="D20" i="15"/>
  <c r="D21" i="15"/>
  <c r="D22" i="15"/>
  <c r="D23" i="15"/>
  <c r="D24" i="15"/>
  <c r="D25" i="15"/>
  <c r="D26" i="15"/>
  <c r="D27" i="15"/>
  <c r="D28" i="15"/>
  <c r="D29" i="15"/>
  <c r="D31" i="15"/>
  <c r="D32" i="15"/>
  <c r="D33" i="15"/>
  <c r="D34" i="15"/>
  <c r="D35" i="15"/>
  <c r="D36" i="15"/>
  <c r="D37" i="15"/>
  <c r="D38" i="15"/>
  <c r="D39" i="15"/>
  <c r="D41" i="15"/>
  <c r="D42" i="15"/>
  <c r="D43" i="15"/>
  <c r="D44" i="15"/>
  <c r="D45" i="15"/>
  <c r="D46" i="15"/>
  <c r="D47" i="15"/>
  <c r="D48" i="15"/>
  <c r="D50" i="15"/>
  <c r="D51" i="15"/>
  <c r="D52" i="15"/>
  <c r="D53" i="15"/>
  <c r="D54" i="15"/>
  <c r="R20" i="15"/>
  <c r="S20" i="15"/>
  <c r="U20" i="15"/>
  <c r="C21" i="15"/>
  <c r="R21" i="15"/>
  <c r="S21" i="15"/>
  <c r="U21" i="15"/>
  <c r="C22" i="15"/>
  <c r="R22" i="15"/>
  <c r="S22" i="15"/>
  <c r="U22" i="15"/>
  <c r="C23" i="15"/>
  <c r="R23" i="15"/>
  <c r="S23" i="15"/>
  <c r="U23" i="15"/>
  <c r="C24" i="15"/>
  <c r="R24" i="15"/>
  <c r="S24" i="15"/>
  <c r="U24" i="15"/>
  <c r="C25" i="15"/>
  <c r="R25" i="15"/>
  <c r="S25" i="15"/>
  <c r="U25" i="15"/>
  <c r="C26" i="15"/>
  <c r="R26" i="15"/>
  <c r="S26" i="15"/>
  <c r="U26" i="15"/>
  <c r="C27" i="15"/>
  <c r="R27" i="15"/>
  <c r="S27" i="15"/>
  <c r="U27" i="15"/>
  <c r="C28" i="15"/>
  <c r="R28" i="15"/>
  <c r="S28" i="15"/>
  <c r="U28" i="15"/>
  <c r="C29" i="15"/>
  <c r="U29" i="15"/>
  <c r="C31" i="15"/>
  <c r="R31" i="15"/>
  <c r="S31" i="15"/>
  <c r="U31" i="15"/>
  <c r="C32" i="15"/>
  <c r="R32" i="15"/>
  <c r="S32" i="15"/>
  <c r="U32" i="15"/>
  <c r="C33" i="15"/>
  <c r="R33" i="15"/>
  <c r="S33" i="15"/>
  <c r="U33" i="15"/>
  <c r="C34" i="15"/>
  <c r="R34" i="15"/>
  <c r="S34" i="15"/>
  <c r="C35" i="15"/>
  <c r="C36" i="15"/>
  <c r="C37" i="15"/>
  <c r="C38" i="15"/>
  <c r="C39" i="15"/>
  <c r="C41" i="15"/>
  <c r="C42" i="15"/>
  <c r="C43" i="15"/>
  <c r="C44" i="15"/>
  <c r="C45" i="15"/>
  <c r="C46" i="15"/>
  <c r="C47" i="15"/>
  <c r="C48" i="15"/>
  <c r="C50" i="15"/>
  <c r="C51" i="15"/>
  <c r="C52" i="15"/>
  <c r="C53" i="15"/>
  <c r="C54" i="15"/>
  <c r="R35" i="15"/>
  <c r="S35" i="15"/>
  <c r="U35" i="15"/>
  <c r="R36" i="15"/>
  <c r="S36" i="15"/>
  <c r="U36" i="15"/>
  <c r="R37" i="15"/>
  <c r="S37" i="15"/>
  <c r="U37" i="15"/>
  <c r="R38" i="15"/>
  <c r="S38" i="15"/>
  <c r="U38" i="15"/>
  <c r="R39" i="15"/>
  <c r="S39" i="15"/>
  <c r="U39" i="15"/>
  <c r="R41" i="15"/>
  <c r="S41" i="15"/>
  <c r="U41" i="15"/>
  <c r="R42" i="15"/>
  <c r="S42" i="15"/>
  <c r="U42" i="15"/>
  <c r="R43" i="15"/>
  <c r="S43" i="15"/>
  <c r="U43" i="15"/>
  <c r="R44" i="15"/>
  <c r="S44" i="15"/>
  <c r="U44" i="15"/>
  <c r="R45" i="15"/>
  <c r="S45" i="15"/>
  <c r="U45" i="15"/>
  <c r="R46" i="15"/>
  <c r="S46" i="15"/>
  <c r="U46" i="15"/>
  <c r="R47" i="15"/>
  <c r="S47" i="15"/>
  <c r="U47" i="15"/>
  <c r="R48" i="15"/>
  <c r="S48" i="15"/>
  <c r="U48" i="15"/>
  <c r="R50" i="15"/>
  <c r="S50" i="15"/>
  <c r="U50" i="15"/>
  <c r="R51" i="15"/>
  <c r="S51" i="15"/>
  <c r="U51" i="15"/>
  <c r="R52" i="15"/>
  <c r="S52" i="15"/>
  <c r="U52" i="15"/>
  <c r="R53" i="15"/>
  <c r="S53" i="15"/>
  <c r="U53" i="15"/>
  <c r="R54" i="15"/>
  <c r="S54" i="15"/>
  <c r="U54" i="15"/>
  <c r="T100" i="15"/>
  <c r="S13" i="15"/>
  <c r="AA103" i="15"/>
  <c r="C11" i="13"/>
  <c r="C130" i="66" s="1"/>
  <c r="D11" i="13"/>
  <c r="D130" i="66" s="1"/>
  <c r="S11" i="13"/>
  <c r="AQ238" i="182" s="1"/>
  <c r="C14" i="13"/>
  <c r="C131" i="66" s="1"/>
  <c r="D14" i="13"/>
  <c r="R14" i="13"/>
  <c r="C10" i="86"/>
  <c r="R10" i="86"/>
  <c r="AM115" i="182" s="1"/>
  <c r="R17" i="86"/>
  <c r="AM116" i="182" s="1"/>
  <c r="AN116" i="182" s="1"/>
  <c r="C10" i="48"/>
  <c r="C12" i="48" s="1"/>
  <c r="C67" i="66" s="1"/>
  <c r="D10" i="48"/>
  <c r="D12" i="48" s="1"/>
  <c r="D67" i="66" s="1"/>
  <c r="R10" i="48"/>
  <c r="R12" i="48" s="1"/>
  <c r="S12" i="48"/>
  <c r="C16" i="47"/>
  <c r="D16" i="47"/>
  <c r="R16" i="47"/>
  <c r="C10" i="46"/>
  <c r="D10" i="46"/>
  <c r="R10" i="46"/>
  <c r="AM100" i="182" s="1"/>
  <c r="C14" i="46"/>
  <c r="D14" i="46"/>
  <c r="S14" i="46"/>
  <c r="C10" i="45"/>
  <c r="C12" i="45" s="1"/>
  <c r="C63" i="66" s="1"/>
  <c r="D10" i="45"/>
  <c r="D12" i="45" s="1"/>
  <c r="R10" i="45"/>
  <c r="R12" i="45" s="1"/>
  <c r="S10" i="45"/>
  <c r="S12" i="45" s="1"/>
  <c r="C20" i="44"/>
  <c r="D20" i="44"/>
  <c r="C33" i="44"/>
  <c r="D33" i="44"/>
  <c r="C19" i="60"/>
  <c r="C26" i="60" s="1"/>
  <c r="D19" i="60"/>
  <c r="R19" i="60"/>
  <c r="R28" i="43"/>
  <c r="AM80" i="182" s="1"/>
  <c r="D54" i="43"/>
  <c r="C57" i="43"/>
  <c r="D57" i="43"/>
  <c r="D60" i="66" s="1"/>
  <c r="R57" i="43"/>
  <c r="AM82" i="182" s="1"/>
  <c r="AN82" i="182" s="1"/>
  <c r="C39" i="87"/>
  <c r="D39" i="87"/>
  <c r="R39" i="87"/>
  <c r="D22" i="129"/>
  <c r="C15" i="41"/>
  <c r="C18" i="41" s="1"/>
  <c r="C52" i="66" s="1"/>
  <c r="D15" i="41"/>
  <c r="D18" i="41" s="1"/>
  <c r="R15" i="41"/>
  <c r="C13" i="40"/>
  <c r="D13" i="40"/>
  <c r="C30" i="40"/>
  <c r="D30" i="40"/>
  <c r="R30" i="40"/>
  <c r="AM59" i="182" s="1"/>
  <c r="V40" i="40"/>
  <c r="S11" i="40" s="1"/>
  <c r="P48" i="40" s="1"/>
  <c r="C18" i="38"/>
  <c r="D18" i="38"/>
  <c r="D53" i="182" s="1"/>
  <c r="D39" i="38"/>
  <c r="D54" i="182" s="1"/>
  <c r="R39" i="38"/>
  <c r="S15" i="38"/>
  <c r="C13" i="36"/>
  <c r="C16" i="36" s="1"/>
  <c r="C47" i="66" s="1"/>
  <c r="D13" i="36"/>
  <c r="D16" i="36" s="1"/>
  <c r="R13" i="36"/>
  <c r="S13" i="36"/>
  <c r="C16" i="35"/>
  <c r="C33" i="182" s="1"/>
  <c r="D16" i="35"/>
  <c r="D33" i="182" s="1"/>
  <c r="C32" i="35"/>
  <c r="C34" i="182" s="1"/>
  <c r="D32" i="35"/>
  <c r="D34" i="182" s="1"/>
  <c r="R32" i="35"/>
  <c r="S12" i="35"/>
  <c r="C16" i="34"/>
  <c r="D16" i="34"/>
  <c r="R16" i="34"/>
  <c r="AM28" i="182" s="1"/>
  <c r="C37" i="34"/>
  <c r="R37" i="34"/>
  <c r="AM29" i="182" s="1"/>
  <c r="AN29" i="182" s="1"/>
  <c r="C27" i="33"/>
  <c r="C24" i="182" s="1"/>
  <c r="C25" i="182" s="1"/>
  <c r="D27" i="33"/>
  <c r="D24" i="182" s="1"/>
  <c r="C73" i="33"/>
  <c r="C11" i="32"/>
  <c r="C14" i="32" s="1"/>
  <c r="D11" i="32"/>
  <c r="D14" i="32" s="1"/>
  <c r="R11" i="32"/>
  <c r="R14" i="32" s="1"/>
  <c r="C17" i="31"/>
  <c r="D17" i="31"/>
  <c r="R17" i="31"/>
  <c r="S20" i="31"/>
  <c r="S21" i="31" s="1"/>
  <c r="T21" i="31" s="1"/>
  <c r="D19" i="30"/>
  <c r="R19" i="30"/>
  <c r="AM10" i="182" s="1"/>
  <c r="C34" i="30"/>
  <c r="D34" i="30"/>
  <c r="R34" i="30"/>
  <c r="AM11" i="182" s="1"/>
  <c r="AN11" i="182" s="1"/>
  <c r="C10" i="29"/>
  <c r="R10" i="29"/>
  <c r="C21" i="29"/>
  <c r="D21" i="29"/>
  <c r="D23" i="29" s="1"/>
  <c r="R21" i="29"/>
  <c r="AM6" i="182" s="1"/>
  <c r="A8" i="129"/>
  <c r="A9" i="129"/>
  <c r="A10" i="129"/>
  <c r="A11" i="129"/>
  <c r="A12" i="129"/>
  <c r="A13" i="129"/>
  <c r="A14" i="129"/>
  <c r="A15" i="129"/>
  <c r="A17" i="129"/>
  <c r="A18" i="129"/>
  <c r="A19" i="129"/>
  <c r="A20" i="129"/>
  <c r="A21" i="129"/>
  <c r="A26" i="129"/>
  <c r="A28" i="129"/>
  <c r="A36" i="129"/>
  <c r="A37" i="129"/>
  <c r="A38" i="129"/>
  <c r="A39" i="129"/>
  <c r="A40" i="129"/>
  <c r="A41" i="129"/>
  <c r="A54" i="129"/>
  <c r="A45" i="129"/>
  <c r="A47" i="129"/>
  <c r="A48" i="129"/>
  <c r="A50" i="129"/>
  <c r="A62" i="129"/>
  <c r="A63" i="129"/>
  <c r="A67" i="129"/>
  <c r="A68" i="129"/>
  <c r="A69" i="129"/>
  <c r="A70" i="129"/>
  <c r="A74" i="129"/>
  <c r="A77" i="129"/>
  <c r="A86" i="129"/>
  <c r="A87" i="129"/>
  <c r="Y110" i="66"/>
  <c r="AA110" i="66"/>
  <c r="AB110" i="66"/>
  <c r="Y132" i="66"/>
  <c r="AA132" i="66"/>
  <c r="AB132" i="66"/>
  <c r="U134" i="66"/>
  <c r="X131" i="66"/>
  <c r="X132" i="66" s="1"/>
  <c r="X136" i="66" s="1"/>
  <c r="I5" i="2"/>
  <c r="I28" i="2" s="1"/>
  <c r="U13" i="15"/>
  <c r="I18" i="53"/>
  <c r="I20" i="53" s="1"/>
  <c r="S18" i="41"/>
  <c r="C107" i="138"/>
  <c r="C96" i="138" s="1"/>
  <c r="C86" i="138" s="1"/>
  <c r="C76" i="138" s="1"/>
  <c r="G107" i="138"/>
  <c r="G96" i="138" s="1"/>
  <c r="G86" i="138" s="1"/>
  <c r="G76" i="138" s="1"/>
  <c r="G138" i="138"/>
  <c r="C108" i="138"/>
  <c r="C97" i="138" s="1"/>
  <c r="C87" i="138" s="1"/>
  <c r="C77" i="138" s="1"/>
  <c r="F110" i="138"/>
  <c r="F99" i="138" s="1"/>
  <c r="F89" i="138" s="1"/>
  <c r="F79" i="138" s="1"/>
  <c r="F69" i="138" s="1"/>
  <c r="F59" i="138" s="1"/>
  <c r="F49" i="138" s="1"/>
  <c r="F141" i="138"/>
  <c r="H110" i="138"/>
  <c r="H99" i="138" s="1"/>
  <c r="H89" i="138" s="1"/>
  <c r="H79" i="138" s="1"/>
  <c r="H69" i="138" s="1"/>
  <c r="H59" i="138" s="1"/>
  <c r="H49" i="138" s="1"/>
  <c r="H141" i="138"/>
  <c r="B108" i="138"/>
  <c r="B97" i="138" s="1"/>
  <c r="B87" i="138" s="1"/>
  <c r="B77" i="138" s="1"/>
  <c r="B67" i="138" s="1"/>
  <c r="B57" i="138" s="1"/>
  <c r="B47" i="138" s="1"/>
  <c r="E111" i="138"/>
  <c r="E100" i="138" s="1"/>
  <c r="E90" i="138" s="1"/>
  <c r="E80" i="138" s="1"/>
  <c r="E70" i="138" s="1"/>
  <c r="E60" i="138" s="1"/>
  <c r="E142" i="138"/>
  <c r="H107" i="138"/>
  <c r="H96" i="138" s="1"/>
  <c r="H86" i="138" s="1"/>
  <c r="H76" i="138" s="1"/>
  <c r="H66" i="138" s="1"/>
  <c r="H56" i="138" s="1"/>
  <c r="H46" i="138" s="1"/>
  <c r="H138" i="138"/>
  <c r="H108" i="138"/>
  <c r="H97" i="138" s="1"/>
  <c r="H87" i="138" s="1"/>
  <c r="H77" i="138" s="1"/>
  <c r="H67" i="138" s="1"/>
  <c r="H57" i="138" s="1"/>
  <c r="H47" i="138" s="1"/>
  <c r="H139" i="138"/>
  <c r="G110" i="138"/>
  <c r="G99" i="138" s="1"/>
  <c r="G89" i="138" s="1"/>
  <c r="G79" i="138" s="1"/>
  <c r="G69" i="138" s="1"/>
  <c r="G59" i="138" s="1"/>
  <c r="G49" i="138" s="1"/>
  <c r="G141" i="138"/>
  <c r="I16" i="36"/>
  <c r="H15" i="129" s="1"/>
  <c r="B204" i="141"/>
  <c r="B213" i="141" s="1"/>
  <c r="J232" i="141"/>
  <c r="F204" i="141"/>
  <c r="F184" i="141" s="1"/>
  <c r="F231" i="141"/>
  <c r="F35" i="148"/>
  <c r="H35" i="148"/>
  <c r="X13" i="51"/>
  <c r="J35" i="148"/>
  <c r="Z13" i="51"/>
  <c r="L35" i="148"/>
  <c r="AB13" i="6" s="1"/>
  <c r="N35" i="148"/>
  <c r="AD13" i="6" s="1"/>
  <c r="AD13" i="51"/>
  <c r="P35" i="148"/>
  <c r="AF13" i="51"/>
  <c r="R35" i="148"/>
  <c r="AH13" i="51"/>
  <c r="T35" i="148"/>
  <c r="AJ13" i="6" s="1"/>
  <c r="D36" i="148"/>
  <c r="F36" i="148"/>
  <c r="H36" i="148"/>
  <c r="X14" i="6" s="1"/>
  <c r="X14" i="51"/>
  <c r="AB14" i="51"/>
  <c r="N36" i="148"/>
  <c r="AD14" i="6" s="1"/>
  <c r="AD14" i="51"/>
  <c r="P36" i="148"/>
  <c r="AF14" i="6"/>
  <c r="AF14" i="51"/>
  <c r="T36" i="148"/>
  <c r="AJ14" i="6" s="1"/>
  <c r="AJ14" i="51"/>
  <c r="D37" i="148"/>
  <c r="F37" i="148"/>
  <c r="Z15" i="51"/>
  <c r="Z16" i="51"/>
  <c r="L37" i="148"/>
  <c r="AB15" i="6" s="1"/>
  <c r="AB15" i="51"/>
  <c r="N37" i="148"/>
  <c r="AD15" i="6" s="1"/>
  <c r="AD15" i="51"/>
  <c r="P37" i="148"/>
  <c r="AF15" i="6" s="1"/>
  <c r="R37" i="148"/>
  <c r="AH15" i="6" s="1"/>
  <c r="AH16" i="51"/>
  <c r="T37" i="148"/>
  <c r="AJ15" i="6" s="1"/>
  <c r="AJ15" i="51"/>
  <c r="D38" i="148"/>
  <c r="F38" i="148"/>
  <c r="J38" i="148"/>
  <c r="Z16" i="6"/>
  <c r="L38" i="148"/>
  <c r="AB16" i="6" s="1"/>
  <c r="AB16" i="51"/>
  <c r="R38" i="148"/>
  <c r="AH16" i="6" s="1"/>
  <c r="T38" i="148"/>
  <c r="AJ16" i="6" s="1"/>
  <c r="AJ16" i="51"/>
  <c r="D42" i="148"/>
  <c r="F42" i="148"/>
  <c r="H42" i="148"/>
  <c r="X37" i="6" s="1"/>
  <c r="X37" i="51"/>
  <c r="J42" i="148"/>
  <c r="Z37" i="51"/>
  <c r="AB37" i="51"/>
  <c r="N42" i="148"/>
  <c r="AD37" i="51"/>
  <c r="P42" i="148"/>
  <c r="AF37" i="51"/>
  <c r="R42" i="148"/>
  <c r="AH37" i="51"/>
  <c r="AJ37" i="51"/>
  <c r="D43" i="148"/>
  <c r="D49" i="148" s="1"/>
  <c r="F43" i="148"/>
  <c r="H43" i="148"/>
  <c r="X38" i="6" s="1"/>
  <c r="X38" i="51"/>
  <c r="AB38" i="51"/>
  <c r="N43" i="148"/>
  <c r="AD38" i="6"/>
  <c r="AD38" i="51"/>
  <c r="P43" i="148"/>
  <c r="AF38" i="6" s="1"/>
  <c r="AF38" i="51"/>
  <c r="T43" i="148"/>
  <c r="AJ38" i="6" s="1"/>
  <c r="AJ38" i="51"/>
  <c r="D44" i="148"/>
  <c r="F44" i="148"/>
  <c r="X39" i="51"/>
  <c r="Z39" i="6"/>
  <c r="Z39" i="51"/>
  <c r="L44" i="148"/>
  <c r="AB39" i="6" s="1"/>
  <c r="AB39" i="51"/>
  <c r="N44" i="148"/>
  <c r="AD39" i="6" s="1"/>
  <c r="AD39" i="51"/>
  <c r="AF39" i="51"/>
  <c r="R44" i="148"/>
  <c r="AH39" i="6"/>
  <c r="T44" i="148"/>
  <c r="AJ39" i="6" s="1"/>
  <c r="AJ39" i="51"/>
  <c r="D45" i="148"/>
  <c r="H45" i="148"/>
  <c r="X40" i="6" s="1"/>
  <c r="X40" i="51"/>
  <c r="J45" i="148"/>
  <c r="Z40" i="6" s="1"/>
  <c r="Z40" i="51"/>
  <c r="L45" i="148"/>
  <c r="AB40" i="6" s="1"/>
  <c r="AB40" i="51"/>
  <c r="P45" i="148"/>
  <c r="AF40" i="6" s="1"/>
  <c r="AF40" i="51"/>
  <c r="R45" i="148"/>
  <c r="AH40" i="6" s="1"/>
  <c r="AH40" i="51"/>
  <c r="T45" i="148"/>
  <c r="AJ40" i="6" s="1"/>
  <c r="AJ40" i="51"/>
  <c r="F46" i="148"/>
  <c r="H46" i="148"/>
  <c r="X41" i="6" s="1"/>
  <c r="X41" i="51"/>
  <c r="J46" i="148"/>
  <c r="Z41" i="6" s="1"/>
  <c r="Z41" i="51"/>
  <c r="AB41" i="51"/>
  <c r="N46" i="148"/>
  <c r="AD41" i="6" s="1"/>
  <c r="AD41" i="51"/>
  <c r="P46" i="148"/>
  <c r="AF41" i="6"/>
  <c r="AF41" i="51"/>
  <c r="R46" i="148"/>
  <c r="AH41" i="6" s="1"/>
  <c r="AH41" i="51"/>
  <c r="T46" i="148"/>
  <c r="AJ41" i="6" s="1"/>
  <c r="F47" i="148"/>
  <c r="H47" i="148"/>
  <c r="X42" i="6" s="1"/>
  <c r="X42" i="51"/>
  <c r="Z42" i="6"/>
  <c r="Z42" i="51"/>
  <c r="L47" i="148"/>
  <c r="AB42" i="6" s="1"/>
  <c r="N47" i="148"/>
  <c r="AD42" i="6" s="1"/>
  <c r="AD42" i="51"/>
  <c r="P47" i="148"/>
  <c r="AF42" i="6" s="1"/>
  <c r="AF42" i="51"/>
  <c r="R47" i="148"/>
  <c r="AH42" i="6"/>
  <c r="T47" i="148"/>
  <c r="AJ42" i="6" s="1"/>
  <c r="V35" i="148"/>
  <c r="X35" i="148"/>
  <c r="AN13" i="6" s="1"/>
  <c r="AN13" i="51"/>
  <c r="Z35" i="148"/>
  <c r="Z39" i="148" s="1"/>
  <c r="AP13" i="51"/>
  <c r="AB35" i="148"/>
  <c r="AR13" i="51"/>
  <c r="V36" i="148"/>
  <c r="AL14" i="6" s="1"/>
  <c r="X36" i="148"/>
  <c r="AN14" i="6" s="1"/>
  <c r="AN14" i="51"/>
  <c r="Z36" i="148"/>
  <c r="AP14" i="6"/>
  <c r="AP14" i="51"/>
  <c r="AB36" i="148"/>
  <c r="AR14" i="51"/>
  <c r="V37" i="148"/>
  <c r="AL15" i="6" s="1"/>
  <c r="AL15" i="51"/>
  <c r="Z37" i="148"/>
  <c r="AP15" i="6" s="1"/>
  <c r="AP15" i="51"/>
  <c r="AB37" i="148"/>
  <c r="AR15" i="6" s="1"/>
  <c r="AR15" i="51"/>
  <c r="AL16" i="51"/>
  <c r="X38" i="148"/>
  <c r="AN16" i="6" s="1"/>
  <c r="AN16" i="51"/>
  <c r="Z38" i="148"/>
  <c r="AP16" i="6" s="1"/>
  <c r="AP16" i="51"/>
  <c r="AB38" i="148"/>
  <c r="AR16" i="6" s="1"/>
  <c r="AR16" i="51"/>
  <c r="V42" i="148"/>
  <c r="AL37" i="51"/>
  <c r="X42" i="148"/>
  <c r="AN37" i="51"/>
  <c r="Z42" i="148"/>
  <c r="AP37" i="51"/>
  <c r="AB42" i="148"/>
  <c r="AR37" i="51"/>
  <c r="V43" i="148"/>
  <c r="AL38" i="6" s="1"/>
  <c r="AL38" i="51"/>
  <c r="X43" i="148"/>
  <c r="AN38" i="51"/>
  <c r="Z43" i="148"/>
  <c r="AP38" i="6"/>
  <c r="AP38" i="51"/>
  <c r="AB43" i="148"/>
  <c r="AB49" i="148" s="1"/>
  <c r="AR38" i="6"/>
  <c r="AR38" i="51"/>
  <c r="X44" i="148"/>
  <c r="AN39" i="6" s="1"/>
  <c r="AN39" i="51"/>
  <c r="Z44" i="148"/>
  <c r="AP39" i="6"/>
  <c r="AP39" i="51"/>
  <c r="AB44" i="148"/>
  <c r="AR39" i="6" s="1"/>
  <c r="AR39" i="51"/>
  <c r="AL40" i="51"/>
  <c r="X45" i="148"/>
  <c r="AN40" i="6" s="1"/>
  <c r="AN40" i="51"/>
  <c r="Z45" i="148"/>
  <c r="AP40" i="6"/>
  <c r="AP40" i="51"/>
  <c r="AB45" i="148"/>
  <c r="AR40" i="6" s="1"/>
  <c r="AR40" i="51"/>
  <c r="AL41" i="51"/>
  <c r="X46" i="148"/>
  <c r="AN41" i="6" s="1"/>
  <c r="AN41" i="51"/>
  <c r="Z46" i="148"/>
  <c r="AP41" i="6" s="1"/>
  <c r="AP41" i="51"/>
  <c r="AB46" i="148"/>
  <c r="AR41" i="6" s="1"/>
  <c r="AR41" i="51"/>
  <c r="V47" i="148"/>
  <c r="AL42" i="6" s="1"/>
  <c r="AL42" i="51"/>
  <c r="X47" i="148"/>
  <c r="AN42" i="6" s="1"/>
  <c r="AN42" i="51"/>
  <c r="Z47" i="148"/>
  <c r="AP42" i="6" s="1"/>
  <c r="AP42" i="51"/>
  <c r="AB47" i="148"/>
  <c r="AR42" i="6"/>
  <c r="AR42" i="51"/>
  <c r="AD35" i="148"/>
  <c r="AF35" i="148"/>
  <c r="AV13" i="51"/>
  <c r="AH35" i="148"/>
  <c r="AX13" i="6" s="1"/>
  <c r="AX13" i="51"/>
  <c r="AE36" i="148"/>
  <c r="AU14" i="6" s="1"/>
  <c r="AU14" i="51"/>
  <c r="AG36" i="148"/>
  <c r="AW14" i="6" s="1"/>
  <c r="AD37" i="148"/>
  <c r="AT15" i="6" s="1"/>
  <c r="AT15" i="51"/>
  <c r="AF37" i="148"/>
  <c r="AV15" i="6" s="1"/>
  <c r="AV15" i="51"/>
  <c r="AH37" i="148"/>
  <c r="AX15" i="6"/>
  <c r="AX15" i="51"/>
  <c r="AG38" i="148"/>
  <c r="AW16" i="6" s="1"/>
  <c r="AW16" i="51"/>
  <c r="AD24" i="148"/>
  <c r="AT37" i="51"/>
  <c r="AF24" i="148"/>
  <c r="AV37" i="51"/>
  <c r="AE43" i="148"/>
  <c r="AU38" i="6" s="1"/>
  <c r="AU38" i="51"/>
  <c r="AG43" i="148"/>
  <c r="AW38" i="6" s="1"/>
  <c r="AW38" i="51"/>
  <c r="AD44" i="148"/>
  <c r="AT39" i="6" s="1"/>
  <c r="AT39" i="51"/>
  <c r="AH44" i="148"/>
  <c r="AX39" i="6" s="1"/>
  <c r="AX39" i="51"/>
  <c r="AE45" i="148"/>
  <c r="AU40" i="6" s="1"/>
  <c r="AU40" i="51"/>
  <c r="AG45" i="148"/>
  <c r="AW40" i="6" s="1"/>
  <c r="AW40" i="51"/>
  <c r="AT41" i="51"/>
  <c r="AF46" i="148"/>
  <c r="AV41" i="6" s="1"/>
  <c r="AV41" i="51"/>
  <c r="AH46" i="148"/>
  <c r="AX41" i="6"/>
  <c r="AX41" i="51"/>
  <c r="AE47" i="148"/>
  <c r="AU42" i="6" s="1"/>
  <c r="AU42" i="51"/>
  <c r="AG47" i="148"/>
  <c r="AW42" i="6" s="1"/>
  <c r="AW42" i="51"/>
  <c r="AI35" i="148"/>
  <c r="AY13" i="6"/>
  <c r="AY13" i="51"/>
  <c r="AI36" i="148"/>
  <c r="AY14" i="6" s="1"/>
  <c r="AY14" i="51"/>
  <c r="AI37" i="148"/>
  <c r="AY15" i="6" s="1"/>
  <c r="AY15" i="51"/>
  <c r="AI38" i="148"/>
  <c r="AY16" i="6" s="1"/>
  <c r="AY16" i="51"/>
  <c r="AI42" i="148"/>
  <c r="AY37" i="51"/>
  <c r="AI43" i="148"/>
  <c r="AY38" i="6" s="1"/>
  <c r="AY38" i="51"/>
  <c r="AI44" i="148"/>
  <c r="AY39" i="6" s="1"/>
  <c r="AY39" i="51"/>
  <c r="AI45" i="148"/>
  <c r="AY40" i="6"/>
  <c r="AY40" i="51"/>
  <c r="AI46" i="148"/>
  <c r="AY41" i="6" s="1"/>
  <c r="AY41" i="51"/>
  <c r="AI47" i="148"/>
  <c r="AY42" i="6" s="1"/>
  <c r="AY42" i="51"/>
  <c r="AF76" i="148"/>
  <c r="AH76" i="148"/>
  <c r="AE76" i="148"/>
  <c r="AG76" i="148"/>
  <c r="AI76" i="148"/>
  <c r="E35" i="148"/>
  <c r="E39" i="148" s="1"/>
  <c r="G35" i="148"/>
  <c r="W13" i="51"/>
  <c r="I35" i="148"/>
  <c r="Y13" i="51"/>
  <c r="K35" i="148"/>
  <c r="AA13" i="51"/>
  <c r="M35" i="148"/>
  <c r="AC13" i="6" s="1"/>
  <c r="AC13" i="51"/>
  <c r="O35" i="148"/>
  <c r="AE13" i="51"/>
  <c r="Q35" i="148"/>
  <c r="AG13" i="51"/>
  <c r="S35" i="148"/>
  <c r="AI13" i="6" s="1"/>
  <c r="AI13" i="51"/>
  <c r="U35" i="148"/>
  <c r="U39" i="148" s="1"/>
  <c r="AK13" i="51"/>
  <c r="E36" i="148"/>
  <c r="G36" i="148"/>
  <c r="W14" i="6" s="1"/>
  <c r="W14" i="51"/>
  <c r="I36" i="148"/>
  <c r="Y14" i="6" s="1"/>
  <c r="Y14" i="51"/>
  <c r="K36" i="148"/>
  <c r="AA14" i="6"/>
  <c r="AA14" i="51"/>
  <c r="M36" i="148"/>
  <c r="AC14" i="6"/>
  <c r="AC14" i="51"/>
  <c r="O36" i="148"/>
  <c r="AE14" i="51"/>
  <c r="Q36" i="148"/>
  <c r="AG14" i="6" s="1"/>
  <c r="AG14" i="51"/>
  <c r="S36" i="148"/>
  <c r="U36" i="148"/>
  <c r="AK14" i="6"/>
  <c r="AK14" i="51"/>
  <c r="E37" i="148"/>
  <c r="G37" i="148"/>
  <c r="W15" i="6" s="1"/>
  <c r="W15" i="51"/>
  <c r="K37" i="148"/>
  <c r="AA15" i="6" s="1"/>
  <c r="AA15" i="51"/>
  <c r="M37" i="148"/>
  <c r="AC15" i="6" s="1"/>
  <c r="AC15" i="51"/>
  <c r="AC16" i="51"/>
  <c r="O37" i="148"/>
  <c r="AE15" i="6" s="1"/>
  <c r="AE15" i="51"/>
  <c r="S37" i="148"/>
  <c r="AI15" i="6" s="1"/>
  <c r="AI15" i="51"/>
  <c r="U37" i="148"/>
  <c r="AK15" i="6" s="1"/>
  <c r="AK15" i="51"/>
  <c r="E38" i="148"/>
  <c r="G38" i="148"/>
  <c r="W16" i="6" s="1"/>
  <c r="I38" i="148"/>
  <c r="Y16" i="6" s="1"/>
  <c r="Y16" i="51"/>
  <c r="K38" i="148"/>
  <c r="AA16" i="6" s="1"/>
  <c r="AA16" i="51"/>
  <c r="M38" i="148"/>
  <c r="AC16" i="6" s="1"/>
  <c r="Q38" i="148"/>
  <c r="AG16" i="6"/>
  <c r="AG16" i="51"/>
  <c r="S38" i="148"/>
  <c r="AI16" i="6"/>
  <c r="AI16" i="51"/>
  <c r="U38" i="148"/>
  <c r="AK16" i="6"/>
  <c r="AK16" i="51"/>
  <c r="E42" i="148"/>
  <c r="G42" i="148"/>
  <c r="W37" i="51"/>
  <c r="I42" i="148"/>
  <c r="Y37" i="51"/>
  <c r="K42" i="148"/>
  <c r="AA37" i="6"/>
  <c r="AA37" i="51"/>
  <c r="M42" i="148"/>
  <c r="O42" i="148"/>
  <c r="AE37" i="51"/>
  <c r="Q42" i="148"/>
  <c r="AG37" i="6" s="1"/>
  <c r="AG37" i="51"/>
  <c r="S42" i="148"/>
  <c r="AI37" i="6" s="1"/>
  <c r="AI37" i="51"/>
  <c r="U42" i="148"/>
  <c r="E43" i="148"/>
  <c r="G43" i="148"/>
  <c r="W38" i="6"/>
  <c r="W38" i="51"/>
  <c r="I43" i="148"/>
  <c r="Y38" i="6" s="1"/>
  <c r="Y38" i="51"/>
  <c r="K43" i="148"/>
  <c r="AA38" i="6" s="1"/>
  <c r="M43" i="148"/>
  <c r="AC38" i="6"/>
  <c r="AC38" i="51"/>
  <c r="AC39" i="51"/>
  <c r="AC40" i="51"/>
  <c r="AC42" i="51"/>
  <c r="O43" i="148"/>
  <c r="AE38" i="6"/>
  <c r="AE38" i="51"/>
  <c r="Q43" i="148"/>
  <c r="AG38" i="6" s="1"/>
  <c r="AG38" i="51"/>
  <c r="U43" i="148"/>
  <c r="AK38" i="6" s="1"/>
  <c r="AK38" i="51"/>
  <c r="E44" i="148"/>
  <c r="G44" i="148"/>
  <c r="W39" i="6" s="1"/>
  <c r="W39" i="51"/>
  <c r="K44" i="148"/>
  <c r="AA39" i="6" s="1"/>
  <c r="AA39" i="51"/>
  <c r="M44" i="148"/>
  <c r="AC39" i="6" s="1"/>
  <c r="O44" i="148"/>
  <c r="AE39" i="6"/>
  <c r="AE39" i="51"/>
  <c r="Q44" i="148"/>
  <c r="AG39" i="6" s="1"/>
  <c r="S44" i="148"/>
  <c r="AI39" i="6" s="1"/>
  <c r="AI39" i="51"/>
  <c r="U44" i="148"/>
  <c r="AK39" i="6" s="1"/>
  <c r="AK39" i="51"/>
  <c r="E45" i="148"/>
  <c r="G45" i="148"/>
  <c r="W40" i="6" s="1"/>
  <c r="W40" i="51"/>
  <c r="I45" i="148"/>
  <c r="Y40" i="6" s="1"/>
  <c r="Y40" i="51"/>
  <c r="K45" i="148"/>
  <c r="AA40" i="6" s="1"/>
  <c r="AA40" i="51"/>
  <c r="M45" i="148"/>
  <c r="AC40" i="6" s="1"/>
  <c r="AE40" i="51"/>
  <c r="Q45" i="148"/>
  <c r="AG40" i="6" s="1"/>
  <c r="AG40" i="51"/>
  <c r="S45" i="148"/>
  <c r="AI40" i="6" s="1"/>
  <c r="AI40" i="51"/>
  <c r="U45" i="148"/>
  <c r="AK40" i="6" s="1"/>
  <c r="AK40" i="51"/>
  <c r="E46" i="148"/>
  <c r="G46" i="148"/>
  <c r="W41" i="51"/>
  <c r="I46" i="148"/>
  <c r="Y41" i="6" s="1"/>
  <c r="Y41" i="51"/>
  <c r="K46" i="148"/>
  <c r="AA41" i="6" s="1"/>
  <c r="AA41" i="51"/>
  <c r="O46" i="148"/>
  <c r="AE41" i="51"/>
  <c r="Q46" i="148"/>
  <c r="AG41" i="6" s="1"/>
  <c r="AG41" i="51"/>
  <c r="S46" i="148"/>
  <c r="AI41" i="6" s="1"/>
  <c r="AI41" i="51"/>
  <c r="U46" i="148"/>
  <c r="AK41" i="6" s="1"/>
  <c r="E47" i="148"/>
  <c r="G47" i="148"/>
  <c r="W42" i="6"/>
  <c r="W42" i="51"/>
  <c r="I47" i="148"/>
  <c r="Y42" i="6" s="1"/>
  <c r="Y42" i="51"/>
  <c r="K47" i="148"/>
  <c r="AA42" i="6" s="1"/>
  <c r="M47" i="148"/>
  <c r="AC42" i="6"/>
  <c r="O47" i="148"/>
  <c r="AE42" i="6" s="1"/>
  <c r="AE42" i="51"/>
  <c r="Q47" i="148"/>
  <c r="AG42" i="6" s="1"/>
  <c r="AG42" i="51"/>
  <c r="S47" i="148"/>
  <c r="AI42" i="6" s="1"/>
  <c r="AI42" i="51"/>
  <c r="U47" i="148"/>
  <c r="AK42" i="6"/>
  <c r="AK42" i="51"/>
  <c r="AM14" i="51"/>
  <c r="AM16" i="51"/>
  <c r="Y35" i="148"/>
  <c r="AO13" i="6" s="1"/>
  <c r="AO13" i="51"/>
  <c r="AO14" i="51"/>
  <c r="AO15" i="51"/>
  <c r="AO16" i="51"/>
  <c r="AA35" i="148"/>
  <c r="AQ13" i="6" s="1"/>
  <c r="AQ13" i="51"/>
  <c r="AQ14" i="51"/>
  <c r="AQ15" i="51"/>
  <c r="AQ16" i="51"/>
  <c r="AC35" i="148"/>
  <c r="AS13" i="51"/>
  <c r="W36" i="148"/>
  <c r="AM14" i="6" s="1"/>
  <c r="Y36" i="148"/>
  <c r="AO14" i="6" s="1"/>
  <c r="AA36" i="148"/>
  <c r="AQ14" i="6" s="1"/>
  <c r="AC36" i="148"/>
  <c r="AS14" i="6" s="1"/>
  <c r="AS14" i="51"/>
  <c r="Y37" i="148"/>
  <c r="AA37" i="148"/>
  <c r="AQ15" i="6"/>
  <c r="AC37" i="148"/>
  <c r="AS15" i="51"/>
  <c r="Y38" i="148"/>
  <c r="AO16" i="6" s="1"/>
  <c r="AA38" i="148"/>
  <c r="AQ16" i="6" s="1"/>
  <c r="AC38" i="148"/>
  <c r="AS16" i="6" s="1"/>
  <c r="AS16" i="51"/>
  <c r="W42" i="148"/>
  <c r="AM37" i="6" s="1"/>
  <c r="AM40" i="51"/>
  <c r="AM42" i="51"/>
  <c r="Y42" i="148"/>
  <c r="AO37" i="6" s="1"/>
  <c r="AO37" i="51"/>
  <c r="AO38" i="51"/>
  <c r="AO39" i="51"/>
  <c r="AO40" i="51"/>
  <c r="AO41" i="51"/>
  <c r="AO42" i="51"/>
  <c r="AA42" i="148"/>
  <c r="AQ37" i="6" s="1"/>
  <c r="AQ37" i="51"/>
  <c r="AQ38" i="51"/>
  <c r="AQ39" i="51"/>
  <c r="AQ40" i="51"/>
  <c r="AQ41" i="51"/>
  <c r="AQ42" i="51"/>
  <c r="AC42" i="148"/>
  <c r="AS37" i="6" s="1"/>
  <c r="AS37" i="51"/>
  <c r="W43" i="148"/>
  <c r="AM38" i="6" s="1"/>
  <c r="Y43" i="148"/>
  <c r="AO38" i="6" s="1"/>
  <c r="AA43" i="148"/>
  <c r="AQ38" i="6" s="1"/>
  <c r="AC43" i="148"/>
  <c r="AS38" i="51"/>
  <c r="W44" i="148"/>
  <c r="AM39" i="6" s="1"/>
  <c r="Y44" i="148"/>
  <c r="AO39" i="6"/>
  <c r="AA44" i="148"/>
  <c r="AC44" i="148"/>
  <c r="AS39" i="6" s="1"/>
  <c r="AS39" i="51"/>
  <c r="Y45" i="148"/>
  <c r="AO40" i="6"/>
  <c r="AA45" i="148"/>
  <c r="AQ40" i="6" s="1"/>
  <c r="AC45" i="148"/>
  <c r="AS40" i="6"/>
  <c r="AS40" i="51"/>
  <c r="W46" i="148"/>
  <c r="AM41" i="6" s="1"/>
  <c r="Y46" i="148"/>
  <c r="AO41" i="6" s="1"/>
  <c r="AA46" i="148"/>
  <c r="AQ41" i="6" s="1"/>
  <c r="AC46" i="148"/>
  <c r="AS41" i="6" s="1"/>
  <c r="AS41" i="51"/>
  <c r="Y47" i="148"/>
  <c r="AO42" i="6" s="1"/>
  <c r="AA47" i="148"/>
  <c r="AQ42" i="6" s="1"/>
  <c r="AC47" i="148"/>
  <c r="AS42" i="6" s="1"/>
  <c r="AS42" i="51"/>
  <c r="AD36" i="148"/>
  <c r="AT14" i="6" s="1"/>
  <c r="AT14" i="51"/>
  <c r="AV16" i="51"/>
  <c r="AH36" i="148"/>
  <c r="AX14" i="6"/>
  <c r="AX14" i="51"/>
  <c r="AE37" i="148"/>
  <c r="AU15" i="6" s="1"/>
  <c r="AU15" i="51"/>
  <c r="AG37" i="148"/>
  <c r="AW15" i="6" s="1"/>
  <c r="AW15" i="51"/>
  <c r="AD38" i="148"/>
  <c r="AT16" i="6" s="1"/>
  <c r="AT16" i="51"/>
  <c r="AF38" i="148"/>
  <c r="AV16" i="6"/>
  <c r="AV13" i="6"/>
  <c r="AH38" i="148"/>
  <c r="AX16" i="6" s="1"/>
  <c r="AX16" i="51"/>
  <c r="AE42" i="148"/>
  <c r="AU37" i="6" s="1"/>
  <c r="AU37" i="51"/>
  <c r="AG42" i="148"/>
  <c r="AW37" i="6"/>
  <c r="AW37" i="51"/>
  <c r="AW39" i="51"/>
  <c r="AW41" i="51"/>
  <c r="AD43" i="148"/>
  <c r="AT38" i="6" s="1"/>
  <c r="AT38" i="51"/>
  <c r="AF43" i="148"/>
  <c r="AV38" i="6"/>
  <c r="AV38" i="51"/>
  <c r="AH43" i="148"/>
  <c r="AX38" i="6" s="1"/>
  <c r="AX38" i="51"/>
  <c r="AU39" i="51"/>
  <c r="AG44" i="148"/>
  <c r="AW39" i="6" s="1"/>
  <c r="AD45" i="148"/>
  <c r="AT40" i="6"/>
  <c r="AT40" i="51"/>
  <c r="AF45" i="148"/>
  <c r="AV40" i="6" s="1"/>
  <c r="AV40" i="51"/>
  <c r="AX40" i="51"/>
  <c r="AE46" i="148"/>
  <c r="AU41" i="6" s="1"/>
  <c r="AU41" i="51"/>
  <c r="AG46" i="148"/>
  <c r="AW41" i="6" s="1"/>
  <c r="AD47" i="148"/>
  <c r="AT42" i="6" s="1"/>
  <c r="AT42" i="51"/>
  <c r="AH47" i="148"/>
  <c r="AX42" i="6" s="1"/>
  <c r="AX42" i="51"/>
  <c r="AJ35" i="148"/>
  <c r="AZ13" i="51"/>
  <c r="AJ37" i="148"/>
  <c r="AZ15" i="6" s="1"/>
  <c r="AZ15" i="51"/>
  <c r="AJ38" i="148"/>
  <c r="AZ16" i="6"/>
  <c r="AZ16" i="51"/>
  <c r="AJ42" i="148"/>
  <c r="AZ37" i="51"/>
  <c r="AZ38" i="51"/>
  <c r="AJ44" i="148"/>
  <c r="AZ39" i="6"/>
  <c r="AZ39" i="51"/>
  <c r="AJ45" i="148"/>
  <c r="AZ40" i="6" s="1"/>
  <c r="AZ40" i="51"/>
  <c r="AJ46" i="148"/>
  <c r="AZ41" i="6" s="1"/>
  <c r="AZ41" i="51"/>
  <c r="AZ42" i="6"/>
  <c r="AZ42" i="51"/>
  <c r="AJ76" i="148"/>
  <c r="AC76" i="148"/>
  <c r="AJ14" i="148"/>
  <c r="AI14" i="148"/>
  <c r="AI24" i="148"/>
  <c r="AI26" i="148" s="1"/>
  <c r="AI78" i="148" s="1"/>
  <c r="AD14" i="148"/>
  <c r="AD26" i="148" s="1"/>
  <c r="AD78" i="148" s="1"/>
  <c r="AH14" i="148"/>
  <c r="AG24" i="148"/>
  <c r="AE35" i="148"/>
  <c r="AU13" i="6"/>
  <c r="AG35" i="148"/>
  <c r="AW13" i="6" s="1"/>
  <c r="AD42" i="148"/>
  <c r="AT37" i="6" s="1"/>
  <c r="AF42" i="148"/>
  <c r="AV37" i="6" s="1"/>
  <c r="AB76" i="148"/>
  <c r="AA76" i="148"/>
  <c r="Z76" i="148"/>
  <c r="Y76" i="148"/>
  <c r="X76" i="148"/>
  <c r="V76" i="148"/>
  <c r="Y14" i="148"/>
  <c r="AA14" i="148"/>
  <c r="AC14" i="148"/>
  <c r="Y24" i="148"/>
  <c r="AA24" i="148"/>
  <c r="AC24" i="148"/>
  <c r="AC26" i="148" s="1"/>
  <c r="AC78" i="148" s="1"/>
  <c r="X14" i="148"/>
  <c r="Z14" i="148"/>
  <c r="AB14" i="148"/>
  <c r="X24" i="148"/>
  <c r="Z24" i="148"/>
  <c r="AB24" i="148"/>
  <c r="E76" i="148"/>
  <c r="G76" i="148"/>
  <c r="K76" i="148"/>
  <c r="M76" i="148"/>
  <c r="S76" i="148"/>
  <c r="U76" i="148"/>
  <c r="D76" i="148"/>
  <c r="F76" i="148"/>
  <c r="H76" i="148"/>
  <c r="J76" i="148"/>
  <c r="L76" i="148"/>
  <c r="R76" i="148"/>
  <c r="T76" i="148"/>
  <c r="E14" i="148"/>
  <c r="G14" i="148"/>
  <c r="K14" i="148"/>
  <c r="S14" i="148"/>
  <c r="E24" i="148"/>
  <c r="E26" i="148" s="1"/>
  <c r="E78" i="148" s="1"/>
  <c r="G24" i="148"/>
  <c r="I24" i="148"/>
  <c r="Q24" i="148"/>
  <c r="U24" i="148"/>
  <c r="D14" i="148"/>
  <c r="N14" i="148"/>
  <c r="R14" i="148"/>
  <c r="T14" i="148"/>
  <c r="D24" i="148"/>
  <c r="D26" i="148" s="1"/>
  <c r="D78" i="148" s="1"/>
  <c r="L24" i="148"/>
  <c r="P24" i="148"/>
  <c r="R24" i="148"/>
  <c r="T24" i="148"/>
  <c r="AZ37" i="6"/>
  <c r="AZ13" i="6"/>
  <c r="AS13" i="6"/>
  <c r="AK37" i="6"/>
  <c r="AG13" i="6"/>
  <c r="AE13" i="6"/>
  <c r="AC37" i="6"/>
  <c r="Y37" i="6"/>
  <c r="Y13" i="6"/>
  <c r="W37" i="6"/>
  <c r="AY37" i="6"/>
  <c r="AR37" i="6"/>
  <c r="Z49" i="148"/>
  <c r="AP37" i="6"/>
  <c r="AN37" i="6"/>
  <c r="AR13" i="6"/>
  <c r="AP13" i="6"/>
  <c r="AL13" i="6"/>
  <c r="AJ37" i="6"/>
  <c r="AH37" i="6"/>
  <c r="AF37" i="6"/>
  <c r="AF13" i="6"/>
  <c r="L49" i="148"/>
  <c r="Z37" i="6"/>
  <c r="AH13" i="6"/>
  <c r="Z13" i="6"/>
  <c r="C64" i="148"/>
  <c r="C74" i="148"/>
  <c r="C76" i="148" s="1"/>
  <c r="I64" i="51"/>
  <c r="H74" i="129" s="1"/>
  <c r="I41" i="87"/>
  <c r="H21" i="129" s="1"/>
  <c r="I20" i="18"/>
  <c r="H47" i="129" s="1"/>
  <c r="D69" i="129"/>
  <c r="S24" i="77"/>
  <c r="S25" i="77" s="1"/>
  <c r="T25" i="77" s="1"/>
  <c r="F212" i="141"/>
  <c r="K213" i="141"/>
  <c r="D231" i="141"/>
  <c r="K232" i="141"/>
  <c r="E213" i="141"/>
  <c r="Y25" i="66"/>
  <c r="Y30" i="66" s="1"/>
  <c r="Y277" i="66" s="1"/>
  <c r="C20" i="143"/>
  <c r="E231" i="141"/>
  <c r="K231" i="141"/>
  <c r="F22" i="144"/>
  <c r="U12" i="33"/>
  <c r="E46" i="11"/>
  <c r="E91" i="66" s="1"/>
  <c r="R87" i="15"/>
  <c r="D84" i="137" s="1"/>
  <c r="R90" i="15"/>
  <c r="D87" i="137" s="1"/>
  <c r="G214" i="141"/>
  <c r="G185" i="141"/>
  <c r="G164" i="141" s="1"/>
  <c r="B186" i="141"/>
  <c r="B165" i="141" s="1"/>
  <c r="B144" i="141" s="1"/>
  <c r="H214" i="141"/>
  <c r="G193" i="141"/>
  <c r="G212" i="141"/>
  <c r="G213" i="141"/>
  <c r="B212" i="141"/>
  <c r="F213" i="141"/>
  <c r="K214" i="141"/>
  <c r="K185" i="141"/>
  <c r="K164" i="141" s="1"/>
  <c r="H181" i="141"/>
  <c r="H160" i="141" s="1"/>
  <c r="H138" i="141" s="1"/>
  <c r="H116" i="141" s="1"/>
  <c r="H94" i="141" s="1"/>
  <c r="K183" i="141"/>
  <c r="K162" i="141" s="1"/>
  <c r="K140" i="141" s="1"/>
  <c r="K118" i="141" s="1"/>
  <c r="C204" i="141"/>
  <c r="C213" i="141" s="1"/>
  <c r="F183" i="141"/>
  <c r="F162" i="141" s="1"/>
  <c r="F140" i="141" s="1"/>
  <c r="F118" i="141" s="1"/>
  <c r="F96" i="141" s="1"/>
  <c r="K184" i="141"/>
  <c r="J214" i="141"/>
  <c r="J185" i="141"/>
  <c r="J164" i="141" s="1"/>
  <c r="E40" i="129"/>
  <c r="D40" i="129"/>
  <c r="I35" i="44"/>
  <c r="H36" i="129" s="1"/>
  <c r="I19" i="86"/>
  <c r="H41" i="129" s="1"/>
  <c r="I15" i="10"/>
  <c r="H63" i="129" s="1"/>
  <c r="I22" i="7"/>
  <c r="H50" i="129" s="1"/>
  <c r="E22" i="7"/>
  <c r="E35" i="44"/>
  <c r="E15" i="129"/>
  <c r="E24" i="2"/>
  <c r="E27" i="2" s="1"/>
  <c r="E29" i="2" s="1"/>
  <c r="E30" i="93"/>
  <c r="D11" i="15"/>
  <c r="U41" i="87"/>
  <c r="U12" i="18"/>
  <c r="U12" i="56"/>
  <c r="U19" i="30"/>
  <c r="U18" i="38"/>
  <c r="T49" i="148"/>
  <c r="AI39" i="148"/>
  <c r="K49" i="148"/>
  <c r="AE37" i="6"/>
  <c r="R85" i="15"/>
  <c r="D82" i="137" s="1"/>
  <c r="G192" i="141"/>
  <c r="C184" i="141"/>
  <c r="C163" i="141" s="1"/>
  <c r="K194" i="141"/>
  <c r="U11" i="9"/>
  <c r="S41" i="87"/>
  <c r="S42" i="87" s="1"/>
  <c r="T42" i="87" s="1"/>
  <c r="U16" i="24"/>
  <c r="U19" i="60"/>
  <c r="U13" i="49"/>
  <c r="U16" i="11"/>
  <c r="U16" i="35"/>
  <c r="U13" i="40"/>
  <c r="U13" i="23"/>
  <c r="U9" i="15"/>
  <c r="U16" i="17"/>
  <c r="H86" i="129" l="1"/>
  <c r="S186" i="182"/>
  <c r="E105" i="66"/>
  <c r="G186" i="182"/>
  <c r="D247" i="182"/>
  <c r="E186" i="182"/>
  <c r="D187" i="182"/>
  <c r="C187" i="182"/>
  <c r="C247" i="182"/>
  <c r="F105" i="66"/>
  <c r="J186" i="182"/>
  <c r="G261" i="182"/>
  <c r="H198" i="182"/>
  <c r="D261" i="182"/>
  <c r="E198" i="182"/>
  <c r="F54" i="24"/>
  <c r="F123" i="66" s="1"/>
  <c r="J198" i="182"/>
  <c r="D260" i="182"/>
  <c r="D200" i="182"/>
  <c r="E197" i="182"/>
  <c r="C260" i="182"/>
  <c r="C200" i="182"/>
  <c r="C210" i="182" s="1"/>
  <c r="G260" i="182"/>
  <c r="H197" i="182"/>
  <c r="G200" i="182"/>
  <c r="K197" i="182"/>
  <c r="F20" i="31"/>
  <c r="F41" i="66" s="1"/>
  <c r="J15" i="182"/>
  <c r="D20" i="31"/>
  <c r="D41" i="66" s="1"/>
  <c r="D15" i="182"/>
  <c r="I20" i="31"/>
  <c r="H10" i="129" s="1"/>
  <c r="S15" i="182"/>
  <c r="E20" i="31"/>
  <c r="E41" i="66" s="1"/>
  <c r="G15" i="182"/>
  <c r="C20" i="31"/>
  <c r="C41" i="66" s="1"/>
  <c r="C15" i="182"/>
  <c r="C16" i="182" s="1"/>
  <c r="AM230" i="182"/>
  <c r="AN230" i="182" s="1"/>
  <c r="AM281" i="182"/>
  <c r="AN229" i="182"/>
  <c r="AN220" i="182"/>
  <c r="AM278" i="182"/>
  <c r="AM222" i="182"/>
  <c r="AN222" i="182" s="1"/>
  <c r="AN219" i="182"/>
  <c r="AM191" i="182"/>
  <c r="AN191" i="182" s="1"/>
  <c r="AN190" i="182"/>
  <c r="AM247" i="182"/>
  <c r="AN186" i="182"/>
  <c r="AM187" i="182"/>
  <c r="AN187" i="182" s="1"/>
  <c r="AM183" i="182"/>
  <c r="AN183" i="182" s="1"/>
  <c r="AN182" i="182"/>
  <c r="R14" i="50"/>
  <c r="AM174" i="182"/>
  <c r="AM167" i="182"/>
  <c r="AN167" i="182" s="1"/>
  <c r="AN165" i="182"/>
  <c r="R15" i="10"/>
  <c r="AM156" i="182"/>
  <c r="K147" i="182"/>
  <c r="N147" i="182"/>
  <c r="E147" i="182"/>
  <c r="I41" i="8"/>
  <c r="H54" i="129" s="1"/>
  <c r="S147" i="182"/>
  <c r="J148" i="182"/>
  <c r="K146" i="182"/>
  <c r="N146" i="182"/>
  <c r="G148" i="182"/>
  <c r="H146" i="182"/>
  <c r="E146" i="182"/>
  <c r="D148" i="182"/>
  <c r="E148" i="182" s="1"/>
  <c r="AM128" i="182"/>
  <c r="AN128" i="182" s="1"/>
  <c r="AN126" i="182"/>
  <c r="AN115" i="182"/>
  <c r="AM117" i="182"/>
  <c r="AN117" i="182" s="1"/>
  <c r="R21" i="47"/>
  <c r="AM106" i="182"/>
  <c r="AN100" i="182"/>
  <c r="AM102" i="182"/>
  <c r="AN102" i="182" s="1"/>
  <c r="R26" i="60"/>
  <c r="AM86" i="182"/>
  <c r="AN80" i="182"/>
  <c r="AM83" i="182"/>
  <c r="AN83" i="182" s="1"/>
  <c r="R18" i="41"/>
  <c r="AM63" i="182"/>
  <c r="AN59" i="182"/>
  <c r="AM60" i="182"/>
  <c r="AN60" i="182" s="1"/>
  <c r="R16" i="36"/>
  <c r="AM39" i="182"/>
  <c r="AN28" i="182"/>
  <c r="AM30" i="182"/>
  <c r="AN30" i="182" s="1"/>
  <c r="E24" i="182"/>
  <c r="D25" i="182"/>
  <c r="E25" i="182" s="1"/>
  <c r="S25" i="182"/>
  <c r="T24" i="182"/>
  <c r="W24" i="182"/>
  <c r="J25" i="182"/>
  <c r="K24" i="182"/>
  <c r="N24" i="182"/>
  <c r="G25" i="182"/>
  <c r="H25" i="182" s="1"/>
  <c r="H24" i="182"/>
  <c r="R20" i="31"/>
  <c r="AM15" i="182"/>
  <c r="AN10" i="182"/>
  <c r="AM12" i="182"/>
  <c r="AN12" i="182" s="1"/>
  <c r="AN6" i="182"/>
  <c r="AM7" i="182"/>
  <c r="AN7" i="182" s="1"/>
  <c r="D41" i="87"/>
  <c r="D53" i="66" s="1"/>
  <c r="D71" i="182"/>
  <c r="C41" i="87"/>
  <c r="C71" i="182"/>
  <c r="C72" i="182" s="1"/>
  <c r="E41" i="87"/>
  <c r="G71" i="182"/>
  <c r="R41" i="87"/>
  <c r="AM71" i="182"/>
  <c r="F41" i="87"/>
  <c r="F53" i="66" s="1"/>
  <c r="J71" i="182"/>
  <c r="D153" i="182"/>
  <c r="E153" i="182" s="1"/>
  <c r="E152" i="182"/>
  <c r="T152" i="182"/>
  <c r="S153" i="182"/>
  <c r="W152" i="182"/>
  <c r="K152" i="182"/>
  <c r="J153" i="182"/>
  <c r="N152" i="182"/>
  <c r="E26" i="9"/>
  <c r="G152" i="182"/>
  <c r="R26" i="9"/>
  <c r="AM152" i="182"/>
  <c r="D216" i="182"/>
  <c r="D277" i="182"/>
  <c r="E213" i="182"/>
  <c r="G216" i="182"/>
  <c r="G277" i="182"/>
  <c r="H213" i="182"/>
  <c r="C277" i="182"/>
  <c r="C216" i="182"/>
  <c r="C232" i="182" s="1"/>
  <c r="AM277" i="182"/>
  <c r="AN213" i="182"/>
  <c r="AM216" i="182"/>
  <c r="J216" i="182"/>
  <c r="J277" i="182"/>
  <c r="K213" i="182"/>
  <c r="N213" i="182"/>
  <c r="K214" i="182"/>
  <c r="J278" i="182"/>
  <c r="N214" i="182"/>
  <c r="G278" i="182"/>
  <c r="H214" i="182"/>
  <c r="D278" i="182"/>
  <c r="E214" i="182"/>
  <c r="S277" i="182"/>
  <c r="S216" i="182"/>
  <c r="T213" i="182"/>
  <c r="W213" i="182"/>
  <c r="D9" i="15"/>
  <c r="S15" i="10"/>
  <c r="S16" i="10" s="1"/>
  <c r="T16" i="10" s="1"/>
  <c r="AQ156" i="182"/>
  <c r="R24" i="77"/>
  <c r="AM49" i="182"/>
  <c r="S50" i="182"/>
  <c r="T49" i="182"/>
  <c r="W49" i="182"/>
  <c r="J50" i="182"/>
  <c r="K49" i="182"/>
  <c r="N49" i="182"/>
  <c r="C24" i="77"/>
  <c r="C49" i="66" s="1"/>
  <c r="H43" i="182"/>
  <c r="G45" i="182"/>
  <c r="AN43" i="182"/>
  <c r="AM45" i="182"/>
  <c r="AN45" i="182" s="1"/>
  <c r="D45" i="182"/>
  <c r="E45" i="182" s="1"/>
  <c r="E43" i="182"/>
  <c r="C30" i="149"/>
  <c r="C44" i="182"/>
  <c r="E44" i="182"/>
  <c r="T44" i="182"/>
  <c r="W44" i="182"/>
  <c r="S45" i="182"/>
  <c r="J45" i="182"/>
  <c r="K43" i="182"/>
  <c r="N43" i="182"/>
  <c r="C45" i="182"/>
  <c r="K44" i="182"/>
  <c r="N44" i="182"/>
  <c r="S16" i="36"/>
  <c r="S17" i="36" s="1"/>
  <c r="T17" i="36" s="1"/>
  <c r="AQ39" i="182"/>
  <c r="C143" i="182"/>
  <c r="G143" i="182"/>
  <c r="H141" i="182"/>
  <c r="E141" i="182"/>
  <c r="D143" i="182"/>
  <c r="E143" i="182" s="1"/>
  <c r="H142" i="182"/>
  <c r="G245" i="182"/>
  <c r="K142" i="182"/>
  <c r="D245" i="182"/>
  <c r="E142" i="182"/>
  <c r="AQ245" i="182"/>
  <c r="AR142" i="182"/>
  <c r="AT142" i="182"/>
  <c r="AS142" i="182"/>
  <c r="AQ143" i="182"/>
  <c r="AY141" i="182"/>
  <c r="AX143" i="182"/>
  <c r="AN142" i="182"/>
  <c r="AM245" i="182"/>
  <c r="AM143" i="182"/>
  <c r="AN143" i="182" s="1"/>
  <c r="S245" i="182"/>
  <c r="T142" i="182"/>
  <c r="W142" i="182"/>
  <c r="S143" i="182"/>
  <c r="F22" i="7"/>
  <c r="F78" i="66" s="1"/>
  <c r="J141" i="182"/>
  <c r="R41" i="38"/>
  <c r="AM54" i="182"/>
  <c r="K54" i="182"/>
  <c r="N54" i="182"/>
  <c r="E54" i="182"/>
  <c r="H54" i="182"/>
  <c r="T54" i="182"/>
  <c r="W54" i="182"/>
  <c r="S55" i="182"/>
  <c r="J55" i="182"/>
  <c r="K53" i="182"/>
  <c r="N53" i="182"/>
  <c r="D55" i="182"/>
  <c r="H53" i="182"/>
  <c r="C41" i="38"/>
  <c r="C53" i="182"/>
  <c r="C55" i="182" s="1"/>
  <c r="R34" i="35"/>
  <c r="AM34" i="182"/>
  <c r="AM35" i="182" s="1"/>
  <c r="E34" i="182"/>
  <c r="I34" i="35"/>
  <c r="H14" i="129" s="1"/>
  <c r="S34" i="182"/>
  <c r="D35" i="182"/>
  <c r="E35" i="182" s="1"/>
  <c r="E33" i="182"/>
  <c r="H33" i="182"/>
  <c r="G35" i="182"/>
  <c r="K34" i="182"/>
  <c r="N34" i="182"/>
  <c r="C35" i="182"/>
  <c r="H34" i="182"/>
  <c r="K33" i="182"/>
  <c r="J35" i="182"/>
  <c r="N33" i="182"/>
  <c r="E160" i="182"/>
  <c r="D162" i="182"/>
  <c r="C162" i="182"/>
  <c r="G162" i="182"/>
  <c r="H160" i="182"/>
  <c r="H161" i="182"/>
  <c r="T161" i="182"/>
  <c r="W161" i="182"/>
  <c r="K161" i="182"/>
  <c r="N161" i="182"/>
  <c r="AN161" i="182"/>
  <c r="AM162" i="182"/>
  <c r="AN162" i="182" s="1"/>
  <c r="S162" i="182"/>
  <c r="T160" i="182"/>
  <c r="W160" i="182"/>
  <c r="E161" i="182"/>
  <c r="J162" i="182"/>
  <c r="K160" i="182"/>
  <c r="N160" i="182"/>
  <c r="AT238" i="182"/>
  <c r="AV238" i="182" s="1"/>
  <c r="AW238" i="182" s="1"/>
  <c r="AX238" i="182" s="1"/>
  <c r="AY238" i="182" s="1"/>
  <c r="AZ238" i="182" s="1"/>
  <c r="AR238" i="182"/>
  <c r="AS238" i="182"/>
  <c r="AM133" i="182"/>
  <c r="AN132" i="182"/>
  <c r="E36" i="30"/>
  <c r="E40" i="66" s="1"/>
  <c r="I184" i="141"/>
  <c r="I163" i="141" s="1"/>
  <c r="I213" i="141"/>
  <c r="I212" i="141"/>
  <c r="J231" i="141"/>
  <c r="H231" i="141"/>
  <c r="H204" i="141"/>
  <c r="E141" i="138"/>
  <c r="F138" i="138"/>
  <c r="G139" i="138"/>
  <c r="E16" i="46"/>
  <c r="E64" i="66" s="1"/>
  <c r="S41" i="66"/>
  <c r="M10" i="129" s="1"/>
  <c r="T12" i="48"/>
  <c r="S67" i="66" s="1"/>
  <c r="M40" i="129" s="1"/>
  <c r="T18" i="41"/>
  <c r="S52" i="66" s="1"/>
  <c r="M20" i="129" s="1"/>
  <c r="U12" i="45"/>
  <c r="T41" i="87"/>
  <c r="S53" i="66" s="1"/>
  <c r="M21" i="129" s="1"/>
  <c r="N21" i="129" s="1"/>
  <c r="O21" i="129" s="1"/>
  <c r="S9" i="23"/>
  <c r="E30" i="149"/>
  <c r="E16" i="129" s="1"/>
  <c r="F193" i="141"/>
  <c r="F192" i="141"/>
  <c r="D37" i="138"/>
  <c r="D27" i="138" s="1"/>
  <c r="D17" i="138" s="1"/>
  <c r="F39" i="138"/>
  <c r="F29" i="138" s="1"/>
  <c r="F19" i="138" s="1"/>
  <c r="G37" i="138"/>
  <c r="G27" i="138" s="1"/>
  <c r="G17" i="138" s="1"/>
  <c r="F36" i="138"/>
  <c r="F26" i="138" s="1"/>
  <c r="F16" i="138" s="1"/>
  <c r="G39" i="138"/>
  <c r="B37" i="138"/>
  <c r="B27" i="138" s="1"/>
  <c r="B17" i="138" s="1"/>
  <c r="H37" i="138"/>
  <c r="H27" i="138" s="1"/>
  <c r="H17" i="138" s="1"/>
  <c r="H39" i="138"/>
  <c r="H29" i="138" s="1"/>
  <c r="H19" i="138" s="1"/>
  <c r="H36" i="138"/>
  <c r="H26" i="138" s="1"/>
  <c r="H16" i="138" s="1"/>
  <c r="R83" i="43"/>
  <c r="D139" i="138"/>
  <c r="F142" i="138"/>
  <c r="E29" i="33"/>
  <c r="E43" i="66" s="1"/>
  <c r="I23" i="54"/>
  <c r="H87" i="129" s="1"/>
  <c r="C11" i="15"/>
  <c r="C17" i="15" s="1"/>
  <c r="C120" i="182" s="1"/>
  <c r="D12" i="56"/>
  <c r="I36" i="30"/>
  <c r="H9" i="129" s="1"/>
  <c r="E23" i="54"/>
  <c r="E87" i="129" s="1"/>
  <c r="O51" i="93"/>
  <c r="O26" i="93"/>
  <c r="O30" i="93" s="1"/>
  <c r="E34" i="35"/>
  <c r="E14" i="129" s="1"/>
  <c r="C19" i="13"/>
  <c r="T12" i="45"/>
  <c r="S63" i="66" s="1"/>
  <c r="M37" i="129" s="1"/>
  <c r="T19" i="86"/>
  <c r="S68" i="66" s="1"/>
  <c r="M41" i="129" s="1"/>
  <c r="R49" i="66"/>
  <c r="L17" i="129" s="1"/>
  <c r="T24" i="77"/>
  <c r="S49" i="66" s="1"/>
  <c r="M17" i="129" s="1"/>
  <c r="N17" i="129" s="1"/>
  <c r="O17" i="129" s="1"/>
  <c r="T15" i="135"/>
  <c r="S93" i="66" s="1"/>
  <c r="M69" i="129" s="1"/>
  <c r="N69" i="129" s="1"/>
  <c r="O69" i="129" s="1"/>
  <c r="R30" i="149"/>
  <c r="T15" i="10"/>
  <c r="S86" i="66" s="1"/>
  <c r="M63" i="129" s="1"/>
  <c r="T53" i="66"/>
  <c r="S16" i="46"/>
  <c r="R106" i="66"/>
  <c r="L87" i="129" s="1"/>
  <c r="U21" i="54"/>
  <c r="T106" i="66" s="1"/>
  <c r="T21" i="54"/>
  <c r="S106" i="66" s="1"/>
  <c r="M87" i="129" s="1"/>
  <c r="D27" i="129"/>
  <c r="V11" i="13"/>
  <c r="V12" i="13" s="1"/>
  <c r="T11" i="13"/>
  <c r="S130" i="66" s="1"/>
  <c r="T16" i="36"/>
  <c r="S47" i="66" s="1"/>
  <c r="M15" i="129" s="1"/>
  <c r="F93" i="26"/>
  <c r="AB29" i="6"/>
  <c r="R52" i="66"/>
  <c r="L20" i="129" s="1"/>
  <c r="R67" i="66"/>
  <c r="L40" i="129" s="1"/>
  <c r="D26" i="56"/>
  <c r="P33" i="7"/>
  <c r="Q33" i="7" s="1"/>
  <c r="R33" i="7" s="1"/>
  <c r="D13" i="23"/>
  <c r="D21" i="23" s="1"/>
  <c r="D29" i="49"/>
  <c r="D92" i="66" s="1"/>
  <c r="D26" i="9"/>
  <c r="D85" i="66" s="1"/>
  <c r="R19" i="13"/>
  <c r="R53" i="66"/>
  <c r="L21" i="129" s="1"/>
  <c r="S18" i="66"/>
  <c r="R41" i="66"/>
  <c r="L10" i="129" s="1"/>
  <c r="C64" i="51"/>
  <c r="D51" i="148"/>
  <c r="D79" i="148" s="1"/>
  <c r="AH14" i="6"/>
  <c r="AH29" i="6" s="1"/>
  <c r="R39" i="148"/>
  <c r="D80" i="148"/>
  <c r="D82" i="148" s="1"/>
  <c r="H79" i="141"/>
  <c r="H57" i="141" s="1"/>
  <c r="H35" i="141" s="1"/>
  <c r="C78" i="141"/>
  <c r="C56" i="141" s="1"/>
  <c r="C34" i="141" s="1"/>
  <c r="B107" i="138"/>
  <c r="B96" i="138" s="1"/>
  <c r="B86" i="138" s="1"/>
  <c r="B76" i="138" s="1"/>
  <c r="B66" i="138" s="1"/>
  <c r="B56" i="138" s="1"/>
  <c r="B46" i="138" s="1"/>
  <c r="C42" i="66"/>
  <c r="C71" i="141"/>
  <c r="C49" i="141" s="1"/>
  <c r="C27" i="141" s="1"/>
  <c r="E78" i="141"/>
  <c r="E56" i="141" s="1"/>
  <c r="E34" i="141" s="1"/>
  <c r="D80" i="141"/>
  <c r="D58" i="141" s="1"/>
  <c r="D36" i="141" s="1"/>
  <c r="J80" i="141"/>
  <c r="J58" i="141" s="1"/>
  <c r="J36" i="141" s="1"/>
  <c r="I131" i="66"/>
  <c r="I132" i="66" s="1"/>
  <c r="I19" i="13"/>
  <c r="E131" i="66"/>
  <c r="E132" i="66" s="1"/>
  <c r="E19" i="13"/>
  <c r="C38" i="148"/>
  <c r="C14" i="148"/>
  <c r="L14" i="148"/>
  <c r="L26" i="148" s="1"/>
  <c r="L78" i="148" s="1"/>
  <c r="L80" i="148" s="1"/>
  <c r="L82" i="148" s="1"/>
  <c r="AB13" i="51"/>
  <c r="AB31" i="51" s="1"/>
  <c r="J36" i="148"/>
  <c r="J14" i="148"/>
  <c r="H37" i="148"/>
  <c r="X15" i="6" s="1"/>
  <c r="H14" i="148"/>
  <c r="J43" i="148"/>
  <c r="J24" i="148"/>
  <c r="J26" i="148" s="1"/>
  <c r="J78" i="148" s="1"/>
  <c r="AH38" i="6"/>
  <c r="AH56" i="6" s="1"/>
  <c r="R49" i="148"/>
  <c r="R51" i="148" s="1"/>
  <c r="R79" i="148" s="1"/>
  <c r="R80" i="148" s="1"/>
  <c r="R82" i="148" s="1"/>
  <c r="H44" i="148"/>
  <c r="H24" i="148"/>
  <c r="H26" i="148" s="1"/>
  <c r="H78" i="148" s="1"/>
  <c r="F26" i="148"/>
  <c r="F78" i="148" s="1"/>
  <c r="N45" i="148"/>
  <c r="AD40" i="6" s="1"/>
  <c r="N24" i="148"/>
  <c r="AL13" i="51"/>
  <c r="AL31" i="51" s="1"/>
  <c r="V14" i="148"/>
  <c r="V26" i="148" s="1"/>
  <c r="V78" i="148" s="1"/>
  <c r="V44" i="148"/>
  <c r="AL39" i="6" s="1"/>
  <c r="AL39" i="51"/>
  <c r="AV14" i="51"/>
  <c r="AF36" i="148"/>
  <c r="AF14" i="148"/>
  <c r="AF26" i="148" s="1"/>
  <c r="AF78" i="148" s="1"/>
  <c r="AE44" i="148"/>
  <c r="AU39" i="6" s="1"/>
  <c r="AU56" i="6" s="1"/>
  <c r="AE24" i="148"/>
  <c r="AF47" i="148"/>
  <c r="AV42" i="6" s="1"/>
  <c r="AV42" i="51"/>
  <c r="AZ14" i="51"/>
  <c r="AJ36" i="148"/>
  <c r="AJ43" i="148"/>
  <c r="AJ24" i="148"/>
  <c r="E139" i="138"/>
  <c r="E108" i="138"/>
  <c r="E97" i="138" s="1"/>
  <c r="E87" i="138" s="1"/>
  <c r="E77" i="138" s="1"/>
  <c r="G142" i="138"/>
  <c r="G111" i="138"/>
  <c r="G100" i="138" s="1"/>
  <c r="G90" i="138" s="1"/>
  <c r="G80" i="138" s="1"/>
  <c r="J184" i="141"/>
  <c r="J193" i="141" s="1"/>
  <c r="J213" i="141"/>
  <c r="J212" i="141"/>
  <c r="AR14" i="6"/>
  <c r="AB39" i="148"/>
  <c r="AB51" i="148" s="1"/>
  <c r="AB79" i="148" s="1"/>
  <c r="D131" i="66"/>
  <c r="D132" i="66" s="1"/>
  <c r="D19" i="13"/>
  <c r="C102" i="66"/>
  <c r="F70" i="141"/>
  <c r="F48" i="141" s="1"/>
  <c r="F26" i="141" s="1"/>
  <c r="E73" i="141"/>
  <c r="E51" i="141" s="1"/>
  <c r="E29" i="141" s="1"/>
  <c r="F78" i="141"/>
  <c r="F56" i="141" s="1"/>
  <c r="F34" i="141" s="1"/>
  <c r="E80" i="141"/>
  <c r="E58" i="141" s="1"/>
  <c r="E36" i="141" s="1"/>
  <c r="C24" i="148"/>
  <c r="C42" i="148"/>
  <c r="C49" i="148" s="1"/>
  <c r="I37" i="148"/>
  <c r="Y15" i="51"/>
  <c r="Q14" i="148"/>
  <c r="Q26" i="148" s="1"/>
  <c r="Q78" i="148" s="1"/>
  <c r="Q37" i="148"/>
  <c r="AG15" i="6" s="1"/>
  <c r="AG29" i="6" s="1"/>
  <c r="AG15" i="51"/>
  <c r="O38" i="148"/>
  <c r="AE16" i="6" s="1"/>
  <c r="AE16" i="51"/>
  <c r="AE31" i="51" s="1"/>
  <c r="O14" i="148"/>
  <c r="AC37" i="51"/>
  <c r="M24" i="148"/>
  <c r="AA38" i="51"/>
  <c r="AA56" i="51" s="1"/>
  <c r="K24" i="148"/>
  <c r="K26" i="148" s="1"/>
  <c r="K78" i="148" s="1"/>
  <c r="AI38" i="51"/>
  <c r="S24" i="148"/>
  <c r="S26" i="148" s="1"/>
  <c r="S78" i="148" s="1"/>
  <c r="S43" i="148"/>
  <c r="AI38" i="6" s="1"/>
  <c r="I44" i="148"/>
  <c r="Y39" i="6" s="1"/>
  <c r="Y39" i="51"/>
  <c r="O24" i="148"/>
  <c r="O45" i="148"/>
  <c r="AE40" i="6" s="1"/>
  <c r="AC41" i="51"/>
  <c r="M46" i="148"/>
  <c r="AM13" i="51"/>
  <c r="AM31" i="51" s="1"/>
  <c r="W14" i="148"/>
  <c r="W35" i="148"/>
  <c r="W37" i="148"/>
  <c r="AM15" i="6" s="1"/>
  <c r="AM15" i="51"/>
  <c r="AM37" i="51"/>
  <c r="AM56" i="51" s="1"/>
  <c r="W24" i="148"/>
  <c r="W26" i="148" s="1"/>
  <c r="W78" i="148" s="1"/>
  <c r="W76" i="148"/>
  <c r="AG14" i="148"/>
  <c r="AG26" i="148" s="1"/>
  <c r="AG78" i="148" s="1"/>
  <c r="AW14" i="51"/>
  <c r="AW31" i="51" s="1"/>
  <c r="AU16" i="51"/>
  <c r="AE38" i="148"/>
  <c r="AU16" i="6" s="1"/>
  <c r="AU29" i="6" s="1"/>
  <c r="AE14" i="148"/>
  <c r="AX37" i="51"/>
  <c r="AX56" i="51" s="1"/>
  <c r="AH42" i="148"/>
  <c r="AH24" i="148"/>
  <c r="AF44" i="148"/>
  <c r="AV39" i="51"/>
  <c r="D72" i="141"/>
  <c r="D50" i="141" s="1"/>
  <c r="D28" i="141" s="1"/>
  <c r="V39" i="148"/>
  <c r="O49" i="148"/>
  <c r="O51" i="148" s="1"/>
  <c r="O79" i="148" s="1"/>
  <c r="O80" i="148" s="1"/>
  <c r="O82" i="148" s="1"/>
  <c r="L39" i="148"/>
  <c r="L51" i="148" s="1"/>
  <c r="L79" i="148" s="1"/>
  <c r="AI49" i="148"/>
  <c r="AI51" i="148" s="1"/>
  <c r="AI79" i="148" s="1"/>
  <c r="AI80" i="148" s="1"/>
  <c r="AI82" i="148" s="1"/>
  <c r="AE14" i="6"/>
  <c r="O39" i="148"/>
  <c r="AL37" i="6"/>
  <c r="Q49" i="148"/>
  <c r="AG39" i="148"/>
  <c r="E49" i="148"/>
  <c r="E51" i="148" s="1"/>
  <c r="E79" i="148" s="1"/>
  <c r="E80" i="148" s="1"/>
  <c r="E82" i="148" s="1"/>
  <c r="Z51" i="148"/>
  <c r="Z79" i="148" s="1"/>
  <c r="AD40" i="51"/>
  <c r="F45" i="148"/>
  <c r="F49" i="148" s="1"/>
  <c r="F51" i="148" s="1"/>
  <c r="F79" i="148" s="1"/>
  <c r="F80" i="148" s="1"/>
  <c r="F82" i="148" s="1"/>
  <c r="N38" i="148"/>
  <c r="AD16" i="6" s="1"/>
  <c r="AD29" i="6" s="1"/>
  <c r="AH14" i="51"/>
  <c r="AH31" i="51" s="1"/>
  <c r="Z14" i="51"/>
  <c r="D69" i="143" s="1"/>
  <c r="X13" i="6"/>
  <c r="H39" i="148"/>
  <c r="G70" i="141"/>
  <c r="G48" i="141" s="1"/>
  <c r="G26" i="141" s="1"/>
  <c r="H164" i="141"/>
  <c r="H142" i="141" s="1"/>
  <c r="H194" i="141"/>
  <c r="E72" i="141"/>
  <c r="E50" i="141" s="1"/>
  <c r="E28" i="141" s="1"/>
  <c r="AE39" i="148"/>
  <c r="H111" i="138"/>
  <c r="H100" i="138" s="1"/>
  <c r="H90" i="138" s="1"/>
  <c r="H80" i="138" s="1"/>
  <c r="H70" i="138" s="1"/>
  <c r="H60" i="138" s="1"/>
  <c r="H50" i="138" s="1"/>
  <c r="I50" i="138" s="1"/>
  <c r="T51" i="148"/>
  <c r="T79" i="148" s="1"/>
  <c r="I29" i="49"/>
  <c r="H68" i="129" s="1"/>
  <c r="K163" i="141"/>
  <c r="K172" i="141" s="1"/>
  <c r="K192" i="141"/>
  <c r="K193" i="141"/>
  <c r="AE49" i="148"/>
  <c r="T39" i="148"/>
  <c r="P49" i="148"/>
  <c r="M39" i="148"/>
  <c r="AK13" i="6"/>
  <c r="AK29" i="6" s="1"/>
  <c r="AB26" i="148"/>
  <c r="AB78" i="148" s="1"/>
  <c r="AB80" i="148" s="1"/>
  <c r="AB82" i="148" s="1"/>
  <c r="AS38" i="6"/>
  <c r="AC49" i="148"/>
  <c r="Z38" i="51"/>
  <c r="P39" i="148"/>
  <c r="F39" i="148"/>
  <c r="I12" i="45"/>
  <c r="H37" i="129" s="1"/>
  <c r="E71" i="141"/>
  <c r="E49" i="141" s="1"/>
  <c r="E27" i="141" s="1"/>
  <c r="I214" i="141"/>
  <c r="I185" i="141"/>
  <c r="I164" i="141" s="1"/>
  <c r="I142" i="141" s="1"/>
  <c r="N49" i="148"/>
  <c r="H71" i="141"/>
  <c r="H49" i="141" s="1"/>
  <c r="H27" i="141" s="1"/>
  <c r="AS15" i="6"/>
  <c r="AS29" i="6" s="1"/>
  <c r="AC39" i="148"/>
  <c r="C192" i="141"/>
  <c r="AD37" i="6"/>
  <c r="AA13" i="6"/>
  <c r="AA29" i="6" s="1"/>
  <c r="K39" i="148"/>
  <c r="K51" i="148" s="1"/>
  <c r="K79" i="148" s="1"/>
  <c r="K80" i="148" s="1"/>
  <c r="K82" i="148" s="1"/>
  <c r="C212" i="141"/>
  <c r="F74" i="141"/>
  <c r="F52" i="141" s="1"/>
  <c r="F30" i="141" s="1"/>
  <c r="E20" i="129"/>
  <c r="R26" i="148"/>
  <c r="R78" i="148" s="1"/>
  <c r="G39" i="148"/>
  <c r="W13" i="6"/>
  <c r="W29" i="6" s="1"/>
  <c r="AD39" i="148"/>
  <c r="AT13" i="6"/>
  <c r="AT29" i="6" s="1"/>
  <c r="AH38" i="51"/>
  <c r="AH56" i="51" s="1"/>
  <c r="E138" i="138"/>
  <c r="H73" i="141"/>
  <c r="H51" i="141" s="1"/>
  <c r="H29" i="141" s="1"/>
  <c r="E74" i="141"/>
  <c r="E52" i="141" s="1"/>
  <c r="E30" i="141" s="1"/>
  <c r="C232" i="141"/>
  <c r="C231" i="141"/>
  <c r="I232" i="141"/>
  <c r="I231" i="141"/>
  <c r="J70" i="141"/>
  <c r="J48" i="141" s="1"/>
  <c r="J26" i="141" s="1"/>
  <c r="I49" i="148"/>
  <c r="F108" i="138"/>
  <c r="F97" i="138" s="1"/>
  <c r="F87" i="138" s="1"/>
  <c r="F77" i="138" s="1"/>
  <c r="F67" i="138" s="1"/>
  <c r="F57" i="138" s="1"/>
  <c r="F47" i="138" s="1"/>
  <c r="AA39" i="148"/>
  <c r="D21" i="129"/>
  <c r="G49" i="148"/>
  <c r="G51" i="148" s="1"/>
  <c r="G79" i="148" s="1"/>
  <c r="AI14" i="6"/>
  <c r="AI29" i="6" s="1"/>
  <c r="S39" i="148"/>
  <c r="AF15" i="51"/>
  <c r="X15" i="51"/>
  <c r="C55" i="17"/>
  <c r="D107" i="138"/>
  <c r="D96" i="138" s="1"/>
  <c r="D86" i="138" s="1"/>
  <c r="D76" i="138" s="1"/>
  <c r="D66" i="138" s="1"/>
  <c r="D56" i="138" s="1"/>
  <c r="D46" i="138" s="1"/>
  <c r="D138" i="138"/>
  <c r="J72" i="141"/>
  <c r="J50" i="141" s="1"/>
  <c r="J28" i="141" s="1"/>
  <c r="I73" i="141"/>
  <c r="I51" i="141" s="1"/>
  <c r="I29" i="141" s="1"/>
  <c r="D232" i="141"/>
  <c r="D204" i="141"/>
  <c r="AR29" i="6"/>
  <c r="X26" i="148"/>
  <c r="X78" i="148" s="1"/>
  <c r="AH26" i="148"/>
  <c r="AH78" i="148" s="1"/>
  <c r="AF16" i="51"/>
  <c r="X16" i="51"/>
  <c r="X31" i="51" s="1"/>
  <c r="J74" i="141"/>
  <c r="J52" i="141" s="1"/>
  <c r="J30" i="141" s="1"/>
  <c r="D64" i="51"/>
  <c r="D99" i="66" s="1"/>
  <c r="F71" i="141"/>
  <c r="F49" i="141" s="1"/>
  <c r="F27" i="141" s="1"/>
  <c r="R79" i="12" s="1"/>
  <c r="C72" i="141"/>
  <c r="C50" i="141" s="1"/>
  <c r="C28" i="141" s="1"/>
  <c r="I72" i="141"/>
  <c r="I50" i="141" s="1"/>
  <c r="I28" i="141" s="1"/>
  <c r="F73" i="141"/>
  <c r="F51" i="141" s="1"/>
  <c r="F29" i="141" s="1"/>
  <c r="D74" i="141"/>
  <c r="D52" i="141" s="1"/>
  <c r="D30" i="141" s="1"/>
  <c r="D78" i="141"/>
  <c r="D56" i="141" s="1"/>
  <c r="D34" i="141" s="1"/>
  <c r="J78" i="141"/>
  <c r="J56" i="141" s="1"/>
  <c r="J34" i="141" s="1"/>
  <c r="F79" i="141"/>
  <c r="F57" i="141" s="1"/>
  <c r="F35" i="141" s="1"/>
  <c r="C80" i="141"/>
  <c r="C58" i="141" s="1"/>
  <c r="C36" i="141" s="1"/>
  <c r="I80" i="141"/>
  <c r="I58" i="141" s="1"/>
  <c r="I36" i="141" s="1"/>
  <c r="E19" i="86"/>
  <c r="AA49" i="148"/>
  <c r="X49" i="148"/>
  <c r="G71" i="141"/>
  <c r="G49" i="141" s="1"/>
  <c r="G27" i="141" s="1"/>
  <c r="G73" i="141"/>
  <c r="G51" i="141" s="1"/>
  <c r="G29" i="141" s="1"/>
  <c r="G79" i="141"/>
  <c r="G57" i="141" s="1"/>
  <c r="G35" i="141" s="1"/>
  <c r="H70" i="141"/>
  <c r="H48" i="141" s="1"/>
  <c r="H26" i="141" s="1"/>
  <c r="I71" i="141"/>
  <c r="I49" i="141" s="1"/>
  <c r="I27" i="141" s="1"/>
  <c r="F72" i="141"/>
  <c r="F50" i="141" s="1"/>
  <c r="F28" i="141" s="1"/>
  <c r="C73" i="141"/>
  <c r="C51" i="141" s="1"/>
  <c r="C29" i="141" s="1"/>
  <c r="G74" i="141"/>
  <c r="G52" i="141" s="1"/>
  <c r="G30" i="141" s="1"/>
  <c r="G78" i="141"/>
  <c r="G56" i="141" s="1"/>
  <c r="G34" i="141" s="1"/>
  <c r="C79" i="141"/>
  <c r="C57" i="141" s="1"/>
  <c r="C35" i="141" s="1"/>
  <c r="I79" i="141"/>
  <c r="I57" i="141" s="1"/>
  <c r="I35" i="141" s="1"/>
  <c r="F80" i="141"/>
  <c r="F58" i="141" s="1"/>
  <c r="F36" i="141" s="1"/>
  <c r="E70" i="141"/>
  <c r="E48" i="141" s="1"/>
  <c r="E26" i="141" s="1"/>
  <c r="H72" i="141"/>
  <c r="H50" i="141" s="1"/>
  <c r="H28" i="141" s="1"/>
  <c r="AH39" i="148"/>
  <c r="B231" i="141"/>
  <c r="C70" i="141"/>
  <c r="C48" i="141" s="1"/>
  <c r="C26" i="141" s="1"/>
  <c r="D71" i="141"/>
  <c r="D49" i="141" s="1"/>
  <c r="D27" i="141" s="1"/>
  <c r="J71" i="141"/>
  <c r="J49" i="141" s="1"/>
  <c r="J27" i="141" s="1"/>
  <c r="G72" i="141"/>
  <c r="G50" i="141" s="1"/>
  <c r="G28" i="141" s="1"/>
  <c r="D73" i="141"/>
  <c r="D51" i="141" s="1"/>
  <c r="D29" i="141" s="1"/>
  <c r="J73" i="141"/>
  <c r="J51" i="141" s="1"/>
  <c r="J29" i="141" s="1"/>
  <c r="D79" i="141"/>
  <c r="D57" i="141" s="1"/>
  <c r="D35" i="141" s="1"/>
  <c r="D7" i="137" s="1"/>
  <c r="J79" i="141"/>
  <c r="J57" i="141" s="1"/>
  <c r="J35" i="141" s="1"/>
  <c r="G80" i="141"/>
  <c r="G58" i="141" s="1"/>
  <c r="G36" i="141" s="1"/>
  <c r="I70" i="141"/>
  <c r="I48" i="141" s="1"/>
  <c r="I26" i="141" s="1"/>
  <c r="H74" i="141"/>
  <c r="H52" i="141" s="1"/>
  <c r="H30" i="141" s="1"/>
  <c r="H78" i="141"/>
  <c r="H56" i="141" s="1"/>
  <c r="H34" i="141" s="1"/>
  <c r="AA26" i="148"/>
  <c r="AA78" i="148" s="1"/>
  <c r="C71" i="143"/>
  <c r="D71" i="143" s="1"/>
  <c r="D70" i="141"/>
  <c r="D48" i="141" s="1"/>
  <c r="D26" i="141" s="1"/>
  <c r="C74" i="141"/>
  <c r="C52" i="141" s="1"/>
  <c r="C30" i="141" s="1"/>
  <c r="I74" i="141"/>
  <c r="I52" i="141" s="1"/>
  <c r="I30" i="141" s="1"/>
  <c r="I78" i="141"/>
  <c r="I56" i="141" s="1"/>
  <c r="I34" i="141" s="1"/>
  <c r="D121" i="137" s="1"/>
  <c r="E79" i="141"/>
  <c r="E57" i="141" s="1"/>
  <c r="E35" i="141" s="1"/>
  <c r="H80" i="141"/>
  <c r="H58" i="141" s="1"/>
  <c r="H36" i="141" s="1"/>
  <c r="C39" i="148"/>
  <c r="D10" i="129"/>
  <c r="E42" i="34"/>
  <c r="E44" i="66" s="1"/>
  <c r="R36" i="30"/>
  <c r="I42" i="34"/>
  <c r="H13" i="129" s="1"/>
  <c r="S13" i="22"/>
  <c r="I141" i="141"/>
  <c r="I173" i="141"/>
  <c r="I171" i="141"/>
  <c r="I172" i="141"/>
  <c r="K96" i="141"/>
  <c r="L118" i="141"/>
  <c r="L96" i="141" s="1"/>
  <c r="G194" i="141"/>
  <c r="J163" i="141"/>
  <c r="J192" i="141"/>
  <c r="E184" i="141"/>
  <c r="E212" i="141"/>
  <c r="I192" i="141"/>
  <c r="G142" i="141"/>
  <c r="G174" i="141"/>
  <c r="K95" i="141"/>
  <c r="L117" i="141"/>
  <c r="L95" i="141" s="1"/>
  <c r="D98" i="141"/>
  <c r="D121" i="141"/>
  <c r="K93" i="141"/>
  <c r="L115" i="141"/>
  <c r="L93" i="141" s="1"/>
  <c r="G141" i="141"/>
  <c r="G173" i="141"/>
  <c r="G172" i="141"/>
  <c r="G171" i="141"/>
  <c r="E98" i="141"/>
  <c r="E121" i="141"/>
  <c r="K101" i="141"/>
  <c r="L123" i="141"/>
  <c r="L101" i="141" s="1"/>
  <c r="I193" i="141"/>
  <c r="K100" i="141"/>
  <c r="L122" i="141"/>
  <c r="L100" i="141" s="1"/>
  <c r="C193" i="141"/>
  <c r="K173" i="141"/>
  <c r="I194" i="141"/>
  <c r="C141" i="141"/>
  <c r="C173" i="141"/>
  <c r="C172" i="141"/>
  <c r="C171" i="141"/>
  <c r="AA51" i="148"/>
  <c r="AA79" i="148" s="1"/>
  <c r="AA80" i="148" s="1"/>
  <c r="AA82" i="148" s="1"/>
  <c r="J142" i="141"/>
  <c r="J174" i="141"/>
  <c r="J194" i="141"/>
  <c r="K142" i="141"/>
  <c r="K174" i="141"/>
  <c r="K94" i="141"/>
  <c r="L116" i="141"/>
  <c r="L94" i="141" s="1"/>
  <c r="K102" i="141"/>
  <c r="L124" i="141"/>
  <c r="L102" i="141" s="1"/>
  <c r="K92" i="141"/>
  <c r="L114" i="141"/>
  <c r="L92" i="141" s="1"/>
  <c r="F98" i="141"/>
  <c r="F121" i="141"/>
  <c r="C98" i="141"/>
  <c r="C121" i="141"/>
  <c r="AG49" i="148"/>
  <c r="AG51" i="148" s="1"/>
  <c r="AG79" i="148" s="1"/>
  <c r="U26" i="148"/>
  <c r="U78" i="148" s="1"/>
  <c r="D54" i="24"/>
  <c r="D123" i="66" s="1"/>
  <c r="P26" i="148"/>
  <c r="P78" i="148" s="1"/>
  <c r="P80" i="148" s="1"/>
  <c r="P82" i="148" s="1"/>
  <c r="AQ39" i="6"/>
  <c r="Y39" i="148"/>
  <c r="AN38" i="6"/>
  <c r="AN56" i="6" s="1"/>
  <c r="B184" i="141"/>
  <c r="Z26" i="148"/>
  <c r="Z78" i="148" s="1"/>
  <c r="AD49" i="148"/>
  <c r="O26" i="148"/>
  <c r="O78" i="148" s="1"/>
  <c r="AE26" i="148"/>
  <c r="AE78" i="148" s="1"/>
  <c r="I46" i="138"/>
  <c r="G232" i="141"/>
  <c r="F163" i="141"/>
  <c r="T26" i="148"/>
  <c r="T78" i="148" s="1"/>
  <c r="T80" i="148" s="1"/>
  <c r="T82" i="148" s="1"/>
  <c r="AJ26" i="148"/>
  <c r="AJ78" i="148" s="1"/>
  <c r="AE41" i="6"/>
  <c r="W41" i="6"/>
  <c r="I47" i="138"/>
  <c r="H17" i="129"/>
  <c r="F26" i="56"/>
  <c r="AD51" i="148"/>
  <c r="AD79" i="148" s="1"/>
  <c r="M49" i="148"/>
  <c r="I49" i="138"/>
  <c r="T13" i="23"/>
  <c r="I69" i="12"/>
  <c r="H118" i="129" s="1"/>
  <c r="R69" i="12"/>
  <c r="R26" i="56"/>
  <c r="R42" i="34"/>
  <c r="D6" i="107"/>
  <c r="C25" i="107"/>
  <c r="D25" i="107" s="1"/>
  <c r="D9" i="107"/>
  <c r="C27" i="107"/>
  <c r="D27" i="107" s="1"/>
  <c r="C66" i="143"/>
  <c r="C64" i="143"/>
  <c r="D105" i="143"/>
  <c r="I32" i="40"/>
  <c r="H19" i="129" s="1"/>
  <c r="X26" i="93"/>
  <c r="D36" i="30"/>
  <c r="D9" i="129" s="1"/>
  <c r="D42" i="34"/>
  <c r="D13" i="129" s="1"/>
  <c r="R64" i="66"/>
  <c r="L38" i="129" s="1"/>
  <c r="R93" i="66"/>
  <c r="L69" i="129" s="1"/>
  <c r="R68" i="66"/>
  <c r="L41" i="129" s="1"/>
  <c r="R47" i="66"/>
  <c r="L15" i="129" s="1"/>
  <c r="I15" i="135"/>
  <c r="H69" i="129" s="1"/>
  <c r="E78" i="66"/>
  <c r="E50" i="129"/>
  <c r="R63" i="66"/>
  <c r="L37" i="129" s="1"/>
  <c r="R86" i="66"/>
  <c r="L63" i="129" s="1"/>
  <c r="E9" i="129"/>
  <c r="U11" i="13"/>
  <c r="R130" i="66"/>
  <c r="C62" i="179" s="1"/>
  <c r="D62" i="179" s="1"/>
  <c r="Y136" i="66"/>
  <c r="Y273" i="66" s="1"/>
  <c r="Y278" i="66" s="1"/>
  <c r="Y280" i="66" s="1"/>
  <c r="I76" i="148"/>
  <c r="M51" i="148"/>
  <c r="M79" i="148" s="1"/>
  <c r="M26" i="148"/>
  <c r="M78" i="148" s="1"/>
  <c r="AC41" i="6"/>
  <c r="N26" i="148"/>
  <c r="N78" i="148" s="1"/>
  <c r="P51" i="148"/>
  <c r="P79" i="148" s="1"/>
  <c r="S49" i="148"/>
  <c r="S51" i="148" s="1"/>
  <c r="S79" i="148" s="1"/>
  <c r="S80" i="148" s="1"/>
  <c r="S82" i="148" s="1"/>
  <c r="U49" i="148"/>
  <c r="U51" i="148" s="1"/>
  <c r="U79" i="148" s="1"/>
  <c r="U80" i="148" s="1"/>
  <c r="U82" i="148" s="1"/>
  <c r="W49" i="148"/>
  <c r="Y49" i="148"/>
  <c r="Y51" i="148" s="1"/>
  <c r="Y79" i="148" s="1"/>
  <c r="Y26" i="148"/>
  <c r="Y78" i="148" s="1"/>
  <c r="AC51" i="148"/>
  <c r="AC79" i="148" s="1"/>
  <c r="AC80" i="148" s="1"/>
  <c r="AC82" i="148" s="1"/>
  <c r="AD80" i="148"/>
  <c r="AD82" i="148" s="1"/>
  <c r="Z80" i="148"/>
  <c r="Z82" i="148" s="1"/>
  <c r="AO15" i="6"/>
  <c r="AO29" i="6" s="1"/>
  <c r="X39" i="148"/>
  <c r="X51" i="148" s="1"/>
  <c r="X79" i="148" s="1"/>
  <c r="X80" i="148" s="1"/>
  <c r="X82" i="148" s="1"/>
  <c r="AN15" i="6"/>
  <c r="AN29" i="6" s="1"/>
  <c r="AN15" i="51"/>
  <c r="AN31" i="51" s="1"/>
  <c r="Y15" i="6"/>
  <c r="I39" i="148"/>
  <c r="I51" i="148" s="1"/>
  <c r="I79" i="148" s="1"/>
  <c r="I14" i="148"/>
  <c r="I26" i="148" s="1"/>
  <c r="I78" i="148" s="1"/>
  <c r="G26" i="148"/>
  <c r="G78" i="148" s="1"/>
  <c r="I8" i="2"/>
  <c r="R27" i="22"/>
  <c r="C26" i="56"/>
  <c r="I26" i="60"/>
  <c r="H28" i="129" s="1"/>
  <c r="C58" i="143"/>
  <c r="T146" i="66" s="1"/>
  <c r="C29" i="143"/>
  <c r="E35" i="143" s="1"/>
  <c r="C65" i="143"/>
  <c r="W26" i="93"/>
  <c r="F108" i="66"/>
  <c r="AU56" i="51"/>
  <c r="AG31" i="51"/>
  <c r="AK31" i="51"/>
  <c r="C46" i="11"/>
  <c r="I41" i="66"/>
  <c r="C42" i="34"/>
  <c r="C44" i="66" s="1"/>
  <c r="C35" i="44"/>
  <c r="C93" i="66"/>
  <c r="C94" i="66"/>
  <c r="C23" i="54"/>
  <c r="C106" i="66"/>
  <c r="I67" i="66"/>
  <c r="I94" i="66"/>
  <c r="E108" i="66"/>
  <c r="I63" i="66"/>
  <c r="D11" i="129"/>
  <c r="D42" i="66"/>
  <c r="Q48" i="40"/>
  <c r="R48" i="40" s="1"/>
  <c r="D23" i="54"/>
  <c r="D87" i="129" s="1"/>
  <c r="D106" i="66"/>
  <c r="Q27" i="18"/>
  <c r="R27" i="18" s="1"/>
  <c r="E38" i="129"/>
  <c r="J88" i="129"/>
  <c r="Q80" i="11"/>
  <c r="R80" i="11" s="1"/>
  <c r="I42" i="66"/>
  <c r="Q39" i="9"/>
  <c r="R39" i="9" s="1"/>
  <c r="D37" i="129"/>
  <c r="D63" i="66"/>
  <c r="D70" i="129"/>
  <c r="D94" i="66"/>
  <c r="E11" i="129"/>
  <c r="E42" i="66"/>
  <c r="E69" i="129"/>
  <c r="E93" i="66"/>
  <c r="Q48" i="93"/>
  <c r="R48" i="93" s="1"/>
  <c r="Q37" i="22"/>
  <c r="R37" i="22" s="1"/>
  <c r="E37" i="129"/>
  <c r="E63" i="66"/>
  <c r="F21" i="47"/>
  <c r="F65" i="66"/>
  <c r="D20" i="18"/>
  <c r="D47" i="129" s="1"/>
  <c r="D19" i="86"/>
  <c r="D46" i="11"/>
  <c r="D91" i="66" s="1"/>
  <c r="D69" i="12"/>
  <c r="D118" i="129" s="1"/>
  <c r="AR56" i="6"/>
  <c r="AR61" i="6" s="1"/>
  <c r="AD31" i="51"/>
  <c r="C69" i="12"/>
  <c r="AP29" i="6"/>
  <c r="C34" i="35"/>
  <c r="C46" i="66" s="1"/>
  <c r="E23" i="29"/>
  <c r="E39" i="66" s="1"/>
  <c r="D24" i="136"/>
  <c r="E24" i="136" s="1"/>
  <c r="B58" i="160"/>
  <c r="C132" i="66"/>
  <c r="F19" i="13"/>
  <c r="F130" i="66"/>
  <c r="F132" i="66" s="1"/>
  <c r="D77" i="129"/>
  <c r="D102" i="66"/>
  <c r="E77" i="129"/>
  <c r="E102" i="66"/>
  <c r="C36" i="30"/>
  <c r="C40" i="66" s="1"/>
  <c r="E29" i="5"/>
  <c r="E116" i="66" s="1"/>
  <c r="C41" i="8"/>
  <c r="C84" i="66" s="1"/>
  <c r="R59" i="43"/>
  <c r="D28" i="43"/>
  <c r="D59" i="43" s="1"/>
  <c r="D59" i="66" s="1"/>
  <c r="E27" i="129"/>
  <c r="I47" i="66"/>
  <c r="D15" i="129"/>
  <c r="D47" i="66"/>
  <c r="R55" i="17"/>
  <c r="C27" i="22"/>
  <c r="E26" i="56"/>
  <c r="S23" i="29"/>
  <c r="S24" i="29" s="1"/>
  <c r="T24" i="29" s="1"/>
  <c r="D11" i="136"/>
  <c r="E11" i="136" s="1"/>
  <c r="D12" i="136"/>
  <c r="E12" i="136" s="1"/>
  <c r="AW29" i="6"/>
  <c r="G143" i="129"/>
  <c r="G147" i="129" s="1"/>
  <c r="I102" i="66"/>
  <c r="AI56" i="51"/>
  <c r="AB56" i="51"/>
  <c r="F64" i="51"/>
  <c r="F99" i="66" s="1"/>
  <c r="AV31" i="51"/>
  <c r="AP31" i="51"/>
  <c r="AF56" i="51"/>
  <c r="R46" i="11"/>
  <c r="I78" i="66"/>
  <c r="R20" i="18"/>
  <c r="R21" i="23"/>
  <c r="I21" i="23"/>
  <c r="R19" i="86"/>
  <c r="D34" i="35"/>
  <c r="D14" i="129" s="1"/>
  <c r="R29" i="33"/>
  <c r="D75" i="66"/>
  <c r="E8" i="129"/>
  <c r="E68" i="66"/>
  <c r="E41" i="129"/>
  <c r="E75" i="66"/>
  <c r="E47" i="129"/>
  <c r="E85" i="66"/>
  <c r="E62" i="129"/>
  <c r="E36" i="129"/>
  <c r="E62" i="66"/>
  <c r="I86" i="66"/>
  <c r="I75" i="66"/>
  <c r="I44" i="66"/>
  <c r="C118" i="66"/>
  <c r="E21" i="129"/>
  <c r="E53" i="66"/>
  <c r="I68" i="66"/>
  <c r="I26" i="9"/>
  <c r="H62" i="129" s="1"/>
  <c r="H64" i="129" s="1"/>
  <c r="I62" i="66"/>
  <c r="I24" i="77"/>
  <c r="I49" i="66" s="1"/>
  <c r="E48" i="129"/>
  <c r="E76" i="66"/>
  <c r="I53" i="66"/>
  <c r="D63" i="129"/>
  <c r="D86" i="66"/>
  <c r="E63" i="129"/>
  <c r="E86" i="66"/>
  <c r="L130" i="129"/>
  <c r="C21" i="47"/>
  <c r="C65" i="66"/>
  <c r="AU31" i="51"/>
  <c r="D20" i="129"/>
  <c r="D52" i="66"/>
  <c r="C53" i="66"/>
  <c r="E21" i="47"/>
  <c r="E39" i="129" s="1"/>
  <c r="E65" i="66"/>
  <c r="I52" i="66"/>
  <c r="D62" i="129"/>
  <c r="E67" i="129"/>
  <c r="I30" i="149"/>
  <c r="H16" i="129" s="1"/>
  <c r="I92" i="66"/>
  <c r="E86" i="129"/>
  <c r="I40" i="66"/>
  <c r="I41" i="38"/>
  <c r="H18" i="129" s="1"/>
  <c r="D8" i="129"/>
  <c r="D39" i="66"/>
  <c r="D21" i="47"/>
  <c r="D39" i="129" s="1"/>
  <c r="D65" i="66"/>
  <c r="D41" i="129"/>
  <c r="D68" i="66"/>
  <c r="D121" i="129"/>
  <c r="D118" i="66"/>
  <c r="I118" i="66"/>
  <c r="E121" i="129"/>
  <c r="E118" i="66"/>
  <c r="I123" i="66"/>
  <c r="C99" i="66"/>
  <c r="I99" i="66"/>
  <c r="V273" i="66"/>
  <c r="V278" i="66" s="1"/>
  <c r="I46" i="66"/>
  <c r="D86" i="129"/>
  <c r="D105" i="66"/>
  <c r="I105" i="66"/>
  <c r="C105" i="66"/>
  <c r="E17" i="15"/>
  <c r="G120" i="182" s="1"/>
  <c r="I17" i="15"/>
  <c r="S120" i="182" s="1"/>
  <c r="I56" i="15"/>
  <c r="S121" i="182" s="1"/>
  <c r="E59" i="43"/>
  <c r="E59" i="66" s="1"/>
  <c r="C60" i="66"/>
  <c r="I60" i="66"/>
  <c r="I59" i="43"/>
  <c r="C61" i="66"/>
  <c r="C56" i="15"/>
  <c r="C121" i="182" s="1"/>
  <c r="C244" i="182" s="1"/>
  <c r="D56" i="15"/>
  <c r="D121" i="182" s="1"/>
  <c r="E56" i="15"/>
  <c r="G121" i="182" s="1"/>
  <c r="R17" i="15"/>
  <c r="AM120" i="182" s="1"/>
  <c r="AM243" i="182" s="1"/>
  <c r="D16" i="46"/>
  <c r="C29" i="49"/>
  <c r="Y31" i="51"/>
  <c r="C16" i="46"/>
  <c r="E54" i="24"/>
  <c r="W56" i="51"/>
  <c r="P59" i="8"/>
  <c r="R59" i="8" s="1"/>
  <c r="I11" i="2"/>
  <c r="D22" i="77"/>
  <c r="F41" i="8"/>
  <c r="F84" i="66" s="1"/>
  <c r="AC56" i="6"/>
  <c r="AK56" i="6"/>
  <c r="R23" i="29"/>
  <c r="D22" i="7"/>
  <c r="C30" i="93"/>
  <c r="AZ31" i="51"/>
  <c r="AW56" i="51"/>
  <c r="AS56" i="51"/>
  <c r="AQ56" i="51"/>
  <c r="AY31" i="51"/>
  <c r="AP56" i="51"/>
  <c r="AD56" i="51"/>
  <c r="X56" i="51"/>
  <c r="D26" i="60"/>
  <c r="D61" i="66" s="1"/>
  <c r="C29" i="5"/>
  <c r="C116" i="66" s="1"/>
  <c r="AO56" i="6"/>
  <c r="D35" i="44"/>
  <c r="U12" i="48"/>
  <c r="F29" i="33"/>
  <c r="F43" i="66" s="1"/>
  <c r="F35" i="44"/>
  <c r="F62" i="66" s="1"/>
  <c r="F29" i="49"/>
  <c r="F92" i="66" s="1"/>
  <c r="C26" i="9"/>
  <c r="E55" i="17"/>
  <c r="F23" i="29"/>
  <c r="F39" i="66" s="1"/>
  <c r="F16" i="46"/>
  <c r="F64" i="66" s="1"/>
  <c r="F20" i="18"/>
  <c r="F75" i="66" s="1"/>
  <c r="D41" i="38"/>
  <c r="S23" i="54"/>
  <c r="E29" i="49"/>
  <c r="R29" i="49"/>
  <c r="R41" i="8"/>
  <c r="R32" i="40"/>
  <c r="F84" i="26"/>
  <c r="K84" i="26" s="1"/>
  <c r="AG56" i="51"/>
  <c r="AZ56" i="51"/>
  <c r="AK56" i="51"/>
  <c r="AE56" i="51"/>
  <c r="AA31" i="51"/>
  <c r="AX31" i="51"/>
  <c r="AT31" i="51"/>
  <c r="AN56" i="51"/>
  <c r="AJ56" i="51"/>
  <c r="AY29" i="6"/>
  <c r="AW56" i="6"/>
  <c r="AQ56" i="6"/>
  <c r="AQ29" i="6"/>
  <c r="C23" i="29"/>
  <c r="F36" i="30"/>
  <c r="F40" i="66" s="1"/>
  <c r="I29" i="33"/>
  <c r="H12" i="129" s="1"/>
  <c r="C29" i="33"/>
  <c r="C43" i="66" s="1"/>
  <c r="D29" i="33"/>
  <c r="P58" i="35"/>
  <c r="F34" i="35"/>
  <c r="F46" i="66" s="1"/>
  <c r="D30" i="149"/>
  <c r="F24" i="77"/>
  <c r="F49" i="66" s="1"/>
  <c r="P69" i="38"/>
  <c r="F32" i="40"/>
  <c r="F51" i="66" s="1"/>
  <c r="C59" i="43"/>
  <c r="F59" i="43"/>
  <c r="F59" i="66" s="1"/>
  <c r="P51" i="60"/>
  <c r="F26" i="60"/>
  <c r="F61" i="66" s="1"/>
  <c r="P55" i="44"/>
  <c r="R35" i="44"/>
  <c r="F19" i="86"/>
  <c r="F68" i="66" s="1"/>
  <c r="F55" i="17"/>
  <c r="D16" i="17"/>
  <c r="D55" i="17" s="1"/>
  <c r="C21" i="23"/>
  <c r="E21" i="23"/>
  <c r="F21" i="23"/>
  <c r="C20" i="18"/>
  <c r="S18" i="18"/>
  <c r="AQ127" i="182" s="1"/>
  <c r="P31" i="18"/>
  <c r="P34" i="18" s="1"/>
  <c r="Q34" i="18" s="1"/>
  <c r="R34" i="18" s="1"/>
  <c r="D27" i="22"/>
  <c r="C22" i="7"/>
  <c r="R22" i="7"/>
  <c r="P60" i="8"/>
  <c r="R60" i="8" s="1"/>
  <c r="D41" i="8"/>
  <c r="F26" i="9"/>
  <c r="F85" i="66" s="1"/>
  <c r="F46" i="11"/>
  <c r="F91" i="66" s="1"/>
  <c r="E64" i="51"/>
  <c r="F30" i="93"/>
  <c r="D30" i="93"/>
  <c r="C54" i="24"/>
  <c r="D12" i="5"/>
  <c r="D29" i="5" s="1"/>
  <c r="D116" i="66" s="1"/>
  <c r="S29" i="5"/>
  <c r="S30" i="5" s="1"/>
  <c r="T30" i="5" s="1"/>
  <c r="U12" i="5"/>
  <c r="U24" i="5"/>
  <c r="R29" i="5"/>
  <c r="C61" i="6"/>
  <c r="D56" i="6"/>
  <c r="D61" i="6" s="1"/>
  <c r="AP56" i="6"/>
  <c r="W56" i="6"/>
  <c r="AB56" i="6"/>
  <c r="AF56" i="6"/>
  <c r="AJ29" i="6"/>
  <c r="AY56" i="6"/>
  <c r="AY61" i="6" s="1"/>
  <c r="R61" i="6"/>
  <c r="AM225" i="182" s="1"/>
  <c r="AX29" i="6"/>
  <c r="AS56" i="6"/>
  <c r="AM56" i="6"/>
  <c r="AA56" i="6"/>
  <c r="AC29" i="6"/>
  <c r="AT56" i="6"/>
  <c r="AJ56" i="6"/>
  <c r="AG56" i="6"/>
  <c r="AI56" i="6"/>
  <c r="AD56" i="6"/>
  <c r="AF29" i="6"/>
  <c r="X29" i="6"/>
  <c r="AL29" i="6"/>
  <c r="I61" i="6"/>
  <c r="H120" i="129" s="1"/>
  <c r="E61" i="6"/>
  <c r="F61" i="6"/>
  <c r="F117" i="66" s="1"/>
  <c r="U14" i="32"/>
  <c r="U16" i="46"/>
  <c r="AI31" i="51"/>
  <c r="AL56" i="51"/>
  <c r="U24" i="77"/>
  <c r="T49" i="66" s="1"/>
  <c r="I16" i="46"/>
  <c r="H38" i="129" s="1"/>
  <c r="D17" i="15"/>
  <c r="D120" i="182" s="1"/>
  <c r="D243" i="182" s="1"/>
  <c r="AT56" i="51"/>
  <c r="AS31" i="51"/>
  <c r="S14" i="50"/>
  <c r="F42" i="34"/>
  <c r="F44" i="66" s="1"/>
  <c r="U15" i="10"/>
  <c r="AO31" i="51"/>
  <c r="C19" i="86"/>
  <c r="C68" i="66" s="1"/>
  <c r="S30" i="149"/>
  <c r="S31" i="149" s="1"/>
  <c r="T31" i="149" s="1"/>
  <c r="U27" i="5"/>
  <c r="M130" i="129" s="1"/>
  <c r="N130" i="129" s="1"/>
  <c r="O130" i="129" s="1"/>
  <c r="D32" i="40"/>
  <c r="D51" i="66" s="1"/>
  <c r="S23" i="7"/>
  <c r="T23" i="7" s="1"/>
  <c r="E32" i="40"/>
  <c r="E41" i="8"/>
  <c r="U19" i="86"/>
  <c r="U18" i="41"/>
  <c r="C32" i="40"/>
  <c r="C51" i="66" s="1"/>
  <c r="F41" i="38"/>
  <c r="F50" i="66" s="1"/>
  <c r="F23" i="54"/>
  <c r="F29" i="5"/>
  <c r="F116" i="66" s="1"/>
  <c r="U20" i="31"/>
  <c r="R16" i="46"/>
  <c r="E26" i="60"/>
  <c r="F17" i="15"/>
  <c r="J120" i="182" s="1"/>
  <c r="J243" i="182" s="1"/>
  <c r="F56" i="15"/>
  <c r="J121" i="182" s="1"/>
  <c r="K121" i="182" s="1"/>
  <c r="S56" i="15"/>
  <c r="AQ121" i="182" s="1"/>
  <c r="R56" i="15"/>
  <c r="AM121" i="182" s="1"/>
  <c r="AN121" i="182" s="1"/>
  <c r="I27" i="22"/>
  <c r="H48" i="129" s="1"/>
  <c r="R30" i="93"/>
  <c r="I30" i="93"/>
  <c r="I29" i="5"/>
  <c r="I116" i="66" s="1"/>
  <c r="AJ31" i="51"/>
  <c r="W31" i="51"/>
  <c r="AR56" i="51"/>
  <c r="AY56" i="51"/>
  <c r="AO56" i="51"/>
  <c r="AQ31" i="51"/>
  <c r="AC31" i="51"/>
  <c r="AR31" i="51"/>
  <c r="D77" i="137"/>
  <c r="D79" i="137"/>
  <c r="D73" i="137"/>
  <c r="S9" i="56"/>
  <c r="E31" i="2"/>
  <c r="AA26" i="66"/>
  <c r="Z30" i="66" s="1"/>
  <c r="Z277" i="66" s="1"/>
  <c r="V17" i="66"/>
  <c r="V9" i="66"/>
  <c r="X273" i="66"/>
  <c r="F72" i="26" s="1"/>
  <c r="H93" i="26"/>
  <c r="F69" i="12"/>
  <c r="F114" i="66" s="1"/>
  <c r="I46" i="11"/>
  <c r="Z136" i="66"/>
  <c r="Z273" i="66" s="1"/>
  <c r="Z278" i="66" s="1"/>
  <c r="U16" i="36"/>
  <c r="R64" i="51"/>
  <c r="AM178" i="182" s="1"/>
  <c r="B18" i="167"/>
  <c r="F30" i="149"/>
  <c r="F48" i="66" s="1"/>
  <c r="E69" i="12"/>
  <c r="E114" i="66" s="1"/>
  <c r="H88" i="129" l="1"/>
  <c r="E187" i="182"/>
  <c r="G247" i="182"/>
  <c r="H186" i="182"/>
  <c r="G187" i="182"/>
  <c r="H187" i="182" s="1"/>
  <c r="K186" i="182"/>
  <c r="J187" i="182"/>
  <c r="J247" i="182"/>
  <c r="N186" i="182"/>
  <c r="S247" i="182"/>
  <c r="T186" i="182"/>
  <c r="S187" i="182"/>
  <c r="W186" i="182"/>
  <c r="D265" i="182"/>
  <c r="D268" i="182" s="1"/>
  <c r="H200" i="182"/>
  <c r="G210" i="182"/>
  <c r="J261" i="182"/>
  <c r="K198" i="182"/>
  <c r="N198" i="182"/>
  <c r="J200" i="182"/>
  <c r="G265" i="182"/>
  <c r="G269" i="182" s="1"/>
  <c r="G268" i="182"/>
  <c r="C265" i="182"/>
  <c r="C268" i="182" s="1"/>
  <c r="D269" i="182"/>
  <c r="E200" i="182"/>
  <c r="D210" i="182"/>
  <c r="E210" i="182" s="1"/>
  <c r="G16" i="182"/>
  <c r="H15" i="182"/>
  <c r="S16" i="182"/>
  <c r="T15" i="182"/>
  <c r="W15" i="182"/>
  <c r="D16" i="182"/>
  <c r="E16" i="182" s="1"/>
  <c r="E15" i="182"/>
  <c r="E10" i="129"/>
  <c r="J16" i="182"/>
  <c r="K15" i="182"/>
  <c r="N15" i="182"/>
  <c r="AM280" i="182"/>
  <c r="AM282" i="182" s="1"/>
  <c r="AN225" i="182"/>
  <c r="AM226" i="182"/>
  <c r="AN226" i="182" s="1"/>
  <c r="AM246" i="182"/>
  <c r="AM179" i="182"/>
  <c r="AN179" i="182" s="1"/>
  <c r="AN178" i="182"/>
  <c r="AM175" i="182"/>
  <c r="AN175" i="182" s="1"/>
  <c r="AN174" i="182"/>
  <c r="AM157" i="182"/>
  <c r="AN157" i="182" s="1"/>
  <c r="AN156" i="182"/>
  <c r="T147" i="182"/>
  <c r="W147" i="182"/>
  <c r="S148" i="182"/>
  <c r="I84" i="66"/>
  <c r="H148" i="182"/>
  <c r="K148" i="182"/>
  <c r="N148" i="182"/>
  <c r="AM107" i="182"/>
  <c r="AN107" i="182" s="1"/>
  <c r="AN106" i="182"/>
  <c r="AN86" i="182"/>
  <c r="AM88" i="182"/>
  <c r="AN88" i="182" s="1"/>
  <c r="AM64" i="182"/>
  <c r="AN64" i="182" s="1"/>
  <c r="AN63" i="182"/>
  <c r="AM40" i="182"/>
  <c r="AN40" i="182" s="1"/>
  <c r="AN39" i="182"/>
  <c r="K25" i="182"/>
  <c r="N25" i="182"/>
  <c r="T25" i="182"/>
  <c r="W25" i="182"/>
  <c r="AM16" i="182"/>
  <c r="AN16" i="182" s="1"/>
  <c r="AN15" i="182"/>
  <c r="AM72" i="182"/>
  <c r="AN72" i="182" s="1"/>
  <c r="AN71" i="182"/>
  <c r="G72" i="182"/>
  <c r="H71" i="182"/>
  <c r="J72" i="182"/>
  <c r="K71" i="182"/>
  <c r="N71" i="182"/>
  <c r="D72" i="182"/>
  <c r="E72" i="182" s="1"/>
  <c r="E71" i="182"/>
  <c r="N153" i="182"/>
  <c r="AN152" i="182"/>
  <c r="AM153" i="182"/>
  <c r="AN153" i="182" s="1"/>
  <c r="T153" i="182"/>
  <c r="W153" i="182"/>
  <c r="G153" i="182"/>
  <c r="H153" i="182" s="1"/>
  <c r="H152" i="182"/>
  <c r="S282" i="182"/>
  <c r="S285" i="182" s="1"/>
  <c r="C282" i="182"/>
  <c r="C285" i="182" s="1"/>
  <c r="J282" i="182"/>
  <c r="J285" i="182"/>
  <c r="G282" i="182"/>
  <c r="G285" i="182" s="1"/>
  <c r="T216" i="182"/>
  <c r="S232" i="182"/>
  <c r="W216" i="182"/>
  <c r="J232" i="182"/>
  <c r="K216" i="182"/>
  <c r="N216" i="182"/>
  <c r="G232" i="182"/>
  <c r="H216" i="182"/>
  <c r="G286" i="182"/>
  <c r="AN216" i="182"/>
  <c r="D282" i="182"/>
  <c r="E216" i="182"/>
  <c r="D232" i="182"/>
  <c r="E232" i="182" s="1"/>
  <c r="AS127" i="182"/>
  <c r="AR127" i="182"/>
  <c r="AQ128" i="182"/>
  <c r="AT127" i="182"/>
  <c r="AV127" i="182" s="1"/>
  <c r="H121" i="182"/>
  <c r="E121" i="182"/>
  <c r="G244" i="182"/>
  <c r="T121" i="182"/>
  <c r="W121" i="182"/>
  <c r="T120" i="182"/>
  <c r="S123" i="182"/>
  <c r="W120" i="182"/>
  <c r="AM244" i="182"/>
  <c r="AM248" i="182" s="1"/>
  <c r="AM251" i="182" s="1"/>
  <c r="E120" i="182"/>
  <c r="D123" i="182"/>
  <c r="H120" i="182"/>
  <c r="G123" i="182"/>
  <c r="C123" i="182"/>
  <c r="G243" i="182"/>
  <c r="J123" i="182"/>
  <c r="K123" i="182" s="1"/>
  <c r="K120" i="182"/>
  <c r="N120" i="182"/>
  <c r="J244" i="182"/>
  <c r="J248" i="182" s="1"/>
  <c r="J251" i="182" s="1"/>
  <c r="AM123" i="182"/>
  <c r="AN123" i="182" s="1"/>
  <c r="AN120" i="182"/>
  <c r="S243" i="182"/>
  <c r="S244" i="182"/>
  <c r="U13" i="22"/>
  <c r="U27" i="22" s="1"/>
  <c r="AQ131" i="182"/>
  <c r="S24" i="54"/>
  <c r="T24" i="54" s="1"/>
  <c r="AQ190" i="182"/>
  <c r="AQ157" i="182"/>
  <c r="AY156" i="182"/>
  <c r="AY157" i="182" s="1"/>
  <c r="AR156" i="182"/>
  <c r="AX156" i="182"/>
  <c r="AX157" i="182" s="1"/>
  <c r="AW156" i="182"/>
  <c r="AW157" i="182" s="1"/>
  <c r="AV156" i="182"/>
  <c r="AV157" i="182" s="1"/>
  <c r="AZ156" i="182"/>
  <c r="AZ157" i="182" s="1"/>
  <c r="AT156" i="182"/>
  <c r="AS156" i="182"/>
  <c r="K50" i="182"/>
  <c r="N50" i="182"/>
  <c r="D17" i="129"/>
  <c r="D49" i="182"/>
  <c r="T50" i="182"/>
  <c r="W50" i="182"/>
  <c r="AM50" i="182"/>
  <c r="AN50" i="182" s="1"/>
  <c r="AN49" i="182"/>
  <c r="D24" i="77"/>
  <c r="D49" i="66" s="1"/>
  <c r="K45" i="182"/>
  <c r="N45" i="182"/>
  <c r="T45" i="182"/>
  <c r="W45" i="182"/>
  <c r="C48" i="66"/>
  <c r="H45" i="182"/>
  <c r="AQ40" i="182"/>
  <c r="AR39" i="182"/>
  <c r="AT39" i="182"/>
  <c r="AV39" i="182" s="1"/>
  <c r="AS39" i="182"/>
  <c r="T143" i="182"/>
  <c r="W143" i="182"/>
  <c r="AY143" i="182"/>
  <c r="AZ141" i="182"/>
  <c r="AZ143" i="182" s="1"/>
  <c r="AR143" i="182"/>
  <c r="AS143" i="182"/>
  <c r="AT143" i="182"/>
  <c r="J143" i="182"/>
  <c r="K141" i="182"/>
  <c r="N141" i="182"/>
  <c r="H143" i="182"/>
  <c r="C50" i="66"/>
  <c r="AN54" i="182"/>
  <c r="AM55" i="182"/>
  <c r="AN55" i="182" s="1"/>
  <c r="T55" i="182"/>
  <c r="W55" i="182"/>
  <c r="C193" i="182"/>
  <c r="C234" i="182" s="1"/>
  <c r="E53" i="182"/>
  <c r="C243" i="182"/>
  <c r="C248" i="182" s="1"/>
  <c r="C251" i="182" s="1"/>
  <c r="E55" i="182"/>
  <c r="H55" i="182"/>
  <c r="K55" i="182"/>
  <c r="N55" i="182"/>
  <c r="K35" i="182"/>
  <c r="N35" i="182"/>
  <c r="T34" i="182"/>
  <c r="W34" i="182"/>
  <c r="S35" i="182"/>
  <c r="H35" i="182"/>
  <c r="H162" i="182"/>
  <c r="S193" i="182"/>
  <c r="T162" i="182"/>
  <c r="W162" i="182"/>
  <c r="K162" i="182"/>
  <c r="N162" i="182"/>
  <c r="E162" i="182"/>
  <c r="AT121" i="182"/>
  <c r="AV121" i="182" s="1"/>
  <c r="AS121" i="182"/>
  <c r="AQ244" i="182"/>
  <c r="AR121" i="182"/>
  <c r="AN133" i="182"/>
  <c r="B28" i="133"/>
  <c r="C76" i="66"/>
  <c r="H213" i="141"/>
  <c r="H212" i="141"/>
  <c r="H184" i="141"/>
  <c r="R45" i="35"/>
  <c r="R66" i="11"/>
  <c r="D108" i="137" s="1"/>
  <c r="R59" i="38"/>
  <c r="D26" i="137" s="1"/>
  <c r="R67" i="11"/>
  <c r="D110" i="137" s="1"/>
  <c r="G29" i="138"/>
  <c r="G19" i="138" s="1"/>
  <c r="E48" i="66"/>
  <c r="E12" i="129"/>
  <c r="AE29" i="6"/>
  <c r="E46" i="66"/>
  <c r="U23" i="29"/>
  <c r="T39" i="66" s="1"/>
  <c r="T23" i="54"/>
  <c r="T14" i="50"/>
  <c r="S94" i="66" s="1"/>
  <c r="M70" i="129" s="1"/>
  <c r="AL56" i="6"/>
  <c r="T63" i="66"/>
  <c r="N37" i="129"/>
  <c r="O37" i="129" s="1"/>
  <c r="E64" i="129"/>
  <c r="D108" i="66"/>
  <c r="T30" i="149"/>
  <c r="S48" i="66" s="1"/>
  <c r="M16" i="129" s="1"/>
  <c r="AU64" i="51"/>
  <c r="C62" i="66"/>
  <c r="E88" i="129"/>
  <c r="W56" i="15"/>
  <c r="T56" i="15"/>
  <c r="R64" i="11"/>
  <c r="D106" i="137" s="1"/>
  <c r="R58" i="11"/>
  <c r="D100" i="137" s="1"/>
  <c r="R45" i="30"/>
  <c r="S9" i="30" s="1"/>
  <c r="P51" i="30" s="1"/>
  <c r="R86" i="12"/>
  <c r="D128" i="137" s="1"/>
  <c r="R41" i="60"/>
  <c r="D61" i="137" s="1"/>
  <c r="I174" i="141"/>
  <c r="I40" i="138"/>
  <c r="I30" i="138" s="1"/>
  <c r="I20" i="138" s="1"/>
  <c r="I39" i="138"/>
  <c r="I29" i="138" s="1"/>
  <c r="I19" i="138" s="1"/>
  <c r="H40" i="138"/>
  <c r="H30" i="138" s="1"/>
  <c r="H20" i="138" s="1"/>
  <c r="F37" i="138"/>
  <c r="B36" i="138"/>
  <c r="B26" i="138" s="1"/>
  <c r="B16" i="138" s="1"/>
  <c r="I37" i="138"/>
  <c r="I27" i="138" s="1"/>
  <c r="I17" i="138" s="1"/>
  <c r="R75" i="43" s="1"/>
  <c r="I36" i="138"/>
  <c r="I26" i="138" s="1"/>
  <c r="I16" i="138" s="1"/>
  <c r="D74" i="129"/>
  <c r="Z56" i="51"/>
  <c r="Z31" i="51"/>
  <c r="N100" i="26"/>
  <c r="O15" i="66"/>
  <c r="O30" i="66" s="1"/>
  <c r="O277" i="66" s="1"/>
  <c r="AB61" i="6"/>
  <c r="AV225" i="182" s="1"/>
  <c r="I7" i="2"/>
  <c r="N41" i="129"/>
  <c r="O41" i="129" s="1"/>
  <c r="T68" i="66"/>
  <c r="I93" i="66"/>
  <c r="D70" i="143"/>
  <c r="D89" i="143" s="1"/>
  <c r="D90" i="143" s="1"/>
  <c r="N40" i="129"/>
  <c r="O40" i="129" s="1"/>
  <c r="T67" i="66"/>
  <c r="E129" i="129"/>
  <c r="E131" i="129" s="1"/>
  <c r="T23" i="29"/>
  <c r="S39" i="66" s="1"/>
  <c r="M8" i="129" s="1"/>
  <c r="N8" i="129" s="1"/>
  <c r="O8" i="129" s="1"/>
  <c r="N20" i="129"/>
  <c r="O20" i="129" s="1"/>
  <c r="T52" i="66"/>
  <c r="N63" i="129"/>
  <c r="O63" i="129" s="1"/>
  <c r="T86" i="66"/>
  <c r="Y56" i="51"/>
  <c r="Y64" i="51" s="1"/>
  <c r="R116" i="66"/>
  <c r="T29" i="5"/>
  <c r="S116" i="66" s="1"/>
  <c r="Y56" i="6"/>
  <c r="D68" i="129"/>
  <c r="D28" i="129"/>
  <c r="T64" i="66"/>
  <c r="T16" i="46"/>
  <c r="S64" i="66" s="1"/>
  <c r="M38" i="129" s="1"/>
  <c r="N38" i="129" s="1"/>
  <c r="O38" i="129" s="1"/>
  <c r="N11" i="129"/>
  <c r="O11" i="129" s="1"/>
  <c r="T42" i="66"/>
  <c r="T76" i="66"/>
  <c r="N15" i="129"/>
  <c r="O15" i="129" s="1"/>
  <c r="T47" i="66"/>
  <c r="R146" i="66"/>
  <c r="S146" i="66"/>
  <c r="T22" i="7"/>
  <c r="S78" i="66" s="1"/>
  <c r="M50" i="129" s="1"/>
  <c r="N10" i="129"/>
  <c r="O10" i="129" s="1"/>
  <c r="T41" i="66"/>
  <c r="R94" i="66"/>
  <c r="L70" i="129" s="1"/>
  <c r="AF31" i="51"/>
  <c r="E26" i="129"/>
  <c r="D40" i="66"/>
  <c r="U83" i="43"/>
  <c r="T18" i="66"/>
  <c r="X18" i="66"/>
  <c r="I51" i="66"/>
  <c r="R48" i="66"/>
  <c r="L16" i="129" s="1"/>
  <c r="AV56" i="51"/>
  <c r="AV64" i="51" s="1"/>
  <c r="AC56" i="51"/>
  <c r="AC64" i="51" s="1"/>
  <c r="S27" i="22"/>
  <c r="S28" i="22" s="1"/>
  <c r="T28" i="22" s="1"/>
  <c r="Q80" i="148"/>
  <c r="Q82" i="148" s="1"/>
  <c r="Q39" i="148"/>
  <c r="Q51" i="148" s="1"/>
  <c r="Q79" i="148" s="1"/>
  <c r="K78" i="141"/>
  <c r="K56" i="141" s="1"/>
  <c r="K34" i="141" s="1"/>
  <c r="AL61" i="6"/>
  <c r="AG61" i="6"/>
  <c r="F76" i="141"/>
  <c r="F54" i="141" s="1"/>
  <c r="F32" i="141" s="1"/>
  <c r="R38" i="60"/>
  <c r="D58" i="137" s="1"/>
  <c r="R39" i="40"/>
  <c r="C26" i="148"/>
  <c r="C78" i="148" s="1"/>
  <c r="C80" i="148" s="1"/>
  <c r="C82" i="148" s="1"/>
  <c r="V49" i="148"/>
  <c r="V51" i="148" s="1"/>
  <c r="V79" i="148" s="1"/>
  <c r="V80" i="148" s="1"/>
  <c r="V82" i="148" s="1"/>
  <c r="L78" i="141"/>
  <c r="L56" i="141" s="1"/>
  <c r="L34" i="141" s="1"/>
  <c r="AX37" i="6"/>
  <c r="AX56" i="6" s="1"/>
  <c r="AH49" i="148"/>
  <c r="AH51" i="148" s="1"/>
  <c r="AH79" i="148" s="1"/>
  <c r="AH80" i="148" s="1"/>
  <c r="AH82" i="148" s="1"/>
  <c r="Y29" i="6"/>
  <c r="Y61" i="6" s="1"/>
  <c r="AE64" i="51"/>
  <c r="L70" i="141"/>
  <c r="L48" i="141" s="1"/>
  <c r="L26" i="141" s="1"/>
  <c r="L79" i="141"/>
  <c r="L57" i="141" s="1"/>
  <c r="L35" i="141" s="1"/>
  <c r="L71" i="141"/>
  <c r="L49" i="141" s="1"/>
  <c r="L27" i="141" s="1"/>
  <c r="L74" i="141"/>
  <c r="L52" i="141" s="1"/>
  <c r="L30" i="141" s="1"/>
  <c r="R74" i="43"/>
  <c r="D39" i="137" s="1"/>
  <c r="D36" i="138"/>
  <c r="D26" i="138" s="1"/>
  <c r="D16" i="138" s="1"/>
  <c r="R65" i="11"/>
  <c r="D107" i="137" s="1"/>
  <c r="R59" i="11"/>
  <c r="Z38" i="6"/>
  <c r="J49" i="148"/>
  <c r="K72" i="141"/>
  <c r="K50" i="141" s="1"/>
  <c r="K28" i="141" s="1"/>
  <c r="G80" i="148"/>
  <c r="G82" i="148" s="1"/>
  <c r="M80" i="148"/>
  <c r="M82" i="148" s="1"/>
  <c r="R81" i="43"/>
  <c r="R82" i="43"/>
  <c r="K70" i="141"/>
  <c r="K48" i="141" s="1"/>
  <c r="K26" i="141" s="1"/>
  <c r="K79" i="141"/>
  <c r="K57" i="141" s="1"/>
  <c r="K35" i="141" s="1"/>
  <c r="K71" i="141"/>
  <c r="K49" i="141" s="1"/>
  <c r="K27" i="141" s="1"/>
  <c r="K74" i="141"/>
  <c r="K52" i="141" s="1"/>
  <c r="K30" i="141" s="1"/>
  <c r="D212" i="141"/>
  <c r="D213" i="141"/>
  <c r="D184" i="141"/>
  <c r="N39" i="148"/>
  <c r="N51" i="148" s="1"/>
  <c r="N79" i="148" s="1"/>
  <c r="N80" i="148" s="1"/>
  <c r="N82" i="148" s="1"/>
  <c r="AM13" i="6"/>
  <c r="AM29" i="6" s="1"/>
  <c r="W39" i="148"/>
  <c r="C51" i="148"/>
  <c r="C79" i="148" s="1"/>
  <c r="C76" i="141"/>
  <c r="C54" i="141" s="1"/>
  <c r="C32" i="141" s="1"/>
  <c r="W51" i="148"/>
  <c r="W79" i="148" s="1"/>
  <c r="W80" i="148" s="1"/>
  <c r="W82" i="148" s="1"/>
  <c r="K141" i="141"/>
  <c r="AI64" i="51"/>
  <c r="D143" i="129"/>
  <c r="D147" i="129" s="1"/>
  <c r="AE56" i="6"/>
  <c r="AG80" i="148"/>
  <c r="AG82" i="148" s="1"/>
  <c r="D6" i="137"/>
  <c r="L80" i="141"/>
  <c r="L58" i="141" s="1"/>
  <c r="L36" i="141" s="1"/>
  <c r="R73" i="15"/>
  <c r="D71" i="137" s="1"/>
  <c r="AE51" i="148"/>
  <c r="AE79" i="148" s="1"/>
  <c r="AE80" i="148" s="1"/>
  <c r="AE82" i="148" s="1"/>
  <c r="R60" i="11"/>
  <c r="D102" i="137" s="1"/>
  <c r="R63" i="11"/>
  <c r="D105" i="137" s="1"/>
  <c r="AZ38" i="6"/>
  <c r="AZ56" i="6" s="1"/>
  <c r="AJ49" i="148"/>
  <c r="AV14" i="6"/>
  <c r="AV29" i="6" s="1"/>
  <c r="AF39" i="148"/>
  <c r="AK61" i="6"/>
  <c r="K80" i="141"/>
  <c r="K58" i="141" s="1"/>
  <c r="K36" i="141" s="1"/>
  <c r="H174" i="141"/>
  <c r="K171" i="141"/>
  <c r="E76" i="141"/>
  <c r="E54" i="141" s="1"/>
  <c r="E32" i="141" s="1"/>
  <c r="D76" i="141"/>
  <c r="D54" i="141" s="1"/>
  <c r="D32" i="141" s="1"/>
  <c r="AF49" i="148"/>
  <c r="AF51" i="148" s="1"/>
  <c r="AF79" i="148" s="1"/>
  <c r="AF80" i="148" s="1"/>
  <c r="AF82" i="148" s="1"/>
  <c r="AV39" i="6"/>
  <c r="AV56" i="6" s="1"/>
  <c r="AJ39" i="148"/>
  <c r="AZ14" i="6"/>
  <c r="AZ29" i="6" s="1"/>
  <c r="K73" i="141"/>
  <c r="K51" i="141" s="1"/>
  <c r="K29" i="141" s="1"/>
  <c r="E13" i="129"/>
  <c r="L72" i="141"/>
  <c r="L50" i="141" s="1"/>
  <c r="L28" i="141" s="1"/>
  <c r="L73" i="141"/>
  <c r="L51" i="141" s="1"/>
  <c r="L29" i="141" s="1"/>
  <c r="R86" i="43"/>
  <c r="R63" i="24"/>
  <c r="P83" i="24" s="1"/>
  <c r="D129" i="137"/>
  <c r="X39" i="6"/>
  <c r="X56" i="6" s="1"/>
  <c r="X61" i="6" s="1"/>
  <c r="H49" i="148"/>
  <c r="H51" i="148" s="1"/>
  <c r="H79" i="148" s="1"/>
  <c r="H80" i="148" s="1"/>
  <c r="H82" i="148" s="1"/>
  <c r="Z14" i="6"/>
  <c r="J39" i="148"/>
  <c r="D64" i="129"/>
  <c r="AP61" i="6"/>
  <c r="P56" i="35"/>
  <c r="BA31" i="51"/>
  <c r="BA32" i="51"/>
  <c r="H23" i="129"/>
  <c r="T130" i="66"/>
  <c r="D29" i="136" s="1"/>
  <c r="E29" i="136" s="1"/>
  <c r="U130" i="66"/>
  <c r="D18" i="167"/>
  <c r="D44" i="66"/>
  <c r="J71" i="129"/>
  <c r="H67" i="129"/>
  <c r="H71" i="129" s="1"/>
  <c r="C119" i="141"/>
  <c r="C152" i="141"/>
  <c r="C151" i="141"/>
  <c r="C150" i="141"/>
  <c r="R79" i="43"/>
  <c r="U79" i="43" s="1"/>
  <c r="D44" i="137" s="1"/>
  <c r="R78" i="43"/>
  <c r="R77" i="43"/>
  <c r="K119" i="141"/>
  <c r="K152" i="141"/>
  <c r="K150" i="141"/>
  <c r="K151" i="141"/>
  <c r="C78" i="26"/>
  <c r="C85" i="26" s="1"/>
  <c r="C100" i="26" s="1"/>
  <c r="B163" i="141"/>
  <c r="B192" i="141"/>
  <c r="B193" i="141"/>
  <c r="K120" i="141"/>
  <c r="K153" i="141"/>
  <c r="E163" i="141"/>
  <c r="E193" i="141"/>
  <c r="E192" i="141"/>
  <c r="R73" i="43"/>
  <c r="U73" i="43" s="1"/>
  <c r="D38" i="137" s="1"/>
  <c r="R72" i="43"/>
  <c r="R71" i="43"/>
  <c r="G119" i="141"/>
  <c r="G152" i="141"/>
  <c r="G150" i="141"/>
  <c r="G151" i="141"/>
  <c r="G120" i="141"/>
  <c r="G153" i="141"/>
  <c r="J141" i="141"/>
  <c r="J173" i="141"/>
  <c r="J172" i="141"/>
  <c r="J171" i="141"/>
  <c r="I59" i="66"/>
  <c r="H26" i="129"/>
  <c r="H42" i="129" s="1"/>
  <c r="Q23" i="135"/>
  <c r="R23" i="135" s="1"/>
  <c r="I120" i="141"/>
  <c r="I153" i="141"/>
  <c r="R37" i="60"/>
  <c r="D57" i="137" s="1"/>
  <c r="R49" i="34"/>
  <c r="D16" i="137" s="1"/>
  <c r="I151" i="141"/>
  <c r="I119" i="141"/>
  <c r="I152" i="141"/>
  <c r="I150" i="141"/>
  <c r="R70" i="43"/>
  <c r="J120" i="141"/>
  <c r="J153" i="141"/>
  <c r="R71" i="15"/>
  <c r="J131" i="129"/>
  <c r="H129" i="129"/>
  <c r="H131" i="129" s="1"/>
  <c r="D46" i="66"/>
  <c r="H122" i="129"/>
  <c r="AN61" i="6"/>
  <c r="F141" i="141"/>
  <c r="F173" i="141"/>
  <c r="F172" i="141"/>
  <c r="F171" i="141"/>
  <c r="H153" i="141"/>
  <c r="H120" i="141"/>
  <c r="C91" i="66"/>
  <c r="X278" i="66"/>
  <c r="D96" i="66"/>
  <c r="L129" i="129"/>
  <c r="D78" i="66"/>
  <c r="D50" i="129"/>
  <c r="R78" i="66"/>
  <c r="L50" i="129" s="1"/>
  <c r="R39" i="66"/>
  <c r="L8" i="129" s="1"/>
  <c r="C108" i="66"/>
  <c r="AD64" i="51"/>
  <c r="Y80" i="148"/>
  <c r="Y82" i="148" s="1"/>
  <c r="AP64" i="51"/>
  <c r="AG64" i="51"/>
  <c r="I80" i="148"/>
  <c r="I82" i="148" s="1"/>
  <c r="W64" i="51"/>
  <c r="D88" i="129"/>
  <c r="D67" i="129"/>
  <c r="AK64" i="51"/>
  <c r="U30" i="149"/>
  <c r="J122" i="129"/>
  <c r="I61" i="66"/>
  <c r="J23" i="129"/>
  <c r="D40" i="143"/>
  <c r="C30" i="143"/>
  <c r="C39" i="143" s="1"/>
  <c r="C41" i="143" s="1"/>
  <c r="B16" i="167" s="1"/>
  <c r="C53" i="143"/>
  <c r="C54" i="143" s="1"/>
  <c r="C48" i="143"/>
  <c r="F96" i="66"/>
  <c r="AW61" i="6"/>
  <c r="AM61" i="6"/>
  <c r="AU61" i="6"/>
  <c r="S26" i="93"/>
  <c r="S30" i="93" s="1"/>
  <c r="P49" i="93"/>
  <c r="P51" i="93" s="1"/>
  <c r="C78" i="66"/>
  <c r="Q58" i="35"/>
  <c r="R58" i="35" s="1"/>
  <c r="Q55" i="44"/>
  <c r="R55" i="44" s="1"/>
  <c r="Q69" i="38"/>
  <c r="R69" i="38" s="1"/>
  <c r="U56" i="15"/>
  <c r="AW64" i="51"/>
  <c r="I73" i="66"/>
  <c r="I108" i="66"/>
  <c r="Q51" i="60"/>
  <c r="R51" i="60" s="1"/>
  <c r="AQ61" i="6"/>
  <c r="AT61" i="6"/>
  <c r="AB64" i="51"/>
  <c r="X64" i="51"/>
  <c r="AO61" i="6"/>
  <c r="AQ64" i="51"/>
  <c r="AJ64" i="51"/>
  <c r="AO64" i="51"/>
  <c r="Q59" i="8"/>
  <c r="AA64" i="51"/>
  <c r="AX64" i="51"/>
  <c r="AY64" i="51"/>
  <c r="AS64" i="51"/>
  <c r="AF64" i="51"/>
  <c r="I64" i="66"/>
  <c r="C64" i="66"/>
  <c r="D38" i="129"/>
  <c r="D64" i="66"/>
  <c r="D26" i="129"/>
  <c r="U14" i="50"/>
  <c r="R61" i="15"/>
  <c r="Q60" i="8"/>
  <c r="D61" i="15"/>
  <c r="D73" i="66" s="1"/>
  <c r="F120" i="66"/>
  <c r="D7" i="136"/>
  <c r="E7" i="136" s="1"/>
  <c r="AL64" i="51"/>
  <c r="E120" i="129"/>
  <c r="E117" i="66"/>
  <c r="E120" i="66" s="1"/>
  <c r="D48" i="129"/>
  <c r="D76" i="66"/>
  <c r="I43" i="66"/>
  <c r="C39" i="66"/>
  <c r="D36" i="129"/>
  <c r="D62" i="66"/>
  <c r="D19" i="129"/>
  <c r="I39" i="66"/>
  <c r="I117" i="66"/>
  <c r="D129" i="129"/>
  <c r="D131" i="129" s="1"/>
  <c r="D16" i="129"/>
  <c r="D48" i="66"/>
  <c r="C85" i="66"/>
  <c r="C92" i="66"/>
  <c r="D120" i="129"/>
  <c r="D122" i="129" s="1"/>
  <c r="D117" i="66"/>
  <c r="C117" i="66"/>
  <c r="D12" i="129"/>
  <c r="D43" i="66"/>
  <c r="D18" i="129"/>
  <c r="D50" i="66"/>
  <c r="I91" i="66"/>
  <c r="I76" i="66"/>
  <c r="C75" i="66"/>
  <c r="E68" i="129"/>
  <c r="E71" i="129" s="1"/>
  <c r="E92" i="66"/>
  <c r="E96" i="66" s="1"/>
  <c r="I50" i="66"/>
  <c r="I48" i="66"/>
  <c r="I85" i="66"/>
  <c r="C123" i="66"/>
  <c r="E143" i="129"/>
  <c r="E147" i="129" s="1"/>
  <c r="E123" i="66"/>
  <c r="E74" i="129"/>
  <c r="E99" i="66"/>
  <c r="F56" i="66"/>
  <c r="E19" i="129"/>
  <c r="E51" i="66"/>
  <c r="AC61" i="6"/>
  <c r="AW225" i="182" s="1"/>
  <c r="AH61" i="6"/>
  <c r="D114" i="66"/>
  <c r="I114" i="66"/>
  <c r="C114" i="66"/>
  <c r="F70" i="66"/>
  <c r="D54" i="129"/>
  <c r="D84" i="66"/>
  <c r="E54" i="129"/>
  <c r="E84" i="66"/>
  <c r="I61" i="15"/>
  <c r="H45" i="129" s="1"/>
  <c r="H51" i="129" s="1"/>
  <c r="E61" i="15"/>
  <c r="E45" i="129" s="1"/>
  <c r="E51" i="129" s="1"/>
  <c r="C61" i="15"/>
  <c r="C59" i="66"/>
  <c r="E28" i="129"/>
  <c r="E61" i="66"/>
  <c r="E70" i="66" s="1"/>
  <c r="AT64" i="51"/>
  <c r="AM64" i="51"/>
  <c r="AZ64" i="51"/>
  <c r="AX61" i="6"/>
  <c r="W61" i="6"/>
  <c r="AE61" i="6"/>
  <c r="AY225" i="182" s="1"/>
  <c r="U23" i="54"/>
  <c r="N87" i="129" s="1"/>
  <c r="O87" i="129" s="1"/>
  <c r="G84" i="26"/>
  <c r="H84" i="26"/>
  <c r="M84" i="26" s="1"/>
  <c r="Z280" i="66"/>
  <c r="AS61" i="6"/>
  <c r="AH64" i="51"/>
  <c r="AN64" i="51"/>
  <c r="AF61" i="6"/>
  <c r="AZ225" i="182" s="1"/>
  <c r="AJ61" i="6"/>
  <c r="U22" i="7"/>
  <c r="S12" i="56"/>
  <c r="P34" i="56"/>
  <c r="P45" i="56" s="1"/>
  <c r="S13" i="23"/>
  <c r="S21" i="23" s="1"/>
  <c r="S22" i="23" s="1"/>
  <c r="T22" i="23" s="1"/>
  <c r="P27" i="23"/>
  <c r="P35" i="23" s="1"/>
  <c r="F61" i="15"/>
  <c r="F73" i="66" s="1"/>
  <c r="F80" i="66" s="1"/>
  <c r="S20" i="18"/>
  <c r="S21" i="18" s="1"/>
  <c r="T21" i="18" s="1"/>
  <c r="Q31" i="18"/>
  <c r="R31" i="18" s="1"/>
  <c r="R99" i="15"/>
  <c r="P36" i="22"/>
  <c r="P50" i="22" s="1"/>
  <c r="Z64" i="51"/>
  <c r="U29" i="5"/>
  <c r="M129" i="129" s="1"/>
  <c r="AA61" i="6"/>
  <c r="AD61" i="6"/>
  <c r="AX225" i="182" s="1"/>
  <c r="AI61" i="6"/>
  <c r="V30" i="66"/>
  <c r="V277" i="66" s="1"/>
  <c r="V280" i="66" s="1"/>
  <c r="AR64" i="51"/>
  <c r="G19" i="66"/>
  <c r="I14" i="2"/>
  <c r="G24" i="2"/>
  <c r="G27" i="2" s="1"/>
  <c r="G29" i="2" l="1"/>
  <c r="E69" i="143"/>
  <c r="K187" i="182"/>
  <c r="N187" i="182"/>
  <c r="T187" i="182"/>
  <c r="W187" i="182"/>
  <c r="K200" i="182"/>
  <c r="J210" i="182"/>
  <c r="N200" i="182"/>
  <c r="J265" i="182"/>
  <c r="C272" i="182"/>
  <c r="C270" i="182"/>
  <c r="C271" i="182"/>
  <c r="C269" i="182"/>
  <c r="H210" i="182"/>
  <c r="G272" i="182"/>
  <c r="G271" i="182"/>
  <c r="G270" i="182"/>
  <c r="D272" i="182"/>
  <c r="D270" i="182"/>
  <c r="D271" i="182"/>
  <c r="D273" i="182" s="1"/>
  <c r="T16" i="182"/>
  <c r="W16" i="182"/>
  <c r="K16" i="182"/>
  <c r="N16" i="182"/>
  <c r="H16" i="182"/>
  <c r="I88" i="66"/>
  <c r="C56" i="66"/>
  <c r="AM285" i="182"/>
  <c r="AM288" i="182"/>
  <c r="AM287" i="182"/>
  <c r="AM289" i="182"/>
  <c r="AM286" i="182"/>
  <c r="AM232" i="182"/>
  <c r="AN232" i="182" s="1"/>
  <c r="T148" i="182"/>
  <c r="W148" i="182"/>
  <c r="AM193" i="182"/>
  <c r="AN193" i="182" s="1"/>
  <c r="AM252" i="182"/>
  <c r="K72" i="182"/>
  <c r="N72" i="182"/>
  <c r="H72" i="182"/>
  <c r="G248" i="182"/>
  <c r="G252" i="182" s="1"/>
  <c r="AM255" i="182"/>
  <c r="AM253" i="182"/>
  <c r="G193" i="182"/>
  <c r="G234" i="182" s="1"/>
  <c r="K153" i="182"/>
  <c r="J286" i="182"/>
  <c r="J289" i="182"/>
  <c r="J287" i="182"/>
  <c r="J288" i="182"/>
  <c r="D285" i="182"/>
  <c r="D288" i="182"/>
  <c r="D289" i="182"/>
  <c r="D287" i="182"/>
  <c r="K232" i="182"/>
  <c r="N232" i="182"/>
  <c r="D286" i="182"/>
  <c r="T232" i="182"/>
  <c r="W232" i="182"/>
  <c r="C286" i="182"/>
  <c r="C288" i="182"/>
  <c r="C287" i="182"/>
  <c r="C289" i="182"/>
  <c r="H232" i="182"/>
  <c r="G287" i="182"/>
  <c r="G288" i="182"/>
  <c r="G289" i="182"/>
  <c r="S287" i="182"/>
  <c r="S289" i="182"/>
  <c r="S288" i="182"/>
  <c r="S286" i="182"/>
  <c r="AW127" i="182"/>
  <c r="AV128" i="182"/>
  <c r="AR128" i="182"/>
  <c r="AS128" i="182"/>
  <c r="AT128" i="182"/>
  <c r="J193" i="182"/>
  <c r="H123" i="182"/>
  <c r="T123" i="182"/>
  <c r="W123" i="182"/>
  <c r="S248" i="182"/>
  <c r="AM254" i="182"/>
  <c r="E123" i="182"/>
  <c r="AV131" i="182"/>
  <c r="AR131" i="182"/>
  <c r="AQ133" i="182"/>
  <c r="AT131" i="182"/>
  <c r="AS131" i="182"/>
  <c r="R262" i="66"/>
  <c r="S262" i="66" s="1"/>
  <c r="S31" i="93"/>
  <c r="T31" i="93" s="1"/>
  <c r="R15" i="66"/>
  <c r="AR190" i="182"/>
  <c r="AT190" i="182"/>
  <c r="AV190" i="182" s="1"/>
  <c r="AS190" i="182"/>
  <c r="AQ191" i="182"/>
  <c r="AS157" i="182"/>
  <c r="AT157" i="182"/>
  <c r="AR157" i="182"/>
  <c r="D50" i="182"/>
  <c r="E49" i="182"/>
  <c r="H49" i="182"/>
  <c r="D244" i="182"/>
  <c r="D248" i="182" s="1"/>
  <c r="D251" i="182" s="1"/>
  <c r="AW39" i="182"/>
  <c r="AV40" i="182"/>
  <c r="AT40" i="182"/>
  <c r="AR40" i="182"/>
  <c r="AS40" i="182"/>
  <c r="K143" i="182"/>
  <c r="N143" i="182"/>
  <c r="T35" i="182"/>
  <c r="W35" i="182"/>
  <c r="S234" i="182"/>
  <c r="T193" i="182"/>
  <c r="W193" i="182"/>
  <c r="J253" i="182"/>
  <c r="J255" i="182"/>
  <c r="J254" i="182"/>
  <c r="C255" i="182"/>
  <c r="C254" i="182"/>
  <c r="C253" i="182"/>
  <c r="C252" i="182"/>
  <c r="G254" i="182"/>
  <c r="J252" i="182"/>
  <c r="AV280" i="182"/>
  <c r="AV226" i="182"/>
  <c r="AW226" i="182"/>
  <c r="AW280" i="182"/>
  <c r="AZ226" i="182"/>
  <c r="AZ280" i="182"/>
  <c r="AY226" i="182"/>
  <c r="AY280" i="182"/>
  <c r="AX226" i="182"/>
  <c r="AX280" i="182"/>
  <c r="AW121" i="182"/>
  <c r="AV244" i="182"/>
  <c r="E56" i="66"/>
  <c r="Q51" i="30"/>
  <c r="R51" i="30"/>
  <c r="H163" i="141"/>
  <c r="H192" i="141"/>
  <c r="H193" i="141"/>
  <c r="R50" i="8"/>
  <c r="R43" i="44"/>
  <c r="D65" i="137" s="1"/>
  <c r="R62" i="24"/>
  <c r="S9" i="24" s="1"/>
  <c r="R44" i="30"/>
  <c r="D8" i="137" s="1"/>
  <c r="R76" i="43"/>
  <c r="U76" i="43" s="1"/>
  <c r="D41" i="137" s="1"/>
  <c r="F27" i="138"/>
  <c r="F17" i="138" s="1"/>
  <c r="R85" i="43"/>
  <c r="R80" i="43"/>
  <c r="U80" i="43" s="1"/>
  <c r="D45" i="137" s="1"/>
  <c r="D20" i="137"/>
  <c r="AZ61" i="6"/>
  <c r="T20" i="18"/>
  <c r="S75" i="66" s="1"/>
  <c r="M47" i="129" s="1"/>
  <c r="C120" i="143"/>
  <c r="I96" i="66"/>
  <c r="S76" i="66"/>
  <c r="M48" i="129" s="1"/>
  <c r="N48" i="129" s="1"/>
  <c r="O48" i="129" s="1"/>
  <c r="T21" i="23"/>
  <c r="D71" i="129"/>
  <c r="Q83" i="24"/>
  <c r="R83" i="24" s="1"/>
  <c r="Q51" i="93"/>
  <c r="R51" i="93" s="1"/>
  <c r="E42" i="129"/>
  <c r="U147" i="66"/>
  <c r="D16" i="167" s="1"/>
  <c r="R271" i="66"/>
  <c r="Q271" i="66"/>
  <c r="Q273" i="66" s="1"/>
  <c r="Q278" i="66" s="1"/>
  <c r="C71" i="179"/>
  <c r="O273" i="66"/>
  <c r="O278" i="66" s="1"/>
  <c r="O280" i="66" s="1"/>
  <c r="R84" i="26"/>
  <c r="L84" i="26"/>
  <c r="D9" i="137"/>
  <c r="D68" i="137"/>
  <c r="R40" i="60"/>
  <c r="D60" i="137" s="1"/>
  <c r="U68" i="43"/>
  <c r="R62" i="11"/>
  <c r="D104" i="137" s="1"/>
  <c r="R61" i="11"/>
  <c r="D103" i="137" s="1"/>
  <c r="R84" i="43"/>
  <c r="Z29" i="6"/>
  <c r="Z56" i="6"/>
  <c r="BA29" i="6"/>
  <c r="E23" i="129"/>
  <c r="T30" i="93"/>
  <c r="N16" i="129"/>
  <c r="O16" i="129" s="1"/>
  <c r="T48" i="66"/>
  <c r="N70" i="129"/>
  <c r="O70" i="129" s="1"/>
  <c r="T94" i="66"/>
  <c r="C91" i="143"/>
  <c r="C88" i="143"/>
  <c r="C89" i="143" s="1"/>
  <c r="N50" i="129"/>
  <c r="O50" i="129" s="1"/>
  <c r="T78" i="66"/>
  <c r="S26" i="56"/>
  <c r="S27" i="56" s="1"/>
  <c r="T27" i="56" s="1"/>
  <c r="T26" i="56"/>
  <c r="BA30" i="6"/>
  <c r="AV61" i="6"/>
  <c r="M131" i="129"/>
  <c r="N131" i="129" s="1"/>
  <c r="O131" i="129" s="1"/>
  <c r="N129" i="129"/>
  <c r="O129" i="129" s="1"/>
  <c r="R76" i="66"/>
  <c r="L48" i="129" s="1"/>
  <c r="R75" i="66"/>
  <c r="L47" i="129" s="1"/>
  <c r="D48" i="137"/>
  <c r="B9" i="167"/>
  <c r="D9" i="167" s="1"/>
  <c r="S9" i="167" s="1"/>
  <c r="B30" i="160"/>
  <c r="J133" i="129"/>
  <c r="C10" i="107"/>
  <c r="C28" i="107" s="1"/>
  <c r="D28" i="107" s="1"/>
  <c r="R58" i="38"/>
  <c r="D101" i="137"/>
  <c r="J51" i="148"/>
  <c r="J79" i="148" s="1"/>
  <c r="J80" i="148" s="1"/>
  <c r="J82" i="148" s="1"/>
  <c r="R36" i="60"/>
  <c r="D56" i="137" s="1"/>
  <c r="R56" i="11"/>
  <c r="D99" i="137" s="1"/>
  <c r="D118" i="137"/>
  <c r="D51" i="137"/>
  <c r="S10" i="43"/>
  <c r="R39" i="60"/>
  <c r="D59" i="137" s="1"/>
  <c r="R44" i="35"/>
  <c r="D21" i="137" s="1"/>
  <c r="AJ51" i="148"/>
  <c r="AJ79" i="148" s="1"/>
  <c r="AJ80" i="148" s="1"/>
  <c r="AJ82" i="148" s="1"/>
  <c r="D163" i="141"/>
  <c r="D192" i="141"/>
  <c r="D193" i="141"/>
  <c r="BA33" i="51"/>
  <c r="T116" i="66"/>
  <c r="L131" i="129"/>
  <c r="C31" i="143"/>
  <c r="U71" i="43"/>
  <c r="D36" i="137" s="1"/>
  <c r="U72" i="43"/>
  <c r="D37" i="137" s="1"/>
  <c r="U70" i="43"/>
  <c r="U81" i="43"/>
  <c r="D46" i="137" s="1"/>
  <c r="U77" i="43"/>
  <c r="D42" i="137" s="1"/>
  <c r="U82" i="43"/>
  <c r="D47" i="137" s="1"/>
  <c r="U78" i="43"/>
  <c r="D43" i="137" s="1"/>
  <c r="D15" i="66"/>
  <c r="D30" i="66" s="1"/>
  <c r="C96" i="66"/>
  <c r="H90" i="129"/>
  <c r="F119" i="141"/>
  <c r="F152" i="141"/>
  <c r="F151" i="141"/>
  <c r="F150" i="141"/>
  <c r="B141" i="141"/>
  <c r="B173" i="141"/>
  <c r="B172" i="141"/>
  <c r="B171" i="141"/>
  <c r="K129" i="141"/>
  <c r="K130" i="141"/>
  <c r="K128" i="141"/>
  <c r="K97" i="141"/>
  <c r="K75" i="141" s="1"/>
  <c r="K53" i="141" s="1"/>
  <c r="K31" i="141" s="1"/>
  <c r="L119" i="141"/>
  <c r="G98" i="141"/>
  <c r="G76" i="141" s="1"/>
  <c r="G121" i="141"/>
  <c r="D69" i="137"/>
  <c r="I98" i="141"/>
  <c r="I76" i="141" s="1"/>
  <c r="I121" i="141"/>
  <c r="H98" i="141"/>
  <c r="H76" i="141" s="1"/>
  <c r="H121" i="141"/>
  <c r="E141" i="141"/>
  <c r="E173" i="141"/>
  <c r="E172" i="141"/>
  <c r="E171" i="141"/>
  <c r="C129" i="141"/>
  <c r="C128" i="141"/>
  <c r="C97" i="141"/>
  <c r="C75" i="141" s="1"/>
  <c r="C53" i="141" s="1"/>
  <c r="C31" i="141" s="1"/>
  <c r="C130" i="141"/>
  <c r="I130" i="141"/>
  <c r="I129" i="141"/>
  <c r="I128" i="141"/>
  <c r="I97" i="141"/>
  <c r="I75" i="141" s="1"/>
  <c r="I53" i="141" s="1"/>
  <c r="I31" i="141" s="1"/>
  <c r="J98" i="141"/>
  <c r="J76" i="141" s="1"/>
  <c r="J121" i="141"/>
  <c r="G97" i="141"/>
  <c r="G75" i="141" s="1"/>
  <c r="G53" i="141" s="1"/>
  <c r="G31" i="141" s="1"/>
  <c r="G128" i="141"/>
  <c r="G129" i="141"/>
  <c r="G130" i="141"/>
  <c r="K98" i="141"/>
  <c r="K76" i="141" s="1"/>
  <c r="L120" i="141"/>
  <c r="K121" i="141"/>
  <c r="U146" i="66"/>
  <c r="B17" i="167"/>
  <c r="J119" i="141"/>
  <c r="J151" i="141"/>
  <c r="J152" i="141"/>
  <c r="J150" i="141"/>
  <c r="H133" i="129"/>
  <c r="D45" i="129"/>
  <c r="D51" i="129" s="1"/>
  <c r="Q50" i="22"/>
  <c r="R50" i="22" s="1"/>
  <c r="D42" i="129"/>
  <c r="Q35" i="23"/>
  <c r="R35" i="23" s="1"/>
  <c r="Q45" i="56"/>
  <c r="R45" i="56" s="1"/>
  <c r="D23" i="129"/>
  <c r="U30" i="93"/>
  <c r="I80" i="66"/>
  <c r="I70" i="66"/>
  <c r="Q49" i="93"/>
  <c r="R49" i="93" s="1"/>
  <c r="Q36" i="22"/>
  <c r="R36" i="22" s="1"/>
  <c r="Q34" i="56"/>
  <c r="R34" i="56" s="1"/>
  <c r="F88" i="66"/>
  <c r="F110" i="66" s="1"/>
  <c r="F136" i="66" s="1"/>
  <c r="Q56" i="35"/>
  <c r="R56" i="35" s="1"/>
  <c r="Q27" i="23"/>
  <c r="R27" i="23" s="1"/>
  <c r="D78" i="26"/>
  <c r="D85" i="26" s="1"/>
  <c r="D100" i="26" s="1"/>
  <c r="E15" i="66"/>
  <c r="E30" i="66" s="1"/>
  <c r="I15" i="66"/>
  <c r="D133" i="129"/>
  <c r="D120" i="66"/>
  <c r="C70" i="66"/>
  <c r="C120" i="66"/>
  <c r="D70" i="66"/>
  <c r="D80" i="66"/>
  <c r="F78" i="26"/>
  <c r="D56" i="66"/>
  <c r="I56" i="66"/>
  <c r="I120" i="66"/>
  <c r="U148" i="66"/>
  <c r="C113" i="143"/>
  <c r="E73" i="66"/>
  <c r="E80" i="66" s="1"/>
  <c r="C73" i="66"/>
  <c r="C80" i="66" s="1"/>
  <c r="U75" i="43"/>
  <c r="D40" i="137" s="1"/>
  <c r="U21" i="23"/>
  <c r="U20" i="18"/>
  <c r="L15" i="66"/>
  <c r="C112" i="143"/>
  <c r="I24" i="2"/>
  <c r="I27" i="2" s="1"/>
  <c r="I29" i="2" s="1"/>
  <c r="J234" i="182" l="1"/>
  <c r="G273" i="182"/>
  <c r="C273" i="182"/>
  <c r="G290" i="182"/>
  <c r="S290" i="182"/>
  <c r="J290" i="182"/>
  <c r="C290" i="182"/>
  <c r="D290" i="182"/>
  <c r="J272" i="182"/>
  <c r="J270" i="182"/>
  <c r="J271" i="182"/>
  <c r="J268" i="182"/>
  <c r="J269" i="182"/>
  <c r="K210" i="182"/>
  <c r="N210" i="182"/>
  <c r="AM290" i="182"/>
  <c r="AM234" i="182"/>
  <c r="AN234" i="182" s="1"/>
  <c r="G253" i="182"/>
  <c r="G255" i="182"/>
  <c r="G251" i="182"/>
  <c r="AM256" i="182"/>
  <c r="K193" i="182"/>
  <c r="AX127" i="182"/>
  <c r="AW128" i="182"/>
  <c r="S251" i="182"/>
  <c r="S252" i="182"/>
  <c r="S253" i="182"/>
  <c r="S255" i="182"/>
  <c r="S254" i="182"/>
  <c r="D254" i="182"/>
  <c r="AT133" i="182"/>
  <c r="AS133" i="182"/>
  <c r="AR133" i="182"/>
  <c r="AW131" i="182"/>
  <c r="AV133" i="182"/>
  <c r="AT191" i="182"/>
  <c r="AS191" i="182"/>
  <c r="AR191" i="182"/>
  <c r="AW190" i="182"/>
  <c r="AV191" i="182"/>
  <c r="D252" i="182"/>
  <c r="D253" i="182"/>
  <c r="D255" i="182"/>
  <c r="E50" i="182"/>
  <c r="H50" i="182"/>
  <c r="D193" i="182"/>
  <c r="AX39" i="182"/>
  <c r="AW40" i="182"/>
  <c r="C256" i="182"/>
  <c r="J256" i="182"/>
  <c r="T234" i="182"/>
  <c r="W234" i="182"/>
  <c r="K234" i="182"/>
  <c r="AX121" i="182"/>
  <c r="AW244" i="182"/>
  <c r="S8" i="30"/>
  <c r="P50" i="30" s="1"/>
  <c r="G40" i="141"/>
  <c r="G42" i="141"/>
  <c r="G41" i="141"/>
  <c r="C40" i="141"/>
  <c r="C41" i="141"/>
  <c r="C42" i="141"/>
  <c r="K42" i="141"/>
  <c r="K41" i="141"/>
  <c r="K40" i="141"/>
  <c r="H141" i="141"/>
  <c r="H173" i="141"/>
  <c r="H172" i="141"/>
  <c r="H171" i="141"/>
  <c r="D117" i="137"/>
  <c r="I41" i="141"/>
  <c r="I40" i="141"/>
  <c r="I42" i="141"/>
  <c r="U85" i="43"/>
  <c r="D49" i="137" s="1"/>
  <c r="G31" i="2"/>
  <c r="E89" i="143"/>
  <c r="U271" i="66"/>
  <c r="Z61" i="6"/>
  <c r="T262" i="66"/>
  <c r="S271" i="66"/>
  <c r="D25" i="137"/>
  <c r="N74" i="129"/>
  <c r="O74" i="129" s="1"/>
  <c r="C57" i="179"/>
  <c r="D57" i="179" s="1"/>
  <c r="U26" i="56"/>
  <c r="D33" i="137"/>
  <c r="S10" i="11"/>
  <c r="P77" i="11" s="1"/>
  <c r="Q77" i="11" s="1"/>
  <c r="R77" i="11" s="1"/>
  <c r="K77" i="141"/>
  <c r="K54" i="141"/>
  <c r="K32" i="141" s="1"/>
  <c r="G77" i="141"/>
  <c r="G54" i="141"/>
  <c r="G32" i="141" s="1"/>
  <c r="H77" i="141"/>
  <c r="H54" i="141"/>
  <c r="H32" i="141" s="1"/>
  <c r="H33" i="141" s="1"/>
  <c r="J77" i="141"/>
  <c r="J54" i="141"/>
  <c r="J32" i="141" s="1"/>
  <c r="I77" i="141"/>
  <c r="I54" i="141"/>
  <c r="I32" i="141" s="1"/>
  <c r="I33" i="141" s="1"/>
  <c r="D10" i="107"/>
  <c r="P93" i="43"/>
  <c r="Q93" i="43" s="1"/>
  <c r="R93" i="43" s="1"/>
  <c r="N47" i="129"/>
  <c r="O47" i="129" s="1"/>
  <c r="T75" i="66"/>
  <c r="D92" i="137"/>
  <c r="S8" i="60"/>
  <c r="T19" i="60" s="1"/>
  <c r="D35" i="137"/>
  <c r="U84" i="43"/>
  <c r="D141" i="141"/>
  <c r="D173" i="141"/>
  <c r="D172" i="141"/>
  <c r="D171" i="141"/>
  <c r="I85" i="141"/>
  <c r="I84" i="141"/>
  <c r="I86" i="141"/>
  <c r="S16" i="24"/>
  <c r="AQ197" i="182" s="1"/>
  <c r="P82" i="24"/>
  <c r="G84" i="141"/>
  <c r="G86" i="141"/>
  <c r="G85" i="141"/>
  <c r="C85" i="141"/>
  <c r="C84" i="141"/>
  <c r="C86" i="141"/>
  <c r="K86" i="141"/>
  <c r="K85" i="141"/>
  <c r="K84" i="141"/>
  <c r="S10" i="49"/>
  <c r="P47" i="49" s="1"/>
  <c r="Q47" i="49" s="1"/>
  <c r="R47" i="49" s="1"/>
  <c r="D114" i="137"/>
  <c r="D17" i="167"/>
  <c r="G107" i="141"/>
  <c r="G108" i="141"/>
  <c r="G106" i="141"/>
  <c r="E151" i="141"/>
  <c r="E119" i="141"/>
  <c r="E152" i="141"/>
  <c r="E150" i="141"/>
  <c r="G99" i="141"/>
  <c r="J99" i="141"/>
  <c r="C107" i="141"/>
  <c r="C106" i="141"/>
  <c r="C108" i="141"/>
  <c r="L121" i="141"/>
  <c r="L98" i="141"/>
  <c r="L76" i="141" s="1"/>
  <c r="I107" i="141"/>
  <c r="I108" i="141"/>
  <c r="I106" i="141"/>
  <c r="L129" i="141"/>
  <c r="L130" i="141"/>
  <c r="L97" i="141"/>
  <c r="L75" i="141" s="1"/>
  <c r="L53" i="141" s="1"/>
  <c r="L31" i="141" s="1"/>
  <c r="L128" i="141"/>
  <c r="B151" i="141"/>
  <c r="B152" i="141"/>
  <c r="B150" i="141"/>
  <c r="K99" i="141"/>
  <c r="K107" i="141"/>
  <c r="K108" i="141"/>
  <c r="K106" i="141"/>
  <c r="H99" i="141"/>
  <c r="J129" i="141"/>
  <c r="J128" i="141"/>
  <c r="J130" i="141"/>
  <c r="J97" i="141"/>
  <c r="J75" i="141" s="1"/>
  <c r="J53" i="141" s="1"/>
  <c r="J31" i="141" s="1"/>
  <c r="I99" i="141"/>
  <c r="F97" i="141"/>
  <c r="F75" i="141" s="1"/>
  <c r="F53" i="141" s="1"/>
  <c r="F31" i="141" s="1"/>
  <c r="F128" i="141"/>
  <c r="F129" i="141"/>
  <c r="F130" i="141"/>
  <c r="R11" i="26"/>
  <c r="R13" i="26" s="1"/>
  <c r="B60" i="160"/>
  <c r="D88" i="66"/>
  <c r="D110" i="66" s="1"/>
  <c r="D136" i="66" s="1"/>
  <c r="C88" i="66"/>
  <c r="C110" i="66" s="1"/>
  <c r="C136" i="66" s="1"/>
  <c r="E88" i="66"/>
  <c r="E110" i="66" s="1"/>
  <c r="E136" i="66" s="1"/>
  <c r="K16" i="26"/>
  <c r="K78" i="26"/>
  <c r="I110" i="66"/>
  <c r="D26" i="136"/>
  <c r="E26" i="136" s="1"/>
  <c r="C114" i="143"/>
  <c r="C119" i="143" s="1"/>
  <c r="F8" i="26"/>
  <c r="I31" i="2"/>
  <c r="G256" i="182" l="1"/>
  <c r="J273" i="182"/>
  <c r="D256" i="182"/>
  <c r="AV197" i="182"/>
  <c r="AS197" i="182"/>
  <c r="AQ260" i="182"/>
  <c r="AT197" i="182"/>
  <c r="AR197" i="182"/>
  <c r="AY127" i="182"/>
  <c r="AX128" i="182"/>
  <c r="S256" i="182"/>
  <c r="AX131" i="182"/>
  <c r="AW133" i="182"/>
  <c r="AX190" i="182"/>
  <c r="AW191" i="182"/>
  <c r="H193" i="182"/>
  <c r="D234" i="182"/>
  <c r="E193" i="182"/>
  <c r="AY39" i="182"/>
  <c r="AX40" i="182"/>
  <c r="I111" i="66"/>
  <c r="J111" i="66"/>
  <c r="AY121" i="182"/>
  <c r="AX244" i="182"/>
  <c r="K17" i="26"/>
  <c r="K18" i="26" s="1"/>
  <c r="L17" i="26"/>
  <c r="L18" i="26" s="1"/>
  <c r="S19" i="30"/>
  <c r="AQ10" i="182" s="1"/>
  <c r="F41" i="141"/>
  <c r="F40" i="141"/>
  <c r="F42" i="141"/>
  <c r="S9" i="35"/>
  <c r="S16" i="35" s="1"/>
  <c r="K33" i="141"/>
  <c r="L42" i="141"/>
  <c r="L41" i="141"/>
  <c r="L40" i="141"/>
  <c r="G33" i="141"/>
  <c r="J33" i="141"/>
  <c r="S9" i="8"/>
  <c r="J42" i="141"/>
  <c r="J40" i="141"/>
  <c r="J41" i="141"/>
  <c r="H119" i="141"/>
  <c r="H152" i="141"/>
  <c r="H151" i="141"/>
  <c r="H150" i="141"/>
  <c r="T99" i="66"/>
  <c r="D23" i="136" s="1"/>
  <c r="E23" i="136" s="1"/>
  <c r="W262" i="66"/>
  <c r="W271" i="66" s="1"/>
  <c r="W273" i="66" s="1"/>
  <c r="W278" i="66" s="1"/>
  <c r="T271" i="66"/>
  <c r="Q82" i="24"/>
  <c r="S13" i="171"/>
  <c r="H55" i="141"/>
  <c r="I55" i="141"/>
  <c r="J55" i="141"/>
  <c r="G55" i="141"/>
  <c r="K55" i="141"/>
  <c r="L77" i="141"/>
  <c r="L54" i="141"/>
  <c r="L32" i="141" s="1"/>
  <c r="N120" i="129"/>
  <c r="O120" i="129" s="1"/>
  <c r="C99" i="143"/>
  <c r="C9" i="179"/>
  <c r="C72" i="179"/>
  <c r="C84" i="179" s="1"/>
  <c r="D84" i="179" s="1"/>
  <c r="T21" i="8"/>
  <c r="P46" i="60"/>
  <c r="Q46" i="60" s="1"/>
  <c r="R46" i="60" s="1"/>
  <c r="S19" i="60"/>
  <c r="B7" i="167"/>
  <c r="D50" i="137"/>
  <c r="C64" i="141"/>
  <c r="C63" i="141"/>
  <c r="C62" i="141"/>
  <c r="J84" i="141"/>
  <c r="J85" i="141"/>
  <c r="J86" i="141"/>
  <c r="I62" i="141"/>
  <c r="I63" i="141"/>
  <c r="I64" i="141"/>
  <c r="F86" i="141"/>
  <c r="F85" i="141"/>
  <c r="F84" i="141"/>
  <c r="L84" i="141"/>
  <c r="L85" i="141"/>
  <c r="L86" i="141"/>
  <c r="K64" i="141"/>
  <c r="K63" i="141"/>
  <c r="K62" i="141"/>
  <c r="G63" i="141"/>
  <c r="G62" i="141"/>
  <c r="G64" i="141"/>
  <c r="D119" i="141"/>
  <c r="D152" i="141"/>
  <c r="D150" i="141"/>
  <c r="D151" i="141"/>
  <c r="R16" i="26"/>
  <c r="B15" i="133"/>
  <c r="F107" i="141"/>
  <c r="F108" i="141"/>
  <c r="F106" i="141"/>
  <c r="L107" i="141"/>
  <c r="L106" i="141"/>
  <c r="L108" i="141"/>
  <c r="Q50" i="30"/>
  <c r="R50" i="30" s="1"/>
  <c r="P71" i="30"/>
  <c r="J107" i="141"/>
  <c r="J108" i="141"/>
  <c r="J106" i="141"/>
  <c r="E129" i="141"/>
  <c r="E97" i="141"/>
  <c r="E75" i="141" s="1"/>
  <c r="E53" i="141" s="1"/>
  <c r="E31" i="141" s="1"/>
  <c r="E128" i="141"/>
  <c r="E130" i="141"/>
  <c r="L99" i="141"/>
  <c r="S36" i="30"/>
  <c r="S37" i="30" s="1"/>
  <c r="T37" i="30" s="1"/>
  <c r="L6" i="66"/>
  <c r="I136" i="66"/>
  <c r="I273" i="66" s="1"/>
  <c r="I278" i="66" s="1"/>
  <c r="B32" i="136"/>
  <c r="C115" i="143"/>
  <c r="F9" i="26"/>
  <c r="C121" i="143"/>
  <c r="C122" i="143" s="1"/>
  <c r="H13" i="26"/>
  <c r="H16" i="26" s="1"/>
  <c r="AV10" i="182" l="1"/>
  <c r="AS10" i="182"/>
  <c r="AR10" i="182"/>
  <c r="AT10" i="182"/>
  <c r="AQ12" i="182"/>
  <c r="AW197" i="182"/>
  <c r="AV260" i="182"/>
  <c r="AZ127" i="182"/>
  <c r="AZ128" i="182" s="1"/>
  <c r="AY128" i="182"/>
  <c r="AY131" i="182"/>
  <c r="AX133" i="182"/>
  <c r="AY190" i="182"/>
  <c r="AX191" i="182"/>
  <c r="E234" i="182"/>
  <c r="H234" i="182"/>
  <c r="AZ39" i="182"/>
  <c r="AZ40" i="182" s="1"/>
  <c r="AY40" i="182"/>
  <c r="S34" i="35"/>
  <c r="S35" i="35" s="1"/>
  <c r="T35" i="35" s="1"/>
  <c r="AQ33" i="182"/>
  <c r="AZ121" i="182"/>
  <c r="AY244" i="182"/>
  <c r="S26" i="60"/>
  <c r="S27" i="60" s="1"/>
  <c r="T27" i="60" s="1"/>
  <c r="AQ86" i="182"/>
  <c r="AV86" i="182" s="1"/>
  <c r="AW86" i="182" s="1"/>
  <c r="AX86" i="182" s="1"/>
  <c r="AY86" i="182" s="1"/>
  <c r="AZ86" i="182" s="1"/>
  <c r="R17" i="26"/>
  <c r="R18" i="26" s="1"/>
  <c r="D21" i="181"/>
  <c r="R6" i="66"/>
  <c r="S16" i="26"/>
  <c r="Q71" i="30"/>
  <c r="R71" i="30"/>
  <c r="B57" i="160"/>
  <c r="E42" i="141"/>
  <c r="R80" i="12" s="1"/>
  <c r="S9" i="12" s="1"/>
  <c r="E41" i="141"/>
  <c r="E40" i="141"/>
  <c r="L33" i="141"/>
  <c r="R69" i="43" s="1"/>
  <c r="S9" i="43" s="1"/>
  <c r="D98" i="137"/>
  <c r="H130" i="141"/>
  <c r="H129" i="141"/>
  <c r="H97" i="141"/>
  <c r="H128" i="141"/>
  <c r="S14" i="171"/>
  <c r="S17" i="171" s="1"/>
  <c r="A76" i="24" s="1"/>
  <c r="F13" i="26"/>
  <c r="F16" i="26" s="1"/>
  <c r="G6" i="66" s="1"/>
  <c r="G30" i="66" s="1"/>
  <c r="G5" i="26"/>
  <c r="P31" i="171"/>
  <c r="Q31" i="171" s="1"/>
  <c r="R31" i="171" s="1"/>
  <c r="R82" i="24"/>
  <c r="P61" i="60"/>
  <c r="Q61" i="60" s="1"/>
  <c r="R61" i="60" s="1"/>
  <c r="L55" i="141"/>
  <c r="D9" i="179"/>
  <c r="D11" i="179" s="1"/>
  <c r="D14" i="179" s="1"/>
  <c r="D49" i="179" s="1"/>
  <c r="D86" i="179" s="1"/>
  <c r="C11" i="179"/>
  <c r="C14" i="179" s="1"/>
  <c r="C49" i="179" s="1"/>
  <c r="C86" i="179" s="1"/>
  <c r="T36" i="30"/>
  <c r="S40" i="66" s="1"/>
  <c r="M9" i="129" s="1"/>
  <c r="S15" i="66"/>
  <c r="F63" i="141"/>
  <c r="F64" i="141"/>
  <c r="F62" i="141"/>
  <c r="J62" i="141"/>
  <c r="J64" i="141"/>
  <c r="J63" i="141"/>
  <c r="D128" i="141"/>
  <c r="D130" i="141"/>
  <c r="D129" i="141"/>
  <c r="D97" i="141"/>
  <c r="E86" i="141"/>
  <c r="E85" i="141"/>
  <c r="E84" i="141"/>
  <c r="L62" i="141"/>
  <c r="L64" i="141"/>
  <c r="L63" i="141"/>
  <c r="R60" i="38"/>
  <c r="D91" i="137"/>
  <c r="D19" i="137"/>
  <c r="R32" i="9"/>
  <c r="R40" i="66"/>
  <c r="L9" i="129" s="1"/>
  <c r="U36" i="30"/>
  <c r="D29" i="137"/>
  <c r="S9" i="40"/>
  <c r="E107" i="141"/>
  <c r="E106" i="141"/>
  <c r="E108" i="141"/>
  <c r="D64" i="137"/>
  <c r="S9" i="44"/>
  <c r="C98" i="143"/>
  <c r="B14" i="133"/>
  <c r="B16" i="133" s="1"/>
  <c r="B3" i="160"/>
  <c r="T15" i="66"/>
  <c r="D31" i="136"/>
  <c r="E31" i="136" s="1"/>
  <c r="B28" i="160"/>
  <c r="I6" i="66"/>
  <c r="F30" i="66"/>
  <c r="AT12" i="182" l="1"/>
  <c r="AR12" i="182"/>
  <c r="AS12" i="182"/>
  <c r="AW10" i="182"/>
  <c r="AV12" i="182"/>
  <c r="AX197" i="182"/>
  <c r="AW260" i="182"/>
  <c r="AZ131" i="182"/>
  <c r="AZ133" i="182" s="1"/>
  <c r="AY133" i="182"/>
  <c r="AY191" i="182"/>
  <c r="AZ190" i="182"/>
  <c r="AZ191" i="182" s="1"/>
  <c r="R61" i="66"/>
  <c r="L28" i="129" s="1"/>
  <c r="T26" i="60"/>
  <c r="S61" i="66" s="1"/>
  <c r="M28" i="129" s="1"/>
  <c r="N28" i="129" s="1"/>
  <c r="O28" i="129" s="1"/>
  <c r="U26" i="60"/>
  <c r="T61" i="66" s="1"/>
  <c r="AV33" i="182"/>
  <c r="AS33" i="182"/>
  <c r="AT33" i="182"/>
  <c r="AR33" i="182"/>
  <c r="AQ35" i="182"/>
  <c r="S18" i="171"/>
  <c r="T18" i="171" s="1"/>
  <c r="AQ207" i="182"/>
  <c r="AZ244" i="182"/>
  <c r="AT86" i="182"/>
  <c r="AV88" i="182" s="1"/>
  <c r="AS86" i="182"/>
  <c r="AR86" i="182"/>
  <c r="AQ88" i="182"/>
  <c r="E22" i="181"/>
  <c r="E25" i="181" s="1"/>
  <c r="E26" i="181" s="1"/>
  <c r="D22" i="181"/>
  <c r="D25" i="181" s="1"/>
  <c r="D26" i="181" s="1"/>
  <c r="F85" i="26"/>
  <c r="F100" i="26" s="1"/>
  <c r="P34" i="171"/>
  <c r="Q34" i="171" s="1"/>
  <c r="R34" i="171" s="1"/>
  <c r="H75" i="141"/>
  <c r="H108" i="141"/>
  <c r="H106" i="141"/>
  <c r="H107" i="141"/>
  <c r="R71" i="11"/>
  <c r="S9" i="11"/>
  <c r="P76" i="11" s="1"/>
  <c r="P107" i="11" s="1"/>
  <c r="U17" i="171"/>
  <c r="T125" i="66" s="1"/>
  <c r="R125" i="66"/>
  <c r="L146" i="129" s="1"/>
  <c r="T17" i="171"/>
  <c r="S125" i="66" s="1"/>
  <c r="M146" i="129" s="1"/>
  <c r="N146" i="129" s="1"/>
  <c r="O146" i="129" s="1"/>
  <c r="S9" i="38"/>
  <c r="N9" i="129"/>
  <c r="O9" i="129" s="1"/>
  <c r="T40" i="66"/>
  <c r="T6" i="66"/>
  <c r="S6" i="66"/>
  <c r="P46" i="40"/>
  <c r="Q46" i="40" s="1"/>
  <c r="R46" i="40" s="1"/>
  <c r="S13" i="40"/>
  <c r="E63" i="141"/>
  <c r="E64" i="141"/>
  <c r="E62" i="141"/>
  <c r="D75" i="141"/>
  <c r="D53" i="141" s="1"/>
  <c r="D31" i="141" s="1"/>
  <c r="D107" i="141"/>
  <c r="D106" i="141"/>
  <c r="D108" i="141"/>
  <c r="D24" i="137"/>
  <c r="D95" i="137"/>
  <c r="S9" i="9"/>
  <c r="D12" i="137"/>
  <c r="S9" i="33"/>
  <c r="S12" i="33" s="1"/>
  <c r="D15" i="137"/>
  <c r="R51" i="34"/>
  <c r="S8" i="34" s="1"/>
  <c r="S20" i="44"/>
  <c r="P49" i="44"/>
  <c r="U69" i="43"/>
  <c r="U87" i="43" s="1"/>
  <c r="S14" i="43" s="1"/>
  <c r="D113" i="137"/>
  <c r="S9" i="49"/>
  <c r="P58" i="8"/>
  <c r="S21" i="8"/>
  <c r="AQ146" i="182" s="1"/>
  <c r="P55" i="35"/>
  <c r="W15" i="66"/>
  <c r="G7" i="167" s="1"/>
  <c r="D10" i="136"/>
  <c r="E10" i="136" s="1"/>
  <c r="H31" i="136"/>
  <c r="H78" i="26"/>
  <c r="AX10" i="182" l="1"/>
  <c r="AW12" i="182"/>
  <c r="AV146" i="182"/>
  <c r="AT146" i="182"/>
  <c r="AR146" i="182"/>
  <c r="AS146" i="182"/>
  <c r="AQ148" i="182"/>
  <c r="AY197" i="182"/>
  <c r="AX260" i="182"/>
  <c r="AT35" i="182"/>
  <c r="AS35" i="182"/>
  <c r="AR35" i="182"/>
  <c r="AW33" i="182"/>
  <c r="AV35" i="182"/>
  <c r="AV207" i="182"/>
  <c r="AQ264" i="182"/>
  <c r="AS207" i="182"/>
  <c r="AT207" i="182"/>
  <c r="AQ208" i="182"/>
  <c r="AR207" i="182"/>
  <c r="AW88" i="182"/>
  <c r="AR88" i="182"/>
  <c r="AT88" i="182"/>
  <c r="AS88" i="182"/>
  <c r="S16" i="11"/>
  <c r="D42" i="141"/>
  <c r="D41" i="141"/>
  <c r="D40" i="141"/>
  <c r="H53" i="141"/>
  <c r="H84" i="141"/>
  <c r="H86" i="141"/>
  <c r="H85" i="141"/>
  <c r="T16" i="17"/>
  <c r="T55" i="17" s="1"/>
  <c r="T9" i="15"/>
  <c r="D8" i="173"/>
  <c r="D64" i="141"/>
  <c r="D62" i="141"/>
  <c r="D63" i="141"/>
  <c r="D85" i="141"/>
  <c r="D84" i="141"/>
  <c r="D86" i="141"/>
  <c r="P46" i="49"/>
  <c r="S13" i="49"/>
  <c r="AQ165" i="182" s="1"/>
  <c r="U20" i="44"/>
  <c r="U35" i="44" s="1"/>
  <c r="S35" i="44"/>
  <c r="P57" i="34"/>
  <c r="S16" i="34"/>
  <c r="P38" i="9"/>
  <c r="S11" i="9"/>
  <c r="P92" i="43"/>
  <c r="Q55" i="35"/>
  <c r="R55" i="35" s="1"/>
  <c r="P77" i="35"/>
  <c r="Q77" i="35" s="1"/>
  <c r="R77" i="35" s="1"/>
  <c r="D34" i="137"/>
  <c r="P65" i="38"/>
  <c r="Q76" i="11"/>
  <c r="J107" i="11"/>
  <c r="P39" i="33"/>
  <c r="S41" i="8"/>
  <c r="S42" i="8" s="1"/>
  <c r="T42" i="8" s="1"/>
  <c r="Q58" i="8"/>
  <c r="R58" i="8" s="1"/>
  <c r="P85" i="8"/>
  <c r="P69" i="44"/>
  <c r="Q69" i="44" s="1"/>
  <c r="R69" i="44" s="1"/>
  <c r="Q49" i="44"/>
  <c r="R49" i="44" s="1"/>
  <c r="D7" i="167"/>
  <c r="S7" i="167" s="1"/>
  <c r="G12" i="167"/>
  <c r="W30" i="66"/>
  <c r="W277" i="66" s="1"/>
  <c r="W280" i="66" s="1"/>
  <c r="R52" i="26"/>
  <c r="D6" i="136"/>
  <c r="E6" i="136" s="1"/>
  <c r="U6" i="66"/>
  <c r="AV208" i="182" l="1"/>
  <c r="AY10" i="182"/>
  <c r="AX12" i="182"/>
  <c r="AT148" i="182"/>
  <c r="AS148" i="182"/>
  <c r="AR148" i="182"/>
  <c r="AW146" i="182"/>
  <c r="AV148" i="182"/>
  <c r="AZ197" i="182"/>
  <c r="AZ260" i="182" s="1"/>
  <c r="AY260" i="182"/>
  <c r="AR165" i="182"/>
  <c r="AT165" i="182"/>
  <c r="AV165" i="182" s="1"/>
  <c r="AQ167" i="182"/>
  <c r="AS165" i="182"/>
  <c r="AX33" i="182"/>
  <c r="AW35" i="182"/>
  <c r="AS208" i="182"/>
  <c r="AT208" i="182"/>
  <c r="AR208" i="182"/>
  <c r="AW207" i="182"/>
  <c r="AV264" i="182"/>
  <c r="AX88" i="182"/>
  <c r="S46" i="11"/>
  <c r="S47" i="11" s="1"/>
  <c r="T47" i="11" s="1"/>
  <c r="AQ160" i="182"/>
  <c r="AV160" i="182" s="1"/>
  <c r="AW160" i="182" s="1"/>
  <c r="AX160" i="182" s="1"/>
  <c r="AY160" i="182" s="1"/>
  <c r="AZ160" i="182" s="1"/>
  <c r="R76" i="11"/>
  <c r="Q107" i="11"/>
  <c r="H31" i="141"/>
  <c r="H63" i="141"/>
  <c r="H62" i="141"/>
  <c r="H64" i="141"/>
  <c r="T41" i="8"/>
  <c r="S84" i="66" s="1"/>
  <c r="M54" i="129" s="1"/>
  <c r="R107" i="11"/>
  <c r="T34" i="35"/>
  <c r="S46" i="66" s="1"/>
  <c r="M14" i="129" s="1"/>
  <c r="T62" i="66"/>
  <c r="T35" i="44"/>
  <c r="S62" i="66" s="1"/>
  <c r="M36" i="129" s="1"/>
  <c r="N36" i="129" s="1"/>
  <c r="O36" i="129" s="1"/>
  <c r="D122" i="137"/>
  <c r="R89" i="12"/>
  <c r="U41" i="8"/>
  <c r="Q92" i="43"/>
  <c r="R92" i="43" s="1"/>
  <c r="Q85" i="8"/>
  <c r="R85" i="8" s="1"/>
  <c r="S28" i="43"/>
  <c r="AQ80" i="182" s="1"/>
  <c r="R84" i="66"/>
  <c r="L54" i="129" s="1"/>
  <c r="P52" i="9"/>
  <c r="Q52" i="9" s="1"/>
  <c r="R52" i="9" s="1"/>
  <c r="Q38" i="9"/>
  <c r="R38" i="9" s="1"/>
  <c r="P90" i="38"/>
  <c r="Q90" i="38" s="1"/>
  <c r="R90" i="38" s="1"/>
  <c r="Q65" i="38"/>
  <c r="R65" i="38" s="1"/>
  <c r="S42" i="34"/>
  <c r="S43" i="34" s="1"/>
  <c r="T43" i="34" s="1"/>
  <c r="S29" i="33"/>
  <c r="S30" i="33" s="1"/>
  <c r="T30" i="33" s="1"/>
  <c r="S18" i="38"/>
  <c r="AQ53" i="182" s="1"/>
  <c r="P83" i="34"/>
  <c r="Q83" i="34" s="1"/>
  <c r="R83" i="34" s="1"/>
  <c r="Q57" i="34"/>
  <c r="R57" i="34" s="1"/>
  <c r="P56" i="33"/>
  <c r="Q56" i="33" s="1"/>
  <c r="R56" i="33" s="1"/>
  <c r="Q39" i="33"/>
  <c r="R39" i="33" s="1"/>
  <c r="R62" i="66"/>
  <c r="L36" i="129" s="1"/>
  <c r="G13" i="167"/>
  <c r="G21" i="167"/>
  <c r="P97" i="43"/>
  <c r="R46" i="66"/>
  <c r="L14" i="129" s="1"/>
  <c r="C5" i="107"/>
  <c r="U34" i="35"/>
  <c r="S29" i="49"/>
  <c r="S30" i="49" s="1"/>
  <c r="T30" i="49" s="1"/>
  <c r="M22" i="144"/>
  <c r="S26" i="9"/>
  <c r="S27" i="9" s="1"/>
  <c r="T27" i="9" s="1"/>
  <c r="P59" i="49"/>
  <c r="Q59" i="49" s="1"/>
  <c r="R59" i="49" s="1"/>
  <c r="Q46" i="49"/>
  <c r="R46" i="49" s="1"/>
  <c r="R58" i="26"/>
  <c r="R59" i="26" s="1"/>
  <c r="R60" i="26" s="1"/>
  <c r="B20" i="133"/>
  <c r="H52" i="26"/>
  <c r="H58" i="26" s="1"/>
  <c r="AZ10" i="182" l="1"/>
  <c r="AZ12" i="182" s="1"/>
  <c r="AY12" i="182"/>
  <c r="AX146" i="182"/>
  <c r="AW148" i="182"/>
  <c r="AR167" i="182"/>
  <c r="AT167" i="182"/>
  <c r="AS167" i="182"/>
  <c r="AW165" i="182"/>
  <c r="AV167" i="182"/>
  <c r="AV80" i="182"/>
  <c r="AR80" i="182"/>
  <c r="AT80" i="182"/>
  <c r="AS80" i="182"/>
  <c r="AQ83" i="182"/>
  <c r="AV53" i="182"/>
  <c r="AT53" i="182"/>
  <c r="AS53" i="182"/>
  <c r="AQ55" i="182"/>
  <c r="AR53" i="182"/>
  <c r="AY33" i="182"/>
  <c r="AX35" i="182"/>
  <c r="U46" i="11"/>
  <c r="T91" i="66" s="1"/>
  <c r="R91" i="66"/>
  <c r="L67" i="129" s="1"/>
  <c r="T46" i="11"/>
  <c r="S91" i="66" s="1"/>
  <c r="M67" i="129" s="1"/>
  <c r="N67" i="129" s="1"/>
  <c r="O67" i="129" s="1"/>
  <c r="AX207" i="182"/>
  <c r="AW208" i="182"/>
  <c r="AW264" i="182"/>
  <c r="AT160" i="182"/>
  <c r="AV162" i="182" s="1"/>
  <c r="AS160" i="182"/>
  <c r="AY88" i="182"/>
  <c r="AR160" i="182"/>
  <c r="AQ162" i="182"/>
  <c r="S58" i="26"/>
  <c r="T58" i="26" s="1"/>
  <c r="R8" i="66"/>
  <c r="H41" i="141"/>
  <c r="R72" i="15" s="1"/>
  <c r="H42" i="141"/>
  <c r="H40" i="141"/>
  <c r="S59" i="43"/>
  <c r="S60" i="43" s="1"/>
  <c r="T28" i="43"/>
  <c r="T59" i="43" s="1"/>
  <c r="S59" i="66" s="1"/>
  <c r="T29" i="33"/>
  <c r="S43" i="66" s="1"/>
  <c r="M12" i="129" s="1"/>
  <c r="S16" i="12"/>
  <c r="S14" i="4" s="1"/>
  <c r="N54" i="129"/>
  <c r="O54" i="129" s="1"/>
  <c r="T84" i="66"/>
  <c r="T29" i="49"/>
  <c r="S92" i="66" s="1"/>
  <c r="T42" i="34"/>
  <c r="S44" i="66" s="1"/>
  <c r="M13" i="129" s="1"/>
  <c r="T26" i="9"/>
  <c r="S85" i="66" s="1"/>
  <c r="N14" i="129"/>
  <c r="O14" i="129" s="1"/>
  <c r="T46" i="66"/>
  <c r="P95" i="12"/>
  <c r="D23" i="170"/>
  <c r="D28" i="170" s="1"/>
  <c r="D29" i="170" s="1"/>
  <c r="D10" i="173"/>
  <c r="U28" i="43"/>
  <c r="R92" i="66"/>
  <c r="U29" i="49"/>
  <c r="S41" i="38"/>
  <c r="S42" i="38" s="1"/>
  <c r="T42" i="38" s="1"/>
  <c r="C4" i="107"/>
  <c r="R43" i="66"/>
  <c r="L12" i="129" s="1"/>
  <c r="U29" i="33"/>
  <c r="G43" i="167"/>
  <c r="G44" i="167" s="1"/>
  <c r="G22" i="167"/>
  <c r="U42" i="34"/>
  <c r="R44" i="66"/>
  <c r="L13" i="129" s="1"/>
  <c r="D5" i="107"/>
  <c r="C24" i="107"/>
  <c r="D24" i="107" s="1"/>
  <c r="P138" i="43"/>
  <c r="Q97" i="43"/>
  <c r="R97" i="43" s="1"/>
  <c r="R85" i="66"/>
  <c r="U26" i="9"/>
  <c r="B5" i="160"/>
  <c r="C101" i="143"/>
  <c r="K52" i="26"/>
  <c r="K85" i="26" s="1"/>
  <c r="I8" i="66"/>
  <c r="C32" i="133"/>
  <c r="H85" i="26"/>
  <c r="C33" i="133" l="1"/>
  <c r="C35" i="133" s="1"/>
  <c r="AY146" i="182"/>
  <c r="AX148" i="182"/>
  <c r="T16" i="12"/>
  <c r="AQ213" i="182"/>
  <c r="AX165" i="182"/>
  <c r="AW167" i="182"/>
  <c r="U59" i="43"/>
  <c r="T59" i="66" s="1"/>
  <c r="T70" i="66" s="1"/>
  <c r="T60" i="43"/>
  <c r="AS83" i="182"/>
  <c r="AT83" i="182"/>
  <c r="AR83" i="182"/>
  <c r="AW80" i="182"/>
  <c r="AV83" i="182"/>
  <c r="AT55" i="182"/>
  <c r="AS55" i="182"/>
  <c r="AR55" i="182"/>
  <c r="AW53" i="182"/>
  <c r="AV55" i="182"/>
  <c r="AZ33" i="182"/>
  <c r="AZ35" i="182" s="1"/>
  <c r="AY35" i="182"/>
  <c r="AY207" i="182"/>
  <c r="AX208" i="182"/>
  <c r="AX264" i="182"/>
  <c r="AW162" i="182"/>
  <c r="AZ88" i="182"/>
  <c r="AT162" i="182"/>
  <c r="AS162" i="182"/>
  <c r="K86" i="26"/>
  <c r="L87" i="26" s="1"/>
  <c r="L88" i="26" s="1"/>
  <c r="K100" i="26"/>
  <c r="AR162" i="182"/>
  <c r="R88" i="66"/>
  <c r="C55" i="179" s="1"/>
  <c r="D55" i="179" s="1"/>
  <c r="L62" i="129"/>
  <c r="L64" i="129" s="1"/>
  <c r="S88" i="66"/>
  <c r="M62" i="129"/>
  <c r="N62" i="129" s="1"/>
  <c r="O62" i="129" s="1"/>
  <c r="S70" i="66"/>
  <c r="M26" i="129"/>
  <c r="N26" i="129" s="1"/>
  <c r="O26" i="129" s="1"/>
  <c r="S96" i="66"/>
  <c r="M68" i="129"/>
  <c r="N68" i="129" s="1"/>
  <c r="O68" i="129" s="1"/>
  <c r="R96" i="66"/>
  <c r="C56" i="179" s="1"/>
  <c r="D56" i="179" s="1"/>
  <c r="L68" i="129"/>
  <c r="L71" i="129" s="1"/>
  <c r="R59" i="66"/>
  <c r="D70" i="137"/>
  <c r="R97" i="15"/>
  <c r="R100" i="15" s="1"/>
  <c r="Q30" i="66"/>
  <c r="Q277" i="66" s="1"/>
  <c r="Q280" i="66" s="1"/>
  <c r="D42" i="170"/>
  <c r="N12" i="129"/>
  <c r="O12" i="129" s="1"/>
  <c r="T43" i="66"/>
  <c r="T92" i="66"/>
  <c r="T96" i="66" s="1"/>
  <c r="T41" i="38"/>
  <c r="S50" i="66" s="1"/>
  <c r="M18" i="129" s="1"/>
  <c r="N13" i="129"/>
  <c r="O13" i="129" s="1"/>
  <c r="T44" i="66"/>
  <c r="T85" i="66"/>
  <c r="T88" i="66" s="1"/>
  <c r="D3" i="167"/>
  <c r="S8" i="66"/>
  <c r="S15" i="4"/>
  <c r="U16" i="12"/>
  <c r="Q95" i="12"/>
  <c r="R95" i="12" s="1"/>
  <c r="E5" i="173"/>
  <c r="E6" i="173"/>
  <c r="E7" i="173"/>
  <c r="E8" i="173"/>
  <c r="E9" i="173"/>
  <c r="Q138" i="43"/>
  <c r="R138" i="43" s="1"/>
  <c r="U41" i="38"/>
  <c r="R50" i="66"/>
  <c r="L18" i="129" s="1"/>
  <c r="C23" i="107"/>
  <c r="D23" i="107" s="1"/>
  <c r="D4" i="107"/>
  <c r="D12" i="107" s="1"/>
  <c r="B24" i="133"/>
  <c r="B27" i="133" s="1"/>
  <c r="B29" i="133" s="1"/>
  <c r="R78" i="26"/>
  <c r="R85" i="26" s="1"/>
  <c r="R86" i="26" s="1"/>
  <c r="R87" i="26" s="1"/>
  <c r="R88" i="26" s="1"/>
  <c r="K58" i="26"/>
  <c r="C102" i="143"/>
  <c r="C105" i="143" s="1"/>
  <c r="D106" i="143" s="1"/>
  <c r="H100" i="26"/>
  <c r="G53" i="15"/>
  <c r="G56" i="15" s="1"/>
  <c r="D33" i="133" l="1"/>
  <c r="S13" i="13" s="1"/>
  <c r="B32" i="133"/>
  <c r="B33" i="133" s="1"/>
  <c r="B35" i="133" s="1"/>
  <c r="AZ146" i="182"/>
  <c r="AZ148" i="182" s="1"/>
  <c r="AY148" i="182"/>
  <c r="D30" i="107"/>
  <c r="P117" i="24" s="1"/>
  <c r="AR213" i="182"/>
  <c r="AQ277" i="182"/>
  <c r="AT213" i="182"/>
  <c r="AV213" i="182" s="1"/>
  <c r="AS213" i="182"/>
  <c r="G61" i="15"/>
  <c r="F45" i="129" s="1"/>
  <c r="F51" i="129" s="1"/>
  <c r="M121" i="182"/>
  <c r="AY165" i="182"/>
  <c r="AX167" i="182"/>
  <c r="AX80" i="182"/>
  <c r="AW83" i="182"/>
  <c r="AX53" i="182"/>
  <c r="AW55" i="182"/>
  <c r="AZ207" i="182"/>
  <c r="AY208" i="182"/>
  <c r="AY264" i="182"/>
  <c r="K87" i="26"/>
  <c r="K88" i="26" s="1"/>
  <c r="AX162" i="182"/>
  <c r="K59" i="26"/>
  <c r="K60" i="26" s="1"/>
  <c r="L59" i="26"/>
  <c r="L60" i="26" s="1"/>
  <c r="R70" i="66"/>
  <c r="C53" i="179" s="1"/>
  <c r="D53" i="179" s="1"/>
  <c r="L26" i="129"/>
  <c r="L42" i="129" s="1"/>
  <c r="P63" i="17"/>
  <c r="S9" i="15"/>
  <c r="S17" i="15" s="1"/>
  <c r="S16" i="17"/>
  <c r="S55" i="17" s="1"/>
  <c r="S56" i="17" s="1"/>
  <c r="T56" i="17" s="1"/>
  <c r="U120" i="66"/>
  <c r="O19" i="144" s="1"/>
  <c r="E58" i="170"/>
  <c r="S58" i="12"/>
  <c r="P139" i="12" s="1"/>
  <c r="Q139" i="12" s="1"/>
  <c r="R139" i="12" s="1"/>
  <c r="D15" i="181"/>
  <c r="M71" i="129"/>
  <c r="N71" i="129" s="1"/>
  <c r="O71" i="129" s="1"/>
  <c r="M42" i="129"/>
  <c r="N42" i="129" s="1"/>
  <c r="O42" i="129" s="1"/>
  <c r="N18" i="129"/>
  <c r="O18" i="129" s="1"/>
  <c r="T50" i="66"/>
  <c r="M64" i="129"/>
  <c r="N64" i="129" s="1"/>
  <c r="O64" i="129" s="1"/>
  <c r="T19" i="66"/>
  <c r="X19" i="66" s="1"/>
  <c r="X30" i="66" s="1"/>
  <c r="X277" i="66" s="1"/>
  <c r="X280" i="66" s="1"/>
  <c r="S19" i="66"/>
  <c r="P33" i="4"/>
  <c r="S18" i="4"/>
  <c r="E10" i="173"/>
  <c r="B9" i="160"/>
  <c r="D21" i="136"/>
  <c r="E21" i="136" s="1"/>
  <c r="D19" i="136"/>
  <c r="E19" i="136" s="1"/>
  <c r="B55" i="160"/>
  <c r="B56" i="160"/>
  <c r="D22" i="136"/>
  <c r="E22" i="136" s="1"/>
  <c r="B53" i="160"/>
  <c r="L8" i="66"/>
  <c r="T8" i="66"/>
  <c r="I30" i="66"/>
  <c r="I277" i="66" s="1"/>
  <c r="I280" i="66" s="1"/>
  <c r="O22" i="144" l="1"/>
  <c r="P19" i="144"/>
  <c r="O33" i="144"/>
  <c r="O34" i="144" s="1"/>
  <c r="S47" i="24"/>
  <c r="G73" i="66"/>
  <c r="AQ120" i="182"/>
  <c r="AQ123" i="182" s="1"/>
  <c r="S15" i="53"/>
  <c r="Q117" i="24"/>
  <c r="R117" i="24" s="1"/>
  <c r="P119" i="24"/>
  <c r="C66" i="179"/>
  <c r="D66" i="179" s="1"/>
  <c r="AW213" i="182"/>
  <c r="AV277" i="182"/>
  <c r="N121" i="182"/>
  <c r="Q121" i="182"/>
  <c r="M244" i="182"/>
  <c r="M123" i="182"/>
  <c r="AV120" i="182"/>
  <c r="AT120" i="182"/>
  <c r="AS120" i="182"/>
  <c r="AR120" i="182"/>
  <c r="AQ243" i="182"/>
  <c r="AY167" i="182"/>
  <c r="AZ165" i="182"/>
  <c r="AZ167" i="182" s="1"/>
  <c r="AY80" i="182"/>
  <c r="AX83" i="182"/>
  <c r="AY53" i="182"/>
  <c r="AX55" i="182"/>
  <c r="S19" i="4"/>
  <c r="T19" i="4" s="1"/>
  <c r="AQ229" i="182"/>
  <c r="AZ208" i="182"/>
  <c r="AZ264" i="182"/>
  <c r="S54" i="24"/>
  <c r="A74" i="24" s="1"/>
  <c r="A77" i="24" s="1"/>
  <c r="AQ198" i="182"/>
  <c r="AY162" i="182"/>
  <c r="E16" i="181"/>
  <c r="E17" i="181" s="1"/>
  <c r="E18" i="181" s="1"/>
  <c r="D17" i="181"/>
  <c r="D18" i="181" s="1"/>
  <c r="U55" i="17"/>
  <c r="S61" i="15"/>
  <c r="S62" i="15" s="1"/>
  <c r="T62" i="15" s="1"/>
  <c r="R73" i="66"/>
  <c r="U17" i="15"/>
  <c r="T17" i="15"/>
  <c r="T61" i="15" s="1"/>
  <c r="P103" i="17"/>
  <c r="Q63" i="17"/>
  <c r="R63" i="17" s="1"/>
  <c r="S64" i="12"/>
  <c r="T18" i="4"/>
  <c r="S118" i="66" s="1"/>
  <c r="M121" i="129" s="1"/>
  <c r="D9" i="136"/>
  <c r="E9" i="136" s="1"/>
  <c r="P147" i="12"/>
  <c r="P36" i="4"/>
  <c r="Q36" i="4" s="1"/>
  <c r="R36" i="4" s="1"/>
  <c r="Q33" i="4"/>
  <c r="R33" i="4" s="1"/>
  <c r="U18" i="4"/>
  <c r="R118" i="66"/>
  <c r="S14" i="13"/>
  <c r="AQ239" i="182" s="1"/>
  <c r="V13" i="13"/>
  <c r="V14" i="13" s="1"/>
  <c r="U8" i="66"/>
  <c r="U30" i="66" s="1"/>
  <c r="U277" i="66" s="1"/>
  <c r="D8" i="136"/>
  <c r="E8" i="136" s="1"/>
  <c r="G80" i="66"/>
  <c r="G88" i="66" s="1"/>
  <c r="D34" i="133"/>
  <c r="D35" i="133" s="1"/>
  <c r="O35" i="144" l="1"/>
  <c r="O36" i="144" s="1"/>
  <c r="O37" i="144"/>
  <c r="P33" i="144"/>
  <c r="P34" i="144" s="1"/>
  <c r="P22" i="144"/>
  <c r="Q119" i="24"/>
  <c r="S55" i="24"/>
  <c r="T55" i="24" s="1"/>
  <c r="R119" i="24"/>
  <c r="P36" i="53"/>
  <c r="S18" i="53"/>
  <c r="S20" i="53" s="1"/>
  <c r="AX213" i="182"/>
  <c r="AW277" i="182"/>
  <c r="Q103" i="17"/>
  <c r="R103" i="17" s="1"/>
  <c r="N123" i="182"/>
  <c r="Q123" i="182"/>
  <c r="M193" i="182"/>
  <c r="M248" i="182"/>
  <c r="M252" i="182" s="1"/>
  <c r="AT123" i="182"/>
  <c r="AS123" i="182"/>
  <c r="AR123" i="182"/>
  <c r="AW120" i="182"/>
  <c r="AV123" i="182"/>
  <c r="AV243" i="182"/>
  <c r="AZ80" i="182"/>
  <c r="AZ83" i="182" s="1"/>
  <c r="AY83" i="182"/>
  <c r="AZ53" i="182"/>
  <c r="AZ55" i="182" s="1"/>
  <c r="AY55" i="182"/>
  <c r="AV229" i="182"/>
  <c r="AS229" i="182"/>
  <c r="AQ281" i="182"/>
  <c r="AQ230" i="182"/>
  <c r="AR229" i="182"/>
  <c r="AT229" i="182"/>
  <c r="AV198" i="182"/>
  <c r="AR198" i="182"/>
  <c r="AT198" i="182"/>
  <c r="AQ200" i="182"/>
  <c r="AQ261" i="182"/>
  <c r="AQ265" i="182" s="1"/>
  <c r="AS198" i="182"/>
  <c r="S69" i="12"/>
  <c r="S70" i="12" s="1"/>
  <c r="T70" i="12" s="1"/>
  <c r="AQ214" i="182"/>
  <c r="AS239" i="182"/>
  <c r="AR239" i="182"/>
  <c r="AT239" i="182"/>
  <c r="AV239" i="182" s="1"/>
  <c r="AW239" i="182" s="1"/>
  <c r="AX239" i="182" s="1"/>
  <c r="AY239" i="182" s="1"/>
  <c r="AZ239" i="182" s="1"/>
  <c r="R80" i="66"/>
  <c r="C54" i="179" s="1"/>
  <c r="D54" i="179" s="1"/>
  <c r="L45" i="129"/>
  <c r="L51" i="129" s="1"/>
  <c r="N121" i="129"/>
  <c r="O121" i="129" s="1"/>
  <c r="T118" i="66"/>
  <c r="L121" i="129"/>
  <c r="T73" i="66"/>
  <c r="T80" i="66" s="1"/>
  <c r="U61" i="15"/>
  <c r="U64" i="12"/>
  <c r="U69" i="12" s="1"/>
  <c r="T114" i="66" s="1"/>
  <c r="T64" i="12"/>
  <c r="T69" i="12" s="1"/>
  <c r="S123" i="66"/>
  <c r="M143" i="129" s="1"/>
  <c r="R131" i="66"/>
  <c r="T14" i="13"/>
  <c r="S131" i="66" s="1"/>
  <c r="S132" i="66" s="1"/>
  <c r="U54" i="24"/>
  <c r="R123" i="66"/>
  <c r="L143" i="129" s="1"/>
  <c r="L147" i="129" s="1"/>
  <c r="S19" i="13"/>
  <c r="S20" i="13" s="1"/>
  <c r="T20" i="13" s="1"/>
  <c r="U14" i="13"/>
  <c r="Q147" i="12"/>
  <c r="R147" i="12" s="1"/>
  <c r="G110" i="66"/>
  <c r="P35" i="144" l="1"/>
  <c r="P36" i="144" s="1"/>
  <c r="P37" i="144"/>
  <c r="S21" i="53"/>
  <c r="T21" i="53" s="1"/>
  <c r="R105" i="66"/>
  <c r="AQ186" i="182"/>
  <c r="T20" i="53"/>
  <c r="S105" i="66" s="1"/>
  <c r="U20" i="53"/>
  <c r="T105" i="66" s="1"/>
  <c r="Q36" i="53"/>
  <c r="R36" i="53" s="1"/>
  <c r="P38" i="53"/>
  <c r="Q38" i="53" s="1"/>
  <c r="R38" i="53" s="1"/>
  <c r="AV230" i="182"/>
  <c r="AY213" i="182"/>
  <c r="AX277" i="182"/>
  <c r="M251" i="182"/>
  <c r="M255" i="182"/>
  <c r="M254" i="182"/>
  <c r="M253" i="182"/>
  <c r="Q193" i="182"/>
  <c r="M234" i="182"/>
  <c r="N193" i="182"/>
  <c r="AX120" i="182"/>
  <c r="AW123" i="182"/>
  <c r="AW243" i="182"/>
  <c r="G136" i="66"/>
  <c r="H111" i="66"/>
  <c r="AS230" i="182"/>
  <c r="AT230" i="182"/>
  <c r="AR230" i="182"/>
  <c r="AW229" i="182"/>
  <c r="AV281" i="182"/>
  <c r="R114" i="66"/>
  <c r="I24" i="107" s="1"/>
  <c r="AQ216" i="182"/>
  <c r="AT214" i="182"/>
  <c r="AV214" i="182" s="1"/>
  <c r="AR214" i="182"/>
  <c r="AS214" i="182"/>
  <c r="AQ278" i="182"/>
  <c r="AQ269" i="182"/>
  <c r="AQ272" i="182"/>
  <c r="AQ270" i="182"/>
  <c r="AQ268" i="182"/>
  <c r="AQ271" i="182"/>
  <c r="U70" i="12"/>
  <c r="AR200" i="182"/>
  <c r="AQ210" i="182"/>
  <c r="AT200" i="182"/>
  <c r="AS200" i="182"/>
  <c r="E118" i="129"/>
  <c r="E122" i="129" s="1"/>
  <c r="E133" i="129" s="1"/>
  <c r="AW198" i="182"/>
  <c r="AV200" i="182"/>
  <c r="AV210" i="182" s="1"/>
  <c r="AV261" i="182"/>
  <c r="AZ162" i="182"/>
  <c r="T120" i="66"/>
  <c r="B6" i="167" s="1"/>
  <c r="S127" i="66"/>
  <c r="N143" i="129"/>
  <c r="O143" i="129" s="1"/>
  <c r="S114" i="66"/>
  <c r="E61" i="170"/>
  <c r="F61" i="170" s="1"/>
  <c r="S73" i="66"/>
  <c r="B54" i="160"/>
  <c r="D20" i="136"/>
  <c r="E20" i="136" s="1"/>
  <c r="E60" i="170"/>
  <c r="F60" i="170" s="1"/>
  <c r="T131" i="66"/>
  <c r="D30" i="136" s="1"/>
  <c r="C64" i="179"/>
  <c r="D64" i="179" s="1"/>
  <c r="R132" i="66"/>
  <c r="U19" i="13"/>
  <c r="T19" i="13"/>
  <c r="I25" i="107"/>
  <c r="T123" i="66"/>
  <c r="T127" i="66" s="1"/>
  <c r="AB127" i="66" s="1"/>
  <c r="R98" i="26" s="1"/>
  <c r="R127" i="66"/>
  <c r="D30" i="137"/>
  <c r="R29" i="66" l="1"/>
  <c r="T108" i="66"/>
  <c r="D25" i="136"/>
  <c r="E25" i="136" s="1"/>
  <c r="B59" i="160"/>
  <c r="AT186" i="182"/>
  <c r="AV186" i="182" s="1"/>
  <c r="AR186" i="182"/>
  <c r="AS186" i="182"/>
  <c r="AQ247" i="182"/>
  <c r="AQ187" i="182"/>
  <c r="M86" i="129"/>
  <c r="S108" i="66"/>
  <c r="L86" i="129"/>
  <c r="L88" i="129" s="1"/>
  <c r="R108" i="66"/>
  <c r="C59" i="179" s="1"/>
  <c r="D59" i="179" s="1"/>
  <c r="AZ213" i="182"/>
  <c r="AZ277" i="182" s="1"/>
  <c r="AY277" i="182"/>
  <c r="Q234" i="182"/>
  <c r="N234" i="182"/>
  <c r="M256" i="182"/>
  <c r="AY120" i="182"/>
  <c r="AX123" i="182"/>
  <c r="AX243" i="182"/>
  <c r="D27" i="136"/>
  <c r="E27" i="136" s="1"/>
  <c r="R120" i="66"/>
  <c r="G24" i="107" s="1"/>
  <c r="L118" i="129"/>
  <c r="L122" i="129" s="1"/>
  <c r="L133" i="129" s="1"/>
  <c r="AX229" i="182"/>
  <c r="AW230" i="182"/>
  <c r="AW281" i="182"/>
  <c r="B26" i="160"/>
  <c r="AS210" i="182"/>
  <c r="AT210" i="182"/>
  <c r="AR210" i="182"/>
  <c r="AQ282" i="182"/>
  <c r="AQ286" i="182" s="1"/>
  <c r="AV265" i="182"/>
  <c r="AV269" i="182" s="1"/>
  <c r="AX198" i="182"/>
  <c r="AW200" i="182"/>
  <c r="AW210" i="182" s="1"/>
  <c r="AW261" i="182"/>
  <c r="AV216" i="182"/>
  <c r="AV232" i="182" s="1"/>
  <c r="AW214" i="182"/>
  <c r="AV278" i="182"/>
  <c r="AQ273" i="182"/>
  <c r="AR216" i="182"/>
  <c r="AS216" i="182"/>
  <c r="AT216" i="182"/>
  <c r="AQ232" i="182"/>
  <c r="U131" i="66"/>
  <c r="U132" i="66" s="1"/>
  <c r="H30" i="136"/>
  <c r="E30" i="136"/>
  <c r="S80" i="66"/>
  <c r="M45" i="129"/>
  <c r="M51" i="129" s="1"/>
  <c r="N51" i="129" s="1"/>
  <c r="O51" i="129" s="1"/>
  <c r="S120" i="66"/>
  <c r="M118" i="129"/>
  <c r="N118" i="129" s="1"/>
  <c r="O118" i="129" s="1"/>
  <c r="T132" i="66"/>
  <c r="M147" i="129"/>
  <c r="N147" i="129" s="1"/>
  <c r="O147" i="129" s="1"/>
  <c r="B10" i="167"/>
  <c r="D10" i="167" s="1"/>
  <c r="S10" i="167" s="1"/>
  <c r="B29" i="160"/>
  <c r="D28" i="136"/>
  <c r="E28" i="136" s="1"/>
  <c r="G25" i="107"/>
  <c r="B27" i="160"/>
  <c r="B8" i="167"/>
  <c r="P47" i="40"/>
  <c r="P65" i="40" s="1"/>
  <c r="Q65" i="40" s="1"/>
  <c r="R65" i="40" s="1"/>
  <c r="AA120" i="66" l="1"/>
  <c r="AV187" i="182"/>
  <c r="AV193" i="182" s="1"/>
  <c r="AV234" i="182" s="1"/>
  <c r="AV247" i="182"/>
  <c r="AW186" i="182"/>
  <c r="N86" i="129"/>
  <c r="O86" i="129" s="1"/>
  <c r="M88" i="129"/>
  <c r="N88" i="129" s="1"/>
  <c r="O88" i="129" s="1"/>
  <c r="AQ248" i="182"/>
  <c r="AQ255" i="182" s="1"/>
  <c r="AR187" i="182"/>
  <c r="AS187" i="182"/>
  <c r="AT187" i="182"/>
  <c r="AQ193" i="182"/>
  <c r="N45" i="129"/>
  <c r="O45" i="129" s="1"/>
  <c r="AZ120" i="182"/>
  <c r="AY123" i="182"/>
  <c r="AY243" i="182"/>
  <c r="AY229" i="182"/>
  <c r="AX230" i="182"/>
  <c r="AX281" i="182"/>
  <c r="AY198" i="182"/>
  <c r="AX200" i="182"/>
  <c r="AX210" i="182" s="1"/>
  <c r="AX261" i="182"/>
  <c r="AV272" i="182"/>
  <c r="AV270" i="182"/>
  <c r="AV271" i="182"/>
  <c r="AV268" i="182"/>
  <c r="AV282" i="182"/>
  <c r="AW216" i="182"/>
  <c r="AW232" i="182" s="1"/>
  <c r="AW278" i="182"/>
  <c r="AX214" i="182"/>
  <c r="AQ288" i="182"/>
  <c r="AQ285" i="182"/>
  <c r="AQ287" i="182"/>
  <c r="AQ289" i="182"/>
  <c r="AR232" i="182"/>
  <c r="AT232" i="182"/>
  <c r="AS232" i="182"/>
  <c r="AW265" i="182"/>
  <c r="AW269" i="182" s="1"/>
  <c r="M122" i="129"/>
  <c r="M133" i="129" s="1"/>
  <c r="N133" i="129" s="1"/>
  <c r="O133" i="129" s="1"/>
  <c r="H28" i="136"/>
  <c r="AB136" i="66"/>
  <c r="F8" i="167"/>
  <c r="AA136" i="66"/>
  <c r="AA273" i="66" s="1"/>
  <c r="R95" i="26" s="1"/>
  <c r="E6" i="167"/>
  <c r="S32" i="40"/>
  <c r="S33" i="40" s="1"/>
  <c r="T33" i="40" s="1"/>
  <c r="Q47" i="40"/>
  <c r="R47" i="40" s="1"/>
  <c r="AR193" i="182" l="1"/>
  <c r="AT193" i="182"/>
  <c r="AS193" i="182"/>
  <c r="AW247" i="182"/>
  <c r="AW187" i="182"/>
  <c r="AW193" i="182" s="1"/>
  <c r="AW194" i="182" s="1"/>
  <c r="AW195" i="182" s="1"/>
  <c r="AX186" i="182"/>
  <c r="AQ234" i="182"/>
  <c r="AV235" i="182" s="1"/>
  <c r="AV236" i="182" s="1"/>
  <c r="AV248" i="182"/>
  <c r="AV255" i="182" s="1"/>
  <c r="AV194" i="182"/>
  <c r="AV195" i="182" s="1"/>
  <c r="AQ251" i="182"/>
  <c r="AQ253" i="182"/>
  <c r="AQ252" i="182"/>
  <c r="AQ254" i="182"/>
  <c r="AZ123" i="182"/>
  <c r="AZ243" i="182"/>
  <c r="AZ229" i="182"/>
  <c r="AY230" i="182"/>
  <c r="AY281" i="182"/>
  <c r="AV273" i="182"/>
  <c r="AQ290" i="182"/>
  <c r="AV288" i="182"/>
  <c r="AV287" i="182"/>
  <c r="AV289" i="182"/>
  <c r="AV285" i="182"/>
  <c r="AW270" i="182"/>
  <c r="AW268" i="182"/>
  <c r="AW272" i="182"/>
  <c r="AW271" i="182"/>
  <c r="AX216" i="182"/>
  <c r="AX232" i="182" s="1"/>
  <c r="AY214" i="182"/>
  <c r="AX278" i="182"/>
  <c r="AW282" i="182"/>
  <c r="AX265" i="182"/>
  <c r="AX269" i="182" s="1"/>
  <c r="AV286" i="182"/>
  <c r="AZ198" i="182"/>
  <c r="AY200" i="182"/>
  <c r="AY210" i="182" s="1"/>
  <c r="AY261" i="182"/>
  <c r="N122" i="129"/>
  <c r="O122" i="129" s="1"/>
  <c r="R28" i="66"/>
  <c r="T32" i="40"/>
  <c r="S51" i="66" s="1"/>
  <c r="E12" i="167"/>
  <c r="E21" i="167" s="1"/>
  <c r="E43" i="167" s="1"/>
  <c r="D6" i="167"/>
  <c r="AA278" i="66"/>
  <c r="U32" i="40"/>
  <c r="T51" i="66" s="1"/>
  <c r="T56" i="66" s="1"/>
  <c r="T110" i="66" s="1"/>
  <c r="R51" i="66"/>
  <c r="T136" i="66" l="1"/>
  <c r="C7" i="168"/>
  <c r="AS234" i="182"/>
  <c r="AT234" i="182"/>
  <c r="AW248" i="182"/>
  <c r="AX247" i="182"/>
  <c r="AX187" i="182"/>
  <c r="AX193" i="182" s="1"/>
  <c r="AX194" i="182" s="1"/>
  <c r="AX195" i="182" s="1"/>
  <c r="AY186" i="182"/>
  <c r="AQ256" i="182"/>
  <c r="AR234" i="182"/>
  <c r="AW234" i="182"/>
  <c r="AW235" i="182" s="1"/>
  <c r="AW236" i="182" s="1"/>
  <c r="AV254" i="182"/>
  <c r="AV252" i="182"/>
  <c r="AV251" i="182"/>
  <c r="AV253" i="182"/>
  <c r="AZ281" i="182"/>
  <c r="AZ230" i="182"/>
  <c r="AW273" i="182"/>
  <c r="AW288" i="182"/>
  <c r="AW289" i="182"/>
  <c r="AW287" i="182"/>
  <c r="AW285" i="182"/>
  <c r="AX282" i="182"/>
  <c r="AX286" i="182" s="1"/>
  <c r="AZ214" i="182"/>
  <c r="AY216" i="182"/>
  <c r="AY232" i="182" s="1"/>
  <c r="AY278" i="182"/>
  <c r="AZ261" i="182"/>
  <c r="AZ200" i="182"/>
  <c r="AZ210" i="182" s="1"/>
  <c r="AV290" i="182"/>
  <c r="AY265" i="182"/>
  <c r="AY269" i="182" s="1"/>
  <c r="AX270" i="182"/>
  <c r="AX268" i="182"/>
  <c r="AX272" i="182"/>
  <c r="AX271" i="182"/>
  <c r="AW286" i="182"/>
  <c r="S56" i="66"/>
  <c r="S110" i="66" s="1"/>
  <c r="S136" i="66" s="1"/>
  <c r="S273" i="66" s="1"/>
  <c r="S278" i="66" s="1"/>
  <c r="M19" i="129"/>
  <c r="N19" i="129" s="1"/>
  <c r="O19" i="129" s="1"/>
  <c r="R56" i="66"/>
  <c r="C52" i="179" s="1"/>
  <c r="C60" i="179" s="1"/>
  <c r="C87" i="179" s="1"/>
  <c r="L19" i="129"/>
  <c r="L23" i="129" s="1"/>
  <c r="S6" i="167"/>
  <c r="C33" i="168" l="1"/>
  <c r="AY247" i="182"/>
  <c r="AZ186" i="182"/>
  <c r="AY187" i="182"/>
  <c r="AY193" i="182" s="1"/>
  <c r="AY194" i="182" s="1"/>
  <c r="AY195" i="182" s="1"/>
  <c r="AW252" i="182"/>
  <c r="AW254" i="182"/>
  <c r="AW251" i="182"/>
  <c r="AW253" i="182"/>
  <c r="AV256" i="182"/>
  <c r="AX248" i="182"/>
  <c r="AX255" i="182" s="1"/>
  <c r="AW255" i="182"/>
  <c r="AX234" i="182"/>
  <c r="AX235" i="182" s="1"/>
  <c r="AX236" i="182" s="1"/>
  <c r="AW290" i="182"/>
  <c r="D52" i="179"/>
  <c r="D60" i="179" s="1"/>
  <c r="AX273" i="182"/>
  <c r="AZ278" i="182"/>
  <c r="AZ216" i="182"/>
  <c r="AZ232" i="182" s="1"/>
  <c r="AY270" i="182"/>
  <c r="AY271" i="182"/>
  <c r="AY268" i="182"/>
  <c r="AY272" i="182"/>
  <c r="AX288" i="182"/>
  <c r="AX289" i="182"/>
  <c r="AX285" i="182"/>
  <c r="AX287" i="182"/>
  <c r="R110" i="66"/>
  <c r="R111" i="66" s="1"/>
  <c r="AZ265" i="182"/>
  <c r="AZ269" i="182" s="1"/>
  <c r="AY282" i="182"/>
  <c r="AY286" i="182" s="1"/>
  <c r="D87" i="179"/>
  <c r="D89" i="179" s="1"/>
  <c r="C89" i="179"/>
  <c r="M23" i="129"/>
  <c r="D18" i="136"/>
  <c r="B52" i="160"/>
  <c r="B61" i="160" s="1"/>
  <c r="D32" i="168" l="1"/>
  <c r="D11" i="168"/>
  <c r="D20" i="168"/>
  <c r="D23" i="168"/>
  <c r="D19" i="168"/>
  <c r="D12" i="168"/>
  <c r="D16" i="168"/>
  <c r="D28" i="168"/>
  <c r="D29" i="168"/>
  <c r="D13" i="168"/>
  <c r="D10" i="168"/>
  <c r="D30" i="168"/>
  <c r="D18" i="168"/>
  <c r="D15" i="168"/>
  <c r="D31" i="168"/>
  <c r="D17" i="168"/>
  <c r="D8" i="168"/>
  <c r="D21" i="168"/>
  <c r="D25" i="168"/>
  <c r="D26" i="168"/>
  <c r="D24" i="168"/>
  <c r="D14" i="168"/>
  <c r="D9" i="168"/>
  <c r="D22" i="168"/>
  <c r="D27" i="168"/>
  <c r="D7" i="168"/>
  <c r="AW256" i="182"/>
  <c r="AY234" i="182"/>
  <c r="AY235" i="182" s="1"/>
  <c r="AY236" i="182" s="1"/>
  <c r="AZ247" i="182"/>
  <c r="AZ187" i="182"/>
  <c r="AZ193" i="182" s="1"/>
  <c r="AZ194" i="182" s="1"/>
  <c r="AZ195" i="182" s="1"/>
  <c r="AX251" i="182"/>
  <c r="AX254" i="182"/>
  <c r="AX253" i="182"/>
  <c r="AX252" i="182"/>
  <c r="AY248" i="182"/>
  <c r="AY255" i="182" s="1"/>
  <c r="G23" i="107"/>
  <c r="G26" i="107" s="1"/>
  <c r="H23" i="107" s="1"/>
  <c r="I23" i="107"/>
  <c r="I26" i="107" s="1"/>
  <c r="J23" i="107" s="1"/>
  <c r="R136" i="66"/>
  <c r="R273" i="66" s="1"/>
  <c r="R278" i="66" s="1"/>
  <c r="AY288" i="182"/>
  <c r="AY285" i="182"/>
  <c r="AY287" i="182"/>
  <c r="AY289" i="182"/>
  <c r="AY273" i="182"/>
  <c r="AZ271" i="182"/>
  <c r="AZ270" i="182"/>
  <c r="AZ268" i="182"/>
  <c r="AZ272" i="182"/>
  <c r="AX290" i="182"/>
  <c r="AZ282" i="182"/>
  <c r="AZ286" i="182" s="1"/>
  <c r="H26" i="136"/>
  <c r="H32" i="136" s="1"/>
  <c r="E18" i="136"/>
  <c r="B2" i="66"/>
  <c r="T273" i="66"/>
  <c r="T278" i="66" s="1"/>
  <c r="M90" i="129"/>
  <c r="N23" i="129"/>
  <c r="O23" i="129" s="1"/>
  <c r="U110" i="66"/>
  <c r="U136" i="66" s="1"/>
  <c r="B25" i="160"/>
  <c r="B31" i="160" s="1"/>
  <c r="B5" i="167"/>
  <c r="D32" i="136"/>
  <c r="E32" i="136" s="1"/>
  <c r="D33" i="168" l="1"/>
  <c r="AX256" i="182"/>
  <c r="AZ248" i="182"/>
  <c r="AZ255" i="182" s="1"/>
  <c r="AY251" i="182"/>
  <c r="AY253" i="182"/>
  <c r="AY254" i="182"/>
  <c r="AY252" i="182"/>
  <c r="AZ234" i="182"/>
  <c r="AZ235" i="182" s="1"/>
  <c r="AZ236" i="182" s="1"/>
  <c r="J24" i="107"/>
  <c r="K24" i="107" s="1"/>
  <c r="J25" i="107"/>
  <c r="K25" i="107" s="1"/>
  <c r="AZ273" i="182"/>
  <c r="AZ288" i="182"/>
  <c r="AZ287" i="182"/>
  <c r="AZ285" i="182"/>
  <c r="AZ289" i="182"/>
  <c r="AY290" i="182"/>
  <c r="G31" i="136"/>
  <c r="G30" i="136"/>
  <c r="D5" i="167"/>
  <c r="S5" i="167" s="1"/>
  <c r="N90" i="129"/>
  <c r="O90" i="129" s="1"/>
  <c r="B12" i="167"/>
  <c r="B21" i="167" s="1"/>
  <c r="B43" i="167" s="1"/>
  <c r="G28" i="136"/>
  <c r="H24" i="107"/>
  <c r="H25" i="107"/>
  <c r="G26" i="136"/>
  <c r="U273" i="66"/>
  <c r="U278" i="66" s="1"/>
  <c r="U280" i="66" s="1"/>
  <c r="L29" i="66"/>
  <c r="B15" i="136" s="1"/>
  <c r="L28" i="66"/>
  <c r="S28" i="66"/>
  <c r="C35" i="167" l="1"/>
  <c r="C27" i="167"/>
  <c r="C34" i="167"/>
  <c r="C33" i="167"/>
  <c r="C31" i="167"/>
  <c r="C30" i="167"/>
  <c r="C37" i="167"/>
  <c r="C29" i="167"/>
  <c r="C28" i="167"/>
  <c r="C32" i="167"/>
  <c r="C38" i="167"/>
  <c r="C36" i="167"/>
  <c r="AY256" i="182"/>
  <c r="AZ251" i="182"/>
  <c r="AZ252" i="182"/>
  <c r="AZ253" i="182"/>
  <c r="AZ254" i="182"/>
  <c r="AZ290" i="182"/>
  <c r="C17" i="167"/>
  <c r="C25" i="167"/>
  <c r="C15" i="167"/>
  <c r="C9" i="167"/>
  <c r="C10" i="167"/>
  <c r="C8" i="167"/>
  <c r="C7" i="167"/>
  <c r="C18" i="167"/>
  <c r="C26" i="167"/>
  <c r="C19" i="167"/>
  <c r="C6" i="167"/>
  <c r="C5" i="167"/>
  <c r="G32" i="136"/>
  <c r="AB273" i="66"/>
  <c r="F12" i="167"/>
  <c r="F21" i="167" s="1"/>
  <c r="F43" i="167" s="1"/>
  <c r="L30" i="66"/>
  <c r="T28" i="66"/>
  <c r="O6" i="144" s="1"/>
  <c r="AZ256" i="182" l="1"/>
  <c r="C43" i="167"/>
  <c r="E3" i="167"/>
  <c r="B6" i="160"/>
  <c r="AB278" i="66"/>
  <c r="D8" i="167"/>
  <c r="L277" i="66"/>
  <c r="L280" i="66" s="1"/>
  <c r="L33" i="66"/>
  <c r="D14" i="136"/>
  <c r="E14" i="136" s="1"/>
  <c r="AA28" i="66"/>
  <c r="AA30" i="66" s="1"/>
  <c r="R100" i="26" l="1"/>
  <c r="P277" i="66"/>
  <c r="P280" i="66" s="1"/>
  <c r="E22" i="167"/>
  <c r="E13" i="167"/>
  <c r="E44" i="167"/>
  <c r="S8" i="167"/>
  <c r="S12" i="167" s="1"/>
  <c r="D12" i="167"/>
  <c r="AA277" i="66"/>
  <c r="AA280" i="66" s="1"/>
  <c r="T29" i="66" l="1"/>
  <c r="S29" i="66"/>
  <c r="S30" i="66" s="1"/>
  <c r="S277" i="66" s="1"/>
  <c r="S280" i="66" s="1"/>
  <c r="R30" i="66"/>
  <c r="R277" i="66" s="1"/>
  <c r="R280" i="66" s="1"/>
  <c r="S21" i="167"/>
  <c r="S13" i="167"/>
  <c r="D13" i="167"/>
  <c r="D21" i="167"/>
  <c r="D43" i="167" s="1"/>
  <c r="D44" i="167" s="1"/>
  <c r="D13" i="136" l="1"/>
  <c r="T30" i="66"/>
  <c r="T33" i="66" s="1"/>
  <c r="B7" i="160"/>
  <c r="B10" i="160" s="1"/>
  <c r="F3" i="167"/>
  <c r="F22" i="167" s="1"/>
  <c r="AB29" i="66"/>
  <c r="AB30" i="66" s="1"/>
  <c r="AB277" i="66" s="1"/>
  <c r="AB280" i="66" s="1"/>
  <c r="R33" i="66"/>
  <c r="S43" i="167"/>
  <c r="S44" i="167" s="1"/>
  <c r="S22" i="167"/>
  <c r="D22" i="167"/>
  <c r="D15" i="136" l="1"/>
  <c r="E15" i="136" s="1"/>
  <c r="E13" i="136"/>
  <c r="F44" i="167"/>
  <c r="T31" i="66"/>
  <c r="T277" i="66"/>
  <c r="T280" i="66" s="1"/>
  <c r="F13" i="167"/>
  <c r="L90" i="129"/>
  <c r="J90" i="129"/>
  <c r="F90" i="129"/>
  <c r="G90" i="129"/>
  <c r="D90" i="129"/>
  <c r="E90" i="129"/>
  <c r="D91" i="129" l="1"/>
  <c r="E91" i="129"/>
  <c r="A72" i="24"/>
  <c r="A78" i="24" s="1"/>
</calcChain>
</file>

<file path=xl/sharedStrings.xml><?xml version="1.0" encoding="utf-8"?>
<sst xmlns="http://schemas.openxmlformats.org/spreadsheetml/2006/main" count="9185" uniqueCount="2670">
  <si>
    <t>Table of Contents</t>
  </si>
  <si>
    <t>General</t>
  </si>
  <si>
    <t>Revenues</t>
  </si>
  <si>
    <t>Dept Budgets</t>
  </si>
  <si>
    <t>To Do and Changes</t>
  </si>
  <si>
    <t>WPCF Revenue Detail</t>
  </si>
  <si>
    <t>113 Town Meeting</t>
  </si>
  <si>
    <t>GMRSD Allocation Summary</t>
  </si>
  <si>
    <t>Revenue Projections</t>
  </si>
  <si>
    <t>122 Selectboard</t>
  </si>
  <si>
    <t>Financial Policy Numbers</t>
  </si>
  <si>
    <t>131 Finance Committee</t>
  </si>
  <si>
    <t>Working Budget with Funding Detail</t>
  </si>
  <si>
    <t>132 Reserve Fund</t>
  </si>
  <si>
    <t>135 Town Accountant</t>
  </si>
  <si>
    <t>Background/Details</t>
  </si>
  <si>
    <t>141 Board of Assessors</t>
  </si>
  <si>
    <t>WPCF Overhead</t>
  </si>
  <si>
    <t>145 Treasurer/Tax Collector</t>
  </si>
  <si>
    <t>Debt Exclusion Caluclation</t>
  </si>
  <si>
    <t>151 Legal</t>
  </si>
  <si>
    <t>Police Wages</t>
  </si>
  <si>
    <t>155 Information Technology</t>
  </si>
  <si>
    <t>DPW/Sewer Wages</t>
  </si>
  <si>
    <t>159 Shared Costs</t>
  </si>
  <si>
    <t>NAGE &amp; Non-Union Wages</t>
  </si>
  <si>
    <t>161 Town Clerk</t>
  </si>
  <si>
    <t>Longevity</t>
  </si>
  <si>
    <t>175 Planning</t>
  </si>
  <si>
    <t>Split Dept Service</t>
  </si>
  <si>
    <t>176 Zoning Board of Appeals</t>
  </si>
  <si>
    <t>Combined Debt Schedule</t>
  </si>
  <si>
    <t>182 MEDIC</t>
  </si>
  <si>
    <t>Kearsarge Lease</t>
  </si>
  <si>
    <t>190 Public Buildings Utilities</t>
  </si>
  <si>
    <t>211 Police</t>
  </si>
  <si>
    <t>Report Information</t>
  </si>
  <si>
    <t>212 Dispatch</t>
  </si>
  <si>
    <t>241 Building Inspector</t>
  </si>
  <si>
    <t>Wages by Position</t>
  </si>
  <si>
    <t>244 Sealer of Weights</t>
  </si>
  <si>
    <t>Report to Town Meeting</t>
  </si>
  <si>
    <t>291 Emergency Management</t>
  </si>
  <si>
    <t>Wages and Benefits</t>
  </si>
  <si>
    <t>292 Animal Control</t>
  </si>
  <si>
    <t>Charts for Report</t>
  </si>
  <si>
    <t>294 Forest Warden</t>
  </si>
  <si>
    <t>Revenue Allocation Chart</t>
  </si>
  <si>
    <t>299 Tree Warden</t>
  </si>
  <si>
    <t>300 Education</t>
  </si>
  <si>
    <t>420 DPW-Consolidated</t>
  </si>
  <si>
    <t>192 DPW-Public Buildings</t>
  </si>
  <si>
    <t>422 DPW-Streets/Maintenance</t>
  </si>
  <si>
    <t>652 DPW-Parks</t>
  </si>
  <si>
    <t>423 Snow &amp; Ice</t>
  </si>
  <si>
    <t>433 Solid Waste</t>
  </si>
  <si>
    <t>480 Charging Stations</t>
  </si>
  <si>
    <t>491 Cemeteries</t>
  </si>
  <si>
    <t>511 Board of Health</t>
  </si>
  <si>
    <t>541 Council on Aging</t>
  </si>
  <si>
    <t>543 Veterans Benefits</t>
  </si>
  <si>
    <t>610 Libraries</t>
  </si>
  <si>
    <t>630 Parks &amp; Recreation</t>
  </si>
  <si>
    <t>691 Historical Commission</t>
  </si>
  <si>
    <t>693 Soldiers Memorials</t>
  </si>
  <si>
    <t>700 Town Debt</t>
  </si>
  <si>
    <t>840 Intergovernmental</t>
  </si>
  <si>
    <t>910 Town Benefits</t>
  </si>
  <si>
    <t>946 General Insurance</t>
  </si>
  <si>
    <t>228 Colle</t>
  </si>
  <si>
    <t>600-482 Airport</t>
  </si>
  <si>
    <t>661-440 WPCF Main Budget</t>
  </si>
  <si>
    <t>661-449 WPCF DPW Subsidiary</t>
  </si>
  <si>
    <t>661-700 WPCF Debt</t>
  </si>
  <si>
    <t>661-910 WPCF Benefits</t>
  </si>
  <si>
    <t>Tabs for binders</t>
  </si>
  <si>
    <t>Strikethroughs - don't include in budget for website/public binders</t>
  </si>
  <si>
    <t>To Do/Changes</t>
  </si>
  <si>
    <t>note that not all tabs are printed as some are more for internal use.</t>
  </si>
  <si>
    <t>Policies to Review</t>
  </si>
  <si>
    <t>Prelim</t>
  </si>
  <si>
    <t>Est WPCF Rate Increase</t>
  </si>
  <si>
    <t>Revenue Forecasting</t>
  </si>
  <si>
    <t>Revenue Projections Detail</t>
  </si>
  <si>
    <t>Affordable Assessment</t>
  </si>
  <si>
    <t>Main</t>
  </si>
  <si>
    <t>Budget Summary</t>
  </si>
  <si>
    <t>Town Meeting</t>
  </si>
  <si>
    <t>Selectboard</t>
  </si>
  <si>
    <t>Finance Committee</t>
  </si>
  <si>
    <t>Reserve Fund</t>
  </si>
  <si>
    <t>Accountant</t>
  </si>
  <si>
    <t>Assessors</t>
  </si>
  <si>
    <t>Treasurer</t>
  </si>
  <si>
    <t>Legal</t>
  </si>
  <si>
    <t>IT</t>
  </si>
  <si>
    <t>Shared</t>
  </si>
  <si>
    <t>Clerk</t>
  </si>
  <si>
    <t xml:space="preserve">Planning </t>
  </si>
  <si>
    <t>ZBA</t>
  </si>
  <si>
    <t>MEDIC</t>
  </si>
  <si>
    <t>Public Bldg Utilities</t>
  </si>
  <si>
    <t>Police</t>
  </si>
  <si>
    <t>Dispatch</t>
  </si>
  <si>
    <t>Building Inspector</t>
  </si>
  <si>
    <t>Sealer of Weights</t>
  </si>
  <si>
    <t>Emergency Management</t>
  </si>
  <si>
    <t>Animal Control</t>
  </si>
  <si>
    <t>Forest Warden</t>
  </si>
  <si>
    <t>Tree Warden</t>
  </si>
  <si>
    <t>Schools</t>
  </si>
  <si>
    <t>DPW-Combined</t>
  </si>
  <si>
    <t>DPW-Public Buildings</t>
  </si>
  <si>
    <t>DPW-Streets/Maint</t>
  </si>
  <si>
    <t>DPW-Parks</t>
  </si>
  <si>
    <t>Snow &amp; Ice</t>
  </si>
  <si>
    <t>Solid Waste</t>
  </si>
  <si>
    <t>EV Charging Stations</t>
  </si>
  <si>
    <t>Cemeteries</t>
  </si>
  <si>
    <t>Board of Health</t>
  </si>
  <si>
    <t>Council on Aging</t>
  </si>
  <si>
    <t>Veterans Benefits</t>
  </si>
  <si>
    <t>Libraries</t>
  </si>
  <si>
    <t>Parks &amp; Rec</t>
  </si>
  <si>
    <t>Soldiers Memorials</t>
  </si>
  <si>
    <t>Debt (Town)</t>
  </si>
  <si>
    <t>Intergovernmental</t>
  </si>
  <si>
    <t>Employee Benefits</t>
  </si>
  <si>
    <t>General Ins</t>
  </si>
  <si>
    <t>Colle</t>
  </si>
  <si>
    <t>600-482</t>
  </si>
  <si>
    <t>Airport</t>
  </si>
  <si>
    <t>600-700</t>
  </si>
  <si>
    <t>Airport - Debt</t>
  </si>
  <si>
    <t>600-910</t>
  </si>
  <si>
    <t>Airport - Benefits</t>
  </si>
  <si>
    <t>661-440</t>
  </si>
  <si>
    <t>WPCF</t>
  </si>
  <si>
    <t>661-449</t>
  </si>
  <si>
    <t>WPCF-DPW Sub</t>
  </si>
  <si>
    <t>661-700</t>
  </si>
  <si>
    <t>WPCF-Debt</t>
  </si>
  <si>
    <t>661-910</t>
  </si>
  <si>
    <t>WPCF-Benefits</t>
  </si>
  <si>
    <t>Tax share WPCF</t>
  </si>
  <si>
    <t>links</t>
  </si>
  <si>
    <t>don't print for public binders</t>
  </si>
  <si>
    <t>Overhead</t>
  </si>
  <si>
    <t>Debt Exclusion</t>
  </si>
  <si>
    <t>UE Wages</t>
  </si>
  <si>
    <t>NAGE/Non-Union Wages</t>
  </si>
  <si>
    <t>Split Debt Service</t>
  </si>
  <si>
    <t>Combined Debt Service</t>
  </si>
  <si>
    <t>Town Meeting Wages by Position</t>
  </si>
  <si>
    <t>Wages &amp; Benefits</t>
  </si>
  <si>
    <t>Pie Charts</t>
  </si>
  <si>
    <t>Local Receipts for Report</t>
  </si>
  <si>
    <t>Table of Contents - Report</t>
  </si>
  <si>
    <t>Tax Impact</t>
  </si>
  <si>
    <t>Tabs</t>
  </si>
  <si>
    <t>Marginal impact of COLA adjustment</t>
  </si>
  <si>
    <t>Estimated tax rate impact of additional spending*</t>
  </si>
  <si>
    <t>FY23 (Total Wages Excluding OT)</t>
  </si>
  <si>
    <t>1. Allocate Amount to Raise to Levy Class (total levy times levy percentage from LA5)</t>
  </si>
  <si>
    <t>no cola</t>
  </si>
  <si>
    <t>Cumulative Inc</t>
  </si>
  <si>
    <t>Incremental Inc</t>
  </si>
  <si>
    <t>1% COLA</t>
  </si>
  <si>
    <t>2% COLA</t>
  </si>
  <si>
    <t>Category</t>
  </si>
  <si>
    <t>Levy %</t>
  </si>
  <si>
    <t>Valuation</t>
  </si>
  <si>
    <t>Raise &amp; Appropriate</t>
  </si>
  <si>
    <t>tax rate</t>
  </si>
  <si>
    <t>3% COLA</t>
  </si>
  <si>
    <t>Residential</t>
  </si>
  <si>
    <t>4% COLA</t>
  </si>
  <si>
    <t>CIP</t>
  </si>
  <si>
    <t>5% COLA</t>
  </si>
  <si>
    <t>base wages only -does not include OT</t>
  </si>
  <si>
    <t>2. Divide Raise &amp; Appropriate by valuation (then multiply by 1K) to get tax rate</t>
  </si>
  <si>
    <t>3. Divide Raise &amp; Appropriate by valuation (then multiply by 1K) to get tax rate</t>
  </si>
  <si>
    <t>Increase in Rate</t>
  </si>
  <si>
    <t>Residential cost impact: Mean House Value</t>
  </si>
  <si>
    <t>Marginal Added Cost</t>
  </si>
  <si>
    <t>Mean Value in FY22</t>
  </si>
  <si>
    <t>/$1000</t>
  </si>
  <si>
    <t>Additional Cost</t>
  </si>
  <si>
    <t>* Note that this tool offers only a preliminary estimate of actual tax rate impact. It holds valuation and levy figures</t>
  </si>
  <si>
    <t>that can be a useful input to policy and budget decisions.</t>
  </si>
  <si>
    <t>Total</t>
  </si>
  <si>
    <t>Cost</t>
  </si>
  <si>
    <t>Asst Town Admin</t>
  </si>
  <si>
    <t>Police Sgt</t>
  </si>
  <si>
    <t>TOC</t>
  </si>
  <si>
    <t>Added/adjusted columns/headings/cell references</t>
  </si>
  <si>
    <t>updated Rev Proj Detail File and Working Budget file</t>
  </si>
  <si>
    <t>update longevity yrs and $$</t>
  </si>
  <si>
    <t>adjusted hours in each step for all but Police Officers and Dispatchers on 4/2 schedule.</t>
  </si>
  <si>
    <t>TH</t>
  </si>
  <si>
    <t>DPW</t>
  </si>
  <si>
    <t>Other</t>
  </si>
  <si>
    <t>35 hr week</t>
  </si>
  <si>
    <t>35 hr TH</t>
  </si>
  <si>
    <t xml:space="preserve">40 hr week </t>
  </si>
  <si>
    <t>40 hr DPW</t>
  </si>
  <si>
    <t>37.5 hr week</t>
  </si>
  <si>
    <t>na salaried</t>
  </si>
  <si>
    <t>37.69 hr wk</t>
  </si>
  <si>
    <t>(same every year)</t>
  </si>
  <si>
    <t>updated Rev Forecasting tab with forecasting use of FC, fixed links for SRO income</t>
  </si>
  <si>
    <t>ITEMS TO NOTE:</t>
  </si>
  <si>
    <t>Increases in hours</t>
  </si>
  <si>
    <t>Reclassification Requests</t>
  </si>
  <si>
    <t>COA Director 17 to 21</t>
  </si>
  <si>
    <t>Airport Operations Manager 19hrs to 30</t>
  </si>
  <si>
    <t>Airport Manager Step 7 to Step 9</t>
  </si>
  <si>
    <t>New Positions</t>
  </si>
  <si>
    <t>BOH AA</t>
  </si>
  <si>
    <t>WPCF Chief Op to WPCF Foreman (name change)</t>
  </si>
  <si>
    <t>Dispatcher</t>
  </si>
  <si>
    <t>SB AA/HR</t>
  </si>
  <si>
    <t>WPCF Lab Manager</t>
  </si>
  <si>
    <t>P&amp;R PT summer groundskeeper</t>
  </si>
  <si>
    <t>Policies to review annually</t>
  </si>
  <si>
    <t>Intro to polices says FC shall review all policies annually by 10/1</t>
  </si>
  <si>
    <t>Annual Budget Process</t>
  </si>
  <si>
    <t>Capital Planning</t>
  </si>
  <si>
    <t>Debt Management</t>
  </si>
  <si>
    <t>Enterprise Funds</t>
  </si>
  <si>
    <t>Financial Reserves</t>
  </si>
  <si>
    <t xml:space="preserve">Investments </t>
  </si>
  <si>
    <t>Other Post Employment Benefits</t>
  </si>
  <si>
    <t>Enforcment of Property Tax Collections</t>
  </si>
  <si>
    <t>Tax Rate Setting</t>
  </si>
  <si>
    <t>Revenue &amp; Expenditure Forecasting</t>
  </si>
  <si>
    <t>Annual Audit</t>
  </si>
  <si>
    <t>User Fees</t>
  </si>
  <si>
    <t>Cash and Receivable Reconciliations</t>
  </si>
  <si>
    <t xml:space="preserve">Grant Management </t>
  </si>
  <si>
    <t>Employee Reimbursements</t>
  </si>
  <si>
    <t>Anti-Fraud</t>
  </si>
  <si>
    <t>Revenue Processing</t>
  </si>
  <si>
    <t>FY2013</t>
  </si>
  <si>
    <t>FY2014</t>
  </si>
  <si>
    <t>FY2015</t>
  </si>
  <si>
    <t>FY2016</t>
  </si>
  <si>
    <t>FY2017</t>
  </si>
  <si>
    <t>FY2018</t>
  </si>
  <si>
    <t>FY2019</t>
  </si>
  <si>
    <t>FY2020</t>
  </si>
  <si>
    <t>FY21</t>
  </si>
  <si>
    <t>FY22</t>
  </si>
  <si>
    <t>FY23</t>
  </si>
  <si>
    <t>YTD</t>
  </si>
  <si>
    <t>Budget</t>
  </si>
  <si>
    <t>Actual</t>
  </si>
  <si>
    <t>Actuals</t>
  </si>
  <si>
    <t>Actual Rev</t>
  </si>
  <si>
    <t>Est Rev</t>
  </si>
  <si>
    <t xml:space="preserve"> Amount Needed (from budget requests)</t>
  </si>
  <si>
    <t>Retained Earnings to reduce rates</t>
  </si>
  <si>
    <t>remove MF overage and Budgeted Surplus</t>
  </si>
  <si>
    <t>Special Articles from SUF</t>
  </si>
  <si>
    <t>UE</t>
  </si>
  <si>
    <t>Total Needed</t>
  </si>
  <si>
    <t>less fixed revenues</t>
  </si>
  <si>
    <t>Residential rev needed</t>
  </si>
  <si>
    <t>Increase from PY Commitments</t>
  </si>
  <si>
    <t>% increase if no Sp Articles</t>
  </si>
  <si>
    <t>FY2021</t>
  </si>
  <si>
    <t>FY2022</t>
  </si>
  <si>
    <t>FY2023</t>
  </si>
  <si>
    <t>Recap</t>
  </si>
  <si>
    <t>Proposed</t>
  </si>
  <si>
    <t>Estimates</t>
  </si>
  <si>
    <t>Prior Year Limit</t>
  </si>
  <si>
    <t>New Growth</t>
  </si>
  <si>
    <t>Subtotal Tax Levy</t>
  </si>
  <si>
    <t>Less Allowance for A&amp;E</t>
  </si>
  <si>
    <t>Net Levy</t>
  </si>
  <si>
    <t>Unrestricted Aid</t>
  </si>
  <si>
    <t>Veterans' Benefits</t>
  </si>
  <si>
    <t>Exemptions V/B/SS/Eld</t>
  </si>
  <si>
    <t>State Owned Land</t>
  </si>
  <si>
    <t>Public Libraries</t>
  </si>
  <si>
    <t>less offset</t>
  </si>
  <si>
    <t>Subtotal Cherry Sheet</t>
  </si>
  <si>
    <t>Less State Charges</t>
  </si>
  <si>
    <t>Net State Revenue</t>
  </si>
  <si>
    <t>Motor Vehicle Excise</t>
  </si>
  <si>
    <t>Other Excise</t>
  </si>
  <si>
    <t>Meals Tax</t>
  </si>
  <si>
    <t>Penalties &amp; Interest</t>
  </si>
  <si>
    <t>PILOT</t>
  </si>
  <si>
    <t>Charges for Trash Disposal</t>
  </si>
  <si>
    <t>Other Charges for Service</t>
  </si>
  <si>
    <t>Licenses &amp; Permits</t>
  </si>
  <si>
    <t>Fines &amp; Forfeits</t>
  </si>
  <si>
    <t>Investment Income</t>
  </si>
  <si>
    <t>Medicare part D Reimb</t>
  </si>
  <si>
    <t>FCTS reimb for SRO-shown below</t>
  </si>
  <si>
    <t>Miscellaneous Recurring</t>
  </si>
  <si>
    <t>Misc. Non-Recurring</t>
  </si>
  <si>
    <t>Total Local Receipts For AA</t>
  </si>
  <si>
    <t>Other Local Receipts</t>
  </si>
  <si>
    <t>FCTS SRO Reimb</t>
  </si>
  <si>
    <t>GMRSD SRO Reimb</t>
  </si>
  <si>
    <t>50% Kearsarge Lease</t>
  </si>
  <si>
    <t>Grand Total Local Receipts</t>
  </si>
  <si>
    <t>Available Funds</t>
  </si>
  <si>
    <t>One-Time State Aid</t>
  </si>
  <si>
    <t>Existing Sp Art Balances</t>
  </si>
  <si>
    <t>Capital Stabilization</t>
  </si>
  <si>
    <t>GMRSD Stabilization</t>
  </si>
  <si>
    <t>FCTS Stabilization</t>
  </si>
  <si>
    <t>Transportation Infrastructure</t>
  </si>
  <si>
    <t>Res for Excluded Debt</t>
  </si>
  <si>
    <t>Town Stabilization for Sp Articles</t>
  </si>
  <si>
    <t>Town Stabilization For GM</t>
  </si>
  <si>
    <t>Sale of RE &amp; Chapter 90</t>
  </si>
  <si>
    <t>Receipts Res for Approp</t>
  </si>
  <si>
    <t>Total Available Funds</t>
  </si>
  <si>
    <t>Free Cash</t>
  </si>
  <si>
    <t>Individual Articles</t>
  </si>
  <si>
    <t>Reduce Levy</t>
  </si>
  <si>
    <t>Total Free Cash</t>
  </si>
  <si>
    <t>Grand Total General Revenue</t>
  </si>
  <si>
    <t>Borrowing</t>
  </si>
  <si>
    <t xml:space="preserve">Town </t>
  </si>
  <si>
    <t>Total Borrowing</t>
  </si>
  <si>
    <t>Sewer User Fees</t>
  </si>
  <si>
    <t>Airport User Fees</t>
  </si>
  <si>
    <t>Grand Total All Sources</t>
  </si>
  <si>
    <t>Kearsarge Rental Breakdown</t>
  </si>
  <si>
    <t>50% General Revenue -Operating</t>
  </si>
  <si>
    <t>50% Stabilization</t>
  </si>
  <si>
    <t>GRMSD 48.5% Operating to Allocation</t>
  </si>
  <si>
    <t>Town 51.5% Operating to Town Capital Stabilization</t>
  </si>
  <si>
    <t>GRMSD 48.5% Capital to GMRSD Stabilization Fund</t>
  </si>
  <si>
    <t>Town 51.5% Capital to Town Capital Stabilization</t>
  </si>
  <si>
    <t>Total allocation</t>
  </si>
  <si>
    <t>FY2024</t>
  </si>
  <si>
    <t>Est</t>
  </si>
  <si>
    <t>Tax Levy</t>
  </si>
  <si>
    <t>Excess Capacity</t>
  </si>
  <si>
    <t xml:space="preserve">State Aid </t>
  </si>
  <si>
    <t>FC</t>
  </si>
  <si>
    <t>Gov Budg</t>
  </si>
  <si>
    <t>Local Receipts</t>
  </si>
  <si>
    <t>Rental - 50% of Kearsarge + other rents</t>
  </si>
  <si>
    <t>Building Permits</t>
  </si>
  <si>
    <t>Cannabis Impact Stabilization</t>
  </si>
  <si>
    <t>Town Gen Stab to make up for lost Rev</t>
  </si>
  <si>
    <t>Overlay Surplus</t>
  </si>
  <si>
    <t>Sewer Retained Earnings</t>
  </si>
  <si>
    <t>To allocate 50% of the Kearsarge lease revenue as general revenue to be included in the affordable assessment calculation. The remaining 50% will be split 48.5% to the GMRSD Stabilization Fund and 51.5% percent to the Town Capital Stabilization Fund. The Finance Committee shall then increase the appropriation to the Town Capital Stabilization Fund by our 51.5% of the 50% of general revenue.  The GMRSD will end up with 48.5% of the total Kearsarge lease revenue, half of the 48.5% in affordable assessment and half of the 48.5% in the GMRSD Stabilization Fund. The town ends up with 51.5% of the total lease revenue in the Town Capital Stabilization Fund.</t>
  </si>
  <si>
    <t>NOTE: THE FINAL AFFORDABLE ASSESSMENT MUST BE</t>
  </si>
  <si>
    <t xml:space="preserve">COMMUNICATED TO THE GMRSD BEFORE THE </t>
  </si>
  <si>
    <t xml:space="preserve">SCHOOL COMMITTEE VOTES ON THEIR FINAL BUDGET, WHICH </t>
  </si>
  <si>
    <t>IS REQUIRED AT LEAST 45 DAYS BEFORE THE ATM.</t>
  </si>
  <si>
    <t>includes leaving excess capacity</t>
  </si>
  <si>
    <t>Original</t>
  </si>
  <si>
    <t>In future, consider also eliminating from available revenues:</t>
  </si>
  <si>
    <t xml:space="preserve">Current Allocation Methodology Summary </t>
  </si>
  <si>
    <t>Estimated</t>
  </si>
  <si>
    <t>Revenue</t>
  </si>
  <si>
    <t>Net Levy (Total less allowance for Abatements)</t>
  </si>
  <si>
    <t>Less Excluded Debt (+ GMRSD Debt for town bldgs)</t>
  </si>
  <si>
    <t>Available Levy</t>
  </si>
  <si>
    <t>Net State Aid (Total less Charges &amp; Offsets)</t>
  </si>
  <si>
    <t xml:space="preserve">Local Receipts </t>
  </si>
  <si>
    <t>Free Cash recomended for Operating Expenses</t>
  </si>
  <si>
    <t>Total Available Sources for Operating Expenses</t>
  </si>
  <si>
    <t>Total Sources for GMRSD Operating</t>
  </si>
  <si>
    <t>48.5 % of Available Sources to GMRSD Operating</t>
  </si>
  <si>
    <t>Montague's share Excluded GMRSD Debt</t>
  </si>
  <si>
    <t>Requested Assessment</t>
  </si>
  <si>
    <t>Amount above "affordable" (From GMRSD Stabilization)</t>
  </si>
  <si>
    <t xml:space="preserve">     </t>
  </si>
  <si>
    <t>Increase</t>
  </si>
  <si>
    <t>Taxation share</t>
  </si>
  <si>
    <t>% incr</t>
  </si>
  <si>
    <t>Net Levy less excluded debt PLUS actual State Aid PLUS local estimated receipts</t>
  </si>
  <si>
    <t xml:space="preserve">Net Levy </t>
  </si>
  <si>
    <t>Source</t>
  </si>
  <si>
    <t>Gross Levy</t>
  </si>
  <si>
    <t>Recap P1</t>
  </si>
  <si>
    <t>Allow A &amp; E</t>
  </si>
  <si>
    <t>Recap p 2</t>
  </si>
  <si>
    <t>Excluded Debt</t>
  </si>
  <si>
    <t>Recap DE1</t>
  </si>
  <si>
    <t>#1</t>
  </si>
  <si>
    <t>Levy to use</t>
  </si>
  <si>
    <t>For Actual State Aid plus local receipts, backed into #:</t>
  </si>
  <si>
    <t>Total GF Rev</t>
  </si>
  <si>
    <t>EOY Budget Report</t>
  </si>
  <si>
    <t>Transfers In</t>
  </si>
  <si>
    <t>PP revenue</t>
  </si>
  <si>
    <t>RE revenue</t>
  </si>
  <si>
    <t>Tax Lien/Foreclosure rev</t>
  </si>
  <si>
    <t>#2</t>
  </si>
  <si>
    <t>State Aid + LER</t>
  </si>
  <si>
    <t>Sum of #1, #2</t>
  </si>
  <si>
    <t>One-Time Revenues</t>
  </si>
  <si>
    <t>To be used for Capital Improvements, Reserves, or as legally restricted</t>
  </si>
  <si>
    <t>Total Stabilization Funds plus Free Cash shall be maintained at 5-10% of PYGOR</t>
  </si>
  <si>
    <t>Town Gen Stab</t>
  </si>
  <si>
    <t>Minimum</t>
  </si>
  <si>
    <t>GMRSD Stab</t>
  </si>
  <si>
    <t>Maximum</t>
  </si>
  <si>
    <t>FCTS Stab</t>
  </si>
  <si>
    <t>Town Cap Stab</t>
  </si>
  <si>
    <t>% of PYGOR</t>
  </si>
  <si>
    <t>General Stabilization Fund to be maintained at minimum of 5% PYGOR</t>
  </si>
  <si>
    <t xml:space="preserve">Current balance </t>
  </si>
  <si>
    <t>need to add</t>
  </si>
  <si>
    <t>In order to meet this target, BOS can recommend transfer of up to 35% certified Free Cash</t>
  </si>
  <si>
    <t>35% of cert FC</t>
  </si>
  <si>
    <t>Annually appropriate 0.3% of PYGOR to General Stabilization as part of operating budget</t>
  </si>
  <si>
    <t>.3% PYGOR</t>
  </si>
  <si>
    <t>Free Cash in excess of 3% of PYGOR should be used for non-recurring or emergency expenditures or moved to Stab.</t>
  </si>
  <si>
    <t>3% PYGOR</t>
  </si>
  <si>
    <t>for Non-recurring, emerg, or to Stab</t>
  </si>
  <si>
    <t>Capital Improvement Stabilization Fund :should have annual appropriation of 0.2% PYGOR</t>
  </si>
  <si>
    <t>.2% PYGOR</t>
  </si>
  <si>
    <t>In Annual Budget, Debt Service plus PAYGO Cap Projects should be 6-8% of PYGOR</t>
  </si>
  <si>
    <t>Debt Only</t>
  </si>
  <si>
    <t>Non-Excluded Debt Only</t>
  </si>
  <si>
    <t>4% PYGOR</t>
  </si>
  <si>
    <t>6% PYGOR</t>
  </si>
  <si>
    <t>8% PYGOR</t>
  </si>
  <si>
    <t>Uses:</t>
  </si>
  <si>
    <t>Town LTD Princ</t>
  </si>
  <si>
    <t>From DE-1</t>
  </si>
  <si>
    <t>Town LTD Int</t>
  </si>
  <si>
    <t xml:space="preserve">GMRSD Debt </t>
  </si>
  <si>
    <t>Cruiser</t>
  </si>
  <si>
    <t xml:space="preserve">Flail Lease </t>
  </si>
  <si>
    <t>DPW Equip (Est)</t>
  </si>
  <si>
    <t>Total requests exceed amt needed</t>
  </si>
  <si>
    <t>Need to meet Min</t>
  </si>
  <si>
    <t>Debt s/b 4-6% PYGOR</t>
  </si>
  <si>
    <t>Need to meet max</t>
  </si>
  <si>
    <r>
      <t xml:space="preserve">PAYGO Building Renewal &amp; Equipment Replacement will be budgeted at 2% of </t>
    </r>
    <r>
      <rPr>
        <b/>
        <sz val="12"/>
        <rFont val="Arial"/>
        <family val="2"/>
      </rPr>
      <t>Budget</t>
    </r>
    <r>
      <rPr>
        <sz val="12"/>
        <rFont val="Arial"/>
        <family val="2"/>
      </rPr>
      <t xml:space="preserve"> year est GOR</t>
    </r>
  </si>
  <si>
    <t>Less Excl Debt</t>
  </si>
  <si>
    <t>Net State Aid</t>
  </si>
  <si>
    <t>Est Rec</t>
  </si>
  <si>
    <t>Total Budgeted GOR</t>
  </si>
  <si>
    <t>2% Budgeted GOR</t>
  </si>
  <si>
    <t>Available for PAYGO Bldg/equip</t>
  </si>
  <si>
    <t>Debt:</t>
  </si>
  <si>
    <t>GF Debt Service/PYGOR</t>
  </si>
  <si>
    <t>GF Debt</t>
  </si>
  <si>
    <t>Ratio</t>
  </si>
  <si>
    <t>Net GF Debt Svc less Excluded Debt</t>
  </si>
  <si>
    <t>Total GF Debt</t>
  </si>
  <si>
    <t>Less GF Excluded debt</t>
  </si>
  <si>
    <t>Net GF Debt</t>
  </si>
  <si>
    <t>ratio</t>
  </si>
  <si>
    <t>Under Minimum</t>
  </si>
  <si>
    <t>FY13</t>
  </si>
  <si>
    <t>FY14</t>
  </si>
  <si>
    <t>Fy15</t>
  </si>
  <si>
    <t>FY16</t>
  </si>
  <si>
    <t>FY17</t>
  </si>
  <si>
    <t>FY18</t>
  </si>
  <si>
    <t>FY19</t>
  </si>
  <si>
    <t>FY20</t>
  </si>
  <si>
    <t>FY24</t>
  </si>
  <si>
    <t>Town Capital</t>
  </si>
  <si>
    <t>Requested</t>
  </si>
  <si>
    <t xml:space="preserve">BOS </t>
  </si>
  <si>
    <t>FC Recommend</t>
  </si>
  <si>
    <t>Taxation</t>
  </si>
  <si>
    <t>Available</t>
  </si>
  <si>
    <t>Stabilization</t>
  </si>
  <si>
    <t>GMRSD</t>
  </si>
  <si>
    <t>Sewer</t>
  </si>
  <si>
    <t xml:space="preserve">Airport </t>
  </si>
  <si>
    <t>Level Services</t>
  </si>
  <si>
    <t>Recommend</t>
  </si>
  <si>
    <t>Funds</t>
  </si>
  <si>
    <t>Fees</t>
  </si>
  <si>
    <t>updated since FY23 budget file</t>
  </si>
  <si>
    <t>SOURCES</t>
  </si>
  <si>
    <t>NET LEVY</t>
  </si>
  <si>
    <t>STATE AID (NET OF CHARGES)</t>
  </si>
  <si>
    <t>LOCAL RECEIPTS</t>
  </si>
  <si>
    <t>FREE CASH</t>
  </si>
  <si>
    <t>OTHER AVAILABLE FUNDS</t>
  </si>
  <si>
    <t xml:space="preserve">  Sp Article Balances</t>
  </si>
  <si>
    <t xml:space="preserve">  Transportation Infrastructure RRA</t>
  </si>
  <si>
    <t xml:space="preserve">  Reserve for Excluded Debt</t>
  </si>
  <si>
    <t xml:space="preserve">  Overlay Surplus</t>
  </si>
  <si>
    <t xml:space="preserve">   Colle Receipts Reserved for Appropriation</t>
  </si>
  <si>
    <t>FREE CASH FOR SPECIAL ARTICLES</t>
  </si>
  <si>
    <t>TOWN CAPITAL STABILIZATION</t>
  </si>
  <si>
    <t>TOWN STABILIZATION</t>
  </si>
  <si>
    <t>FCTS STABILIZATION</t>
  </si>
  <si>
    <t>GMRSD STABILIZATION</t>
  </si>
  <si>
    <t>CANNABIS IMPACT STABILIZATION</t>
  </si>
  <si>
    <t>BORROWING IN ANTICIPATION OF GRANTS</t>
  </si>
  <si>
    <t>TOWN BORROWING</t>
  </si>
  <si>
    <t>CWF BORROWING</t>
  </si>
  <si>
    <t>CWF RETAINED EARNINGS</t>
  </si>
  <si>
    <t>CWF USER FEES</t>
  </si>
  <si>
    <t>AIRPORT USER FEES</t>
  </si>
  <si>
    <t>TOTAL ESTIMATED SOURCES</t>
  </si>
  <si>
    <t xml:space="preserve">GENERAL FUND SOURCES - NET OF </t>
  </si>
  <si>
    <t xml:space="preserve">BORROWING, TFHS DEBT BALANCE, </t>
  </si>
  <si>
    <t>CWF, AIRPORT, COLLE</t>
  </si>
  <si>
    <t>GENERAL GOVERNMENT</t>
  </si>
  <si>
    <t>TOWN MEETING</t>
  </si>
  <si>
    <t>SELECTBOARD</t>
  </si>
  <si>
    <t>FINANCE COMMITTEE</t>
  </si>
  <si>
    <t>RESERVE FUND</t>
  </si>
  <si>
    <t>TOWN ACCOUNTANT</t>
  </si>
  <si>
    <t>ASSESSORS</t>
  </si>
  <si>
    <t>ASSESSORS ABATEMENT SOFTWARE</t>
  </si>
  <si>
    <t>TREASURER/COLLECTOR</t>
  </si>
  <si>
    <t>TOWN COUNSEL</t>
  </si>
  <si>
    <t>INFORMATION TECHNOLOGY</t>
  </si>
  <si>
    <t>SHARED COSTS</t>
  </si>
  <si>
    <t>TOWN CLERK</t>
  </si>
  <si>
    <t>PLANNING</t>
  </si>
  <si>
    <t>ZONING BOARD OF APPEALS</t>
  </si>
  <si>
    <t>PUBLIC BLDG UTILITIES</t>
  </si>
  <si>
    <t>TOTAL GENERAL GOVERNMENT</t>
  </si>
  <si>
    <t>PUBLIC SAFETY</t>
  </si>
  <si>
    <t>POLICE</t>
  </si>
  <si>
    <t>POLICE CRUISER</t>
  </si>
  <si>
    <t>DISPATCH</t>
  </si>
  <si>
    <t>BUILDING INSPECTOR</t>
  </si>
  <si>
    <t xml:space="preserve">SEALER OF WEIGHTS </t>
  </si>
  <si>
    <t>EMERGENCY MANAGEMENT</t>
  </si>
  <si>
    <t>ANIMAL CONTROL</t>
  </si>
  <si>
    <t>ANIMAL CONTROL CAPITAL OUTLAY</t>
  </si>
  <si>
    <t>FOREST WARDEN</t>
  </si>
  <si>
    <t>TREE WARDEN</t>
  </si>
  <si>
    <t>TOTAL PUBLIC SAFETY</t>
  </si>
  <si>
    <t>PUBLIC WORKS</t>
  </si>
  <si>
    <t>DEPT OF PUBLIC WORKS</t>
  </si>
  <si>
    <t>DPW CAPITAL LEASE</t>
  </si>
  <si>
    <t>SNOW &amp; ICE</t>
  </si>
  <si>
    <t>SOLID WASTE</t>
  </si>
  <si>
    <t>CHARGING STATIONS</t>
  </si>
  <si>
    <t>CEMETERIES</t>
  </si>
  <si>
    <t>TOTAL PUBLIC WORKS</t>
  </si>
  <si>
    <t>HUMAN SERVICES</t>
  </si>
  <si>
    <t>BOARD OF HEALTH</t>
  </si>
  <si>
    <t>COUNCIL ON AGING</t>
  </si>
  <si>
    <t>VETERANS' SERVICES</t>
  </si>
  <si>
    <t>TOTAL HUMAN SERVICES</t>
  </si>
  <si>
    <t>CULTURE &amp; RECREATION</t>
  </si>
  <si>
    <t>LIBRARIES</t>
  </si>
  <si>
    <t>PARKS &amp; RECREATION</t>
  </si>
  <si>
    <t>HISTORICAL COMMISSION</t>
  </si>
  <si>
    <t>WAR MEMORIALS</t>
  </si>
  <si>
    <t>TOTAL CULTURE &amp; RECREATION</t>
  </si>
  <si>
    <t>DEBT SERVICE</t>
  </si>
  <si>
    <t>INTERGOVERNMENTAL</t>
  </si>
  <si>
    <t>MISCELLANEOUS</t>
  </si>
  <si>
    <t>EMPLOYEE BENEFITS</t>
  </si>
  <si>
    <t>GENERAL INSURANCE</t>
  </si>
  <si>
    <t>TOTAL MISCELLANEOUS</t>
  </si>
  <si>
    <t>GRAND TOTAL GENERAL FUND</t>
  </si>
  <si>
    <t>DPW SUBSIDIARY</t>
  </si>
  <si>
    <t>WPCF DEBT</t>
  </si>
  <si>
    <t>TOTAL WPCF</t>
  </si>
  <si>
    <t>AIRPORT</t>
  </si>
  <si>
    <t>AIRPORT DEBT</t>
  </si>
  <si>
    <t>AIRPORT EMPLOYEE BENEFITS</t>
  </si>
  <si>
    <t>TOTAL AIRPORT</t>
  </si>
  <si>
    <t>EDUCATION</t>
  </si>
  <si>
    <t>FCTS</t>
  </si>
  <si>
    <t>TOTAL EDUCATION</t>
  </si>
  <si>
    <t>RAISE DEBT SERVICE DEFICIT</t>
  </si>
  <si>
    <t>GRAND TOTAL</t>
  </si>
  <si>
    <t>PLUS SPECIAL ARTICLES/NEW REQUESTS</t>
  </si>
  <si>
    <t>Policy: Taxation transfer to FCTS Stabilization</t>
  </si>
  <si>
    <t>SPECIAL ARTICLES</t>
  </si>
  <si>
    <t>Operating Appropriation to OPEB</t>
  </si>
  <si>
    <t>Add'l Appropriation to OPEB</t>
  </si>
  <si>
    <t>Operating Appropriation to CI Stab</t>
  </si>
  <si>
    <t>Operating Appropriation to Town Gen Stab</t>
  </si>
  <si>
    <t>Add'l Approp to Town GSF to meet minimum</t>
  </si>
  <si>
    <t>Add'l Approp to FCTS Stab per policy</t>
  </si>
  <si>
    <t>50% Kearsarge Lease - 48.5 % to GM Stab</t>
  </si>
  <si>
    <t>50% Kearsarge Lease - 51.5 % to Town Cap Stab</t>
  </si>
  <si>
    <t>Add'l to Town Cap Stab</t>
  </si>
  <si>
    <t>FY20 Cannabis Tax to Town Cap Stab</t>
  </si>
  <si>
    <t>FY20 Cannabis Impact Fee</t>
  </si>
  <si>
    <t>Town Hall Main Roof</t>
  </si>
  <si>
    <t>Shea Front Roof</t>
  </si>
  <si>
    <t xml:space="preserve">Assessors Utility Valuation </t>
  </si>
  <si>
    <t xml:space="preserve">Assessors Hydroelectric Valuation </t>
  </si>
  <si>
    <t>Unsafe/Unhealth Buildings</t>
  </si>
  <si>
    <t>Unexpected Engineering Expenses</t>
  </si>
  <si>
    <t>Unexpected Project Shortfalls</t>
  </si>
  <si>
    <t>Bld Assessment and Capital Plan</t>
  </si>
  <si>
    <t>TFHS Sidewalks</t>
  </si>
  <si>
    <t>Sheffield Columns</t>
  </si>
  <si>
    <t>500 Ave A Phase II Environmental Study</t>
  </si>
  <si>
    <t>Add to Conservation Fund</t>
  </si>
  <si>
    <t>GM Entry Canopy</t>
  </si>
  <si>
    <t>GMRSD Bldg Assessment Study - Hillcrest</t>
  </si>
  <si>
    <t>GMRSD Bldg Assessment Study - Sheffield</t>
  </si>
  <si>
    <t>GMRSD Bldg Assessment Study - TFHS</t>
  </si>
  <si>
    <t>GM Truck</t>
  </si>
  <si>
    <t>Sheffield Library Wall - withdrawn</t>
  </si>
  <si>
    <t>Hillcrest Façade</t>
  </si>
  <si>
    <t>Sheffield Façade</t>
  </si>
  <si>
    <t>Sheffield Fire Alarm Upgrade</t>
  </si>
  <si>
    <t>Turners Falls Tennis Courts (Mont share)</t>
  </si>
  <si>
    <t>Hillcrest Roof</t>
  </si>
  <si>
    <t>MC Park Master Plan</t>
  </si>
  <si>
    <t>Smith Votech Tuition/Trans (FY22-FY24)</t>
  </si>
  <si>
    <t>MC Park Surveying</t>
  </si>
  <si>
    <t>Town wide map storage</t>
  </si>
  <si>
    <t>Election Tabulators</t>
  </si>
  <si>
    <t>EDIC Signage</t>
  </si>
  <si>
    <t>Town Hall Awning</t>
  </si>
  <si>
    <t>Design/Feasibility MF Rd &amp; Ind Blvd</t>
  </si>
  <si>
    <t>afterschool STEM enrichment programming</t>
  </si>
  <si>
    <t>MC Library Moisture Remediation</t>
  </si>
  <si>
    <t>MF Library Moisture Remediation</t>
  </si>
  <si>
    <t>Carnegie Doors</t>
  </si>
  <si>
    <t>Hillcrest Security Entrance</t>
  </si>
  <si>
    <t>Computer Equipment/Software</t>
  </si>
  <si>
    <t>Police Discretionary (to budget for FY21)</t>
  </si>
  <si>
    <t>COA front stairs/porch</t>
  </si>
  <si>
    <t>GMRSD Upgrade BMA</t>
  </si>
  <si>
    <t>Sheffield Intercom</t>
  </si>
  <si>
    <t>Hillcrest Intercom</t>
  </si>
  <si>
    <t>Colle Building Renovations</t>
  </si>
  <si>
    <t>WPCF Solar Array</t>
  </si>
  <si>
    <t>Line, clean, inspect, GIS drains, rehabilitate 1868 drain</t>
  </si>
  <si>
    <t>Flail Mower Lease (FY18-FY22) to 422</t>
  </si>
  <si>
    <t>WPCF Feasibility Study</t>
  </si>
  <si>
    <t>WPCF Increase Capital Stabilization Fund</t>
  </si>
  <si>
    <t>Replace 2 pump stations</t>
  </si>
  <si>
    <t>DPW 6 wheel dump truck</t>
  </si>
  <si>
    <t>WPCF Capital Discretionary Article</t>
  </si>
  <si>
    <t>WPCF Pump Station Controls</t>
  </si>
  <si>
    <t>Tech School Pump Station Upgrade</t>
  </si>
  <si>
    <t>Compost Facility Engineering</t>
  </si>
  <si>
    <t xml:space="preserve">Millers Falls I &amp; I </t>
  </si>
  <si>
    <t>Resurface Tennis Courts</t>
  </si>
  <si>
    <t>GM Brick/Concrete Repair Admin Bldg</t>
  </si>
  <si>
    <t>Sewer Vac and Router Truck Lease</t>
  </si>
  <si>
    <t>Sidewalks and Paving</t>
  </si>
  <si>
    <t>5th St Bridge Easement</t>
  </si>
  <si>
    <t>PV Mosquito Control Dist</t>
  </si>
  <si>
    <t>COA Roof Replacement</t>
  </si>
  <si>
    <t>Hillcrest Façade &amp; Roof</t>
  </si>
  <si>
    <t>Stair and walking path repairs</t>
  </si>
  <si>
    <t>Green Burial Phase 1 - to budget</t>
  </si>
  <si>
    <t>Carnegie Drainage/Moisture/Flooring</t>
  </si>
  <si>
    <t>MC Library Masonry</t>
  </si>
  <si>
    <t>BOH Vehcile- SB to discuss first</t>
  </si>
  <si>
    <t>WPCF  Fine Bubble Diffuser</t>
  </si>
  <si>
    <t>WPCF Replace Primary Sludge Pump #2</t>
  </si>
  <si>
    <t>Add'l for WPCF Oil Tank/Vault Removal</t>
  </si>
  <si>
    <t>WPCF Screw Pumps</t>
  </si>
  <si>
    <t xml:space="preserve">Use Cannabis Impact Stabilization </t>
  </si>
  <si>
    <t>Colle RRA</t>
  </si>
  <si>
    <t>Sewer Maintenance</t>
  </si>
  <si>
    <t>Sewer Rehab</t>
  </si>
  <si>
    <t>Transfer FCTS decrease to FCTS Stabilization</t>
  </si>
  <si>
    <t>Records Storage</t>
  </si>
  <si>
    <t>Skateboard Park - Town Share</t>
  </si>
  <si>
    <t>Add'l amts for UE Pay &amp; Class Implement</t>
  </si>
  <si>
    <t>Total Special Articles</t>
  </si>
  <si>
    <t>TOTAL ESTIMATED USES</t>
  </si>
  <si>
    <t>SUMMARY</t>
  </si>
  <si>
    <t>ESTIMATED SHORTFALL</t>
  </si>
  <si>
    <t>Notes:</t>
  </si>
  <si>
    <t>Free</t>
  </si>
  <si>
    <t>Town</t>
  </si>
  <si>
    <t xml:space="preserve">WPCF </t>
  </si>
  <si>
    <t>Sale of</t>
  </si>
  <si>
    <t>Town  Gen</t>
  </si>
  <si>
    <t>% of Total</t>
  </si>
  <si>
    <t>RRA</t>
  </si>
  <si>
    <t>Cash</t>
  </si>
  <si>
    <t>Cap St</t>
  </si>
  <si>
    <t>Stab</t>
  </si>
  <si>
    <t>Ret Earn</t>
  </si>
  <si>
    <t>Real Estate</t>
  </si>
  <si>
    <t>Recommended</t>
  </si>
  <si>
    <t>Town Operating</t>
  </si>
  <si>
    <t>Colle Operating</t>
  </si>
  <si>
    <t>Aiport Operating</t>
  </si>
  <si>
    <t>FCTS Assessment</t>
  </si>
  <si>
    <t>GMRSD Assessment</t>
  </si>
  <si>
    <t xml:space="preserve">Operating Subtotal </t>
  </si>
  <si>
    <t>Surplus/Shortfall</t>
  </si>
  <si>
    <t>Add to GMRSD Stab</t>
  </si>
  <si>
    <t>Add to Town Cap Stab</t>
  </si>
  <si>
    <t>Add to OPEB Trust</t>
  </si>
  <si>
    <t>Add to FCTS Cap Stab</t>
  </si>
  <si>
    <t>Operating + Policies Subtotal</t>
  </si>
  <si>
    <t>Op + Policies + Articles Total</t>
  </si>
  <si>
    <t xml:space="preserve"> Final Surplus/Shortfall</t>
  </si>
  <si>
    <t>General Category : General Government</t>
  </si>
  <si>
    <t>Department</t>
  </si>
  <si>
    <t>Dept # 113</t>
  </si>
  <si>
    <t>Expended</t>
  </si>
  <si>
    <t>thru</t>
  </si>
  <si>
    <t>Level</t>
  </si>
  <si>
    <t>BOS</t>
  </si>
  <si>
    <t>BOS &amp;</t>
  </si>
  <si>
    <t>Services</t>
  </si>
  <si>
    <t>Fin Comm</t>
  </si>
  <si>
    <t>EXPENDITURES</t>
  </si>
  <si>
    <t>Request</t>
  </si>
  <si>
    <t>Moderator</t>
  </si>
  <si>
    <t>TOTAL PERSONAL SERVICES</t>
  </si>
  <si>
    <t>Custodial Services</t>
  </si>
  <si>
    <t>Moderator Seminars</t>
  </si>
  <si>
    <t>Constable/Other ProfTech</t>
  </si>
  <si>
    <t>Postage</t>
  </si>
  <si>
    <t>Office Supplies/Envelopes</t>
  </si>
  <si>
    <t>Food &amp; Drinks</t>
  </si>
  <si>
    <t>Miscellaneous Supply</t>
  </si>
  <si>
    <t>In-State Travel</t>
  </si>
  <si>
    <t>Dues and Memberships</t>
  </si>
  <si>
    <t>TOTAL EXPENSES</t>
  </si>
  <si>
    <t>TOTAL TOWN MEETING</t>
  </si>
  <si>
    <t>$</t>
  </si>
  <si>
    <t>%</t>
  </si>
  <si>
    <t>Change</t>
  </si>
  <si>
    <t>Explanation</t>
  </si>
  <si>
    <t>Office Supplies/envelopes</t>
  </si>
  <si>
    <t>Totals</t>
  </si>
  <si>
    <t xml:space="preserve">Main </t>
  </si>
  <si>
    <t>Dept # 122</t>
  </si>
  <si>
    <t>Wages Full Time</t>
  </si>
  <si>
    <t>Wages Part Time</t>
  </si>
  <si>
    <t>Chair, Selectmen</t>
  </si>
  <si>
    <t>2nd Member</t>
  </si>
  <si>
    <t>3rd Member</t>
  </si>
  <si>
    <t>P/T Temp Wages</t>
  </si>
  <si>
    <t>Cell Phone Stipend</t>
  </si>
  <si>
    <t>Compensatory time Buy-Back</t>
  </si>
  <si>
    <t>Sick Leave Buy-Back</t>
  </si>
  <si>
    <t>Vacation Leave Buy-Back (@7 weeks)</t>
  </si>
  <si>
    <t>Investigation Expense</t>
  </si>
  <si>
    <t>Seminars</t>
  </si>
  <si>
    <t>Other Prof/Tech/Minutes</t>
  </si>
  <si>
    <t>Telephone</t>
  </si>
  <si>
    <t>Advertising</t>
  </si>
  <si>
    <t>Office Supplies</t>
  </si>
  <si>
    <t>Streetscape Maintenance</t>
  </si>
  <si>
    <t>Subscriptions/Books</t>
  </si>
  <si>
    <t>Food</t>
  </si>
  <si>
    <t>Equipment &lt; $5K</t>
  </si>
  <si>
    <t>Travel</t>
  </si>
  <si>
    <t>Dues &amp; Memberships</t>
  </si>
  <si>
    <t>Date of</t>
  </si>
  <si>
    <t>Grade/Step</t>
  </si>
  <si>
    <t>Hourly</t>
  </si>
  <si>
    <t xml:space="preserve">Total </t>
  </si>
  <si>
    <t>Svc</t>
  </si>
  <si>
    <t>Hire</t>
  </si>
  <si>
    <t>Title</t>
  </si>
  <si>
    <t>Rate</t>
  </si>
  <si>
    <t>Hrs</t>
  </si>
  <si>
    <t>Annual</t>
  </si>
  <si>
    <t>DOH</t>
  </si>
  <si>
    <t>Long</t>
  </si>
  <si>
    <t>Town Administrator</t>
  </si>
  <si>
    <t>Asst Town Administrator</t>
  </si>
  <si>
    <t>E10</t>
  </si>
  <si>
    <t>B2</t>
  </si>
  <si>
    <t>Part Time Temp Wages</t>
  </si>
  <si>
    <t>Other Prof/Tech (mtg Minutes for FY18)</t>
  </si>
  <si>
    <t>Dept # 131</t>
  </si>
  <si>
    <t>Printing/Bookbinding</t>
  </si>
  <si>
    <t>Other Professional - Minutes</t>
  </si>
  <si>
    <t>TOTAL FINANCE COMMITTEE</t>
  </si>
  <si>
    <t>Dept # 132</t>
  </si>
  <si>
    <t>TOTAL RESERVE FUND</t>
  </si>
  <si>
    <t>ACCOUNTANT</t>
  </si>
  <si>
    <t>Dept # 135</t>
  </si>
  <si>
    <t>Computer Software Maintenance</t>
  </si>
  <si>
    <t>Office Equipment R &amp; M</t>
  </si>
  <si>
    <t>Software Upgrade - Cloud Based</t>
  </si>
  <si>
    <t xml:space="preserve">Other Prof/Tech </t>
  </si>
  <si>
    <t>Other Prof/Tech (contingency for upgrade)</t>
  </si>
  <si>
    <t>Equipment &lt; $5k</t>
  </si>
  <si>
    <t>TOTAL ACCOUNTANT</t>
  </si>
  <si>
    <t>Staffing - Base Wages excluding Overtime/Shift/Holiday</t>
  </si>
  <si>
    <t>Anniv</t>
  </si>
  <si>
    <t>Date</t>
  </si>
  <si>
    <t>Town Accountant</t>
  </si>
  <si>
    <t>G10</t>
  </si>
  <si>
    <t>Software Upgrade</t>
  </si>
  <si>
    <t>Software maint estimated to increase 3.5%.</t>
  </si>
  <si>
    <t>Seminars to include annual school (300) and What's New in Municpal Law (50)</t>
  </si>
  <si>
    <t>Travel budgeted to accomodate above meetings.</t>
  </si>
  <si>
    <t>Office Supplies detail</t>
  </si>
  <si>
    <t>est cost</t>
  </si>
  <si>
    <t>tax forms</t>
  </si>
  <si>
    <t>Treas now ordering/paying</t>
  </si>
  <si>
    <t>Binders for Perm P/R records</t>
  </si>
  <si>
    <t>4 toners</t>
  </si>
  <si>
    <t>Payroll Reg</t>
  </si>
  <si>
    <t>10 3" binders @$12</t>
  </si>
  <si>
    <t>new printer-toner lower yield</t>
  </si>
  <si>
    <t>Dept p/rs</t>
  </si>
  <si>
    <t>misc - folders, etc</t>
  </si>
  <si>
    <t>PR Warrants</t>
  </si>
  <si>
    <t>Unanticipated</t>
  </si>
  <si>
    <t>Ws, Emp Hx</t>
  </si>
  <si>
    <t>Dept # 141</t>
  </si>
  <si>
    <t>Chair</t>
  </si>
  <si>
    <t>Temporary Wages</t>
  </si>
  <si>
    <t>Vacation Buy Back</t>
  </si>
  <si>
    <t>Sick Leave Buy Back</t>
  </si>
  <si>
    <t>Patriot Software Contract</t>
  </si>
  <si>
    <t>Point Annual Software Maintenance</t>
  </si>
  <si>
    <t>Mapping/GIS/Internet</t>
  </si>
  <si>
    <t>Registry of Deeds</t>
  </si>
  <si>
    <t>Other Professional/Technical</t>
  </si>
  <si>
    <t>Utility Valuation Services</t>
  </si>
  <si>
    <t>Cyclical/Interim Revaluation</t>
  </si>
  <si>
    <t>Abatement Software</t>
  </si>
  <si>
    <t>TOTAL CAPITAL OUTLAY</t>
  </si>
  <si>
    <t>TOTAL BOARD OF ASSESSORS</t>
  </si>
  <si>
    <t>Hours</t>
  </si>
  <si>
    <t>Director of Assessing</t>
  </si>
  <si>
    <t>Assessing Technician</t>
  </si>
  <si>
    <t>B5</t>
  </si>
  <si>
    <t>Utility Appraisal Service</t>
  </si>
  <si>
    <t>CitizenServe 1 license</t>
  </si>
  <si>
    <t>Questions:</t>
  </si>
  <si>
    <t>Summary of duties of municipal assessors:</t>
  </si>
  <si>
    <t>Complete DLS(Department of Revenue Division of Local Services) Course 101</t>
  </si>
  <si>
    <t>Value all real and personal property within the municipality on a fair cash basis. Inspect property sales, implement a cyclical</t>
  </si>
  <si>
    <t>property reinspection program, complete annual property adjustment analysis, and prepare for triennial certification of property</t>
  </si>
  <si>
    <t>values by DLS.</t>
  </si>
  <si>
    <t>Conduct inspections of building permit properties and determin new growth for the levy limit.</t>
  </si>
  <si>
    <t>Fix the annual tax levy and set the tax rate. Participate in the preparation of the Tax Recapitulation Sheet.</t>
  </si>
  <si>
    <t>Establish the annual overlay amount for insertion in the Tax Recap Sheet.</t>
  </si>
  <si>
    <t>Determine any overlay surplus.</t>
  </si>
  <si>
    <t>Assess and administer motor vehicle, farm, and boat excises.</t>
  </si>
  <si>
    <t>Prepare the valuation and commitment list.</t>
  </si>
  <si>
    <t>Commit original and apportioned betterments to the collector.</t>
  </si>
  <si>
    <t>Commit delinquent municipal charges, including water and sewer liens and charges, to tax bills.</t>
  </si>
  <si>
    <t>Sign the commitment under oath and send it with a warrant to the collector.</t>
  </si>
  <si>
    <t>Send a notice of the commitment to the accountant/auditor.</t>
  </si>
  <si>
    <t>Process and act on abatement and exemption applications.</t>
  </si>
  <si>
    <t>Send copies of approved abatement and exemption certificates to the collector and accountant/auditor.</t>
  </si>
  <si>
    <t>Meet all DLS regulatory requirements and assessment administration standards.</t>
  </si>
  <si>
    <t>TREAS/COLLECTOR</t>
  </si>
  <si>
    <t>Dept # 145</t>
  </si>
  <si>
    <t>Additional P/T Hours (see note below)</t>
  </si>
  <si>
    <t>Software Maint, charges</t>
  </si>
  <si>
    <t>Financial Advisor Services</t>
  </si>
  <si>
    <t>Insurance</t>
  </si>
  <si>
    <t>Tax Title Foreclosure</t>
  </si>
  <si>
    <t>TOTAL TREASURER/COLLECTOR</t>
  </si>
  <si>
    <t>Treasurer/Collector</t>
  </si>
  <si>
    <t>Treasurer MGL Ch41:108P Stipend</t>
  </si>
  <si>
    <t>Treasury &amp; Collections Spec (35/wk)</t>
  </si>
  <si>
    <t>B10</t>
  </si>
  <si>
    <t>Assistant Treas/Coll</t>
  </si>
  <si>
    <t>D7</t>
  </si>
  <si>
    <t>Treasury &amp; Collections Spec (20/wk)</t>
  </si>
  <si>
    <t xml:space="preserve">Questions: </t>
  </si>
  <si>
    <t>Dept # 151</t>
  </si>
  <si>
    <t>Labor Negotiations</t>
  </si>
  <si>
    <t>Counsel - Pipeline Legal Exp</t>
  </si>
  <si>
    <t>TOTAL TOWN COUNSEL</t>
  </si>
  <si>
    <t>Information Technology</t>
  </si>
  <si>
    <t>Dept #155</t>
  </si>
  <si>
    <t>IT Administrator Stipend</t>
  </si>
  <si>
    <t>PT Temp</t>
  </si>
  <si>
    <t>TOTAL WAGES</t>
  </si>
  <si>
    <t>IT Consultant</t>
  </si>
  <si>
    <t>Comcast/Crocker DSL Line</t>
  </si>
  <si>
    <t>Office 365 Licenses</t>
  </si>
  <si>
    <t>Miscellaneous Expenses</t>
  </si>
  <si>
    <t>CARES ineligible Exp</t>
  </si>
  <si>
    <t>Equipment &lt;$5K</t>
  </si>
  <si>
    <t>TOTAL</t>
  </si>
  <si>
    <t>ESET Licenses</t>
  </si>
  <si>
    <t>Expire</t>
  </si>
  <si>
    <t>FY</t>
  </si>
  <si>
    <t>E-mail Licenses + 5 server licenses</t>
  </si>
  <si>
    <t>38 workstation + 5 server licenses</t>
  </si>
  <si>
    <t>Other Licenses</t>
  </si>
  <si>
    <t>Adobe either 2 or 4</t>
  </si>
  <si>
    <t>Office 365</t>
  </si>
  <si>
    <t>Dept #159</t>
  </si>
  <si>
    <t>Copier/Duplicator Lease</t>
  </si>
  <si>
    <t xml:space="preserve">Annual Audit </t>
  </si>
  <si>
    <t>Printing Annual Report</t>
  </si>
  <si>
    <t xml:space="preserve">GASB 45 </t>
  </si>
  <si>
    <t>Continuing Disclosure Fee (Debt)</t>
  </si>
  <si>
    <t>Citizen Serve Annual Fees FY20-Dept</t>
  </si>
  <si>
    <t>Shared Telephone Exp</t>
  </si>
  <si>
    <t>DPW, Libraries Crocker vs Verizon</t>
  </si>
  <si>
    <t>Postage Meter Rental</t>
  </si>
  <si>
    <t>Code Red - Price Locked Forever</t>
  </si>
  <si>
    <t>Shared Paper</t>
  </si>
  <si>
    <t>Copier/Duplicator Supplies</t>
  </si>
  <si>
    <t>Citizen Serve Annual Fees (Permits)</t>
  </si>
  <si>
    <t>Note on future audit fees:</t>
  </si>
  <si>
    <t>base fee</t>
  </si>
  <si>
    <t>plus fee for additional Single Audit of 4K</t>
  </si>
  <si>
    <t>Dept # 161</t>
  </si>
  <si>
    <t>2nd Registrar</t>
  </si>
  <si>
    <t>3rd Registrar</t>
  </si>
  <si>
    <t xml:space="preserve">P/T Wages Temp </t>
  </si>
  <si>
    <t>Overtime</t>
  </si>
  <si>
    <t>Sick Leave BuyBack</t>
  </si>
  <si>
    <t>Vacation BuyBack</t>
  </si>
  <si>
    <t>Software and Storage Support</t>
  </si>
  <si>
    <t>Food for Pollworkers</t>
  </si>
  <si>
    <t>Clerk Equip &lt; $2K</t>
  </si>
  <si>
    <t>TOTAL TOWN CLERK</t>
  </si>
  <si>
    <t>Town Clerk</t>
  </si>
  <si>
    <t>Town Clerk BOR Stipend</t>
  </si>
  <si>
    <t>MGL Ch41:19K Stipend</t>
  </si>
  <si>
    <t>Assistant Town Clerk</t>
  </si>
  <si>
    <t>D10</t>
  </si>
  <si>
    <t>PLANNER</t>
  </si>
  <si>
    <t>Dept # 175</t>
  </si>
  <si>
    <t>Software Maintenance</t>
  </si>
  <si>
    <t>Planning Intern through Umass</t>
  </si>
  <si>
    <t>Other Services</t>
  </si>
  <si>
    <t>Equipment &lt; $2K</t>
  </si>
  <si>
    <t>TOTAL PLANNING</t>
  </si>
  <si>
    <t>Staffing</t>
  </si>
  <si>
    <t xml:space="preserve"> Dir Planning &amp; Comm Dev</t>
  </si>
  <si>
    <t>Assistant Planner</t>
  </si>
  <si>
    <t>D6</t>
  </si>
  <si>
    <t>Citizen Serve - 2 licenses</t>
  </si>
  <si>
    <t>Dept # 176</t>
  </si>
  <si>
    <t>Updating Maps</t>
  </si>
  <si>
    <t>TOTAL ZBA</t>
  </si>
  <si>
    <t>General Category: General Government</t>
  </si>
  <si>
    <t>Dept # 182</t>
  </si>
  <si>
    <t>Coordinator Stipend</t>
  </si>
  <si>
    <t>Insurance (Bd Directors)</t>
  </si>
  <si>
    <t>TOTAL MEDIC</t>
  </si>
  <si>
    <t>UTILITIES</t>
  </si>
  <si>
    <t>Dept # 190</t>
  </si>
  <si>
    <t>5211-192</t>
  </si>
  <si>
    <t>Electricity- Town Hall</t>
  </si>
  <si>
    <t>5211-193</t>
  </si>
  <si>
    <t>Electricity - 15 Center St</t>
  </si>
  <si>
    <t>5211-194</t>
  </si>
  <si>
    <t>Electricity Shea</t>
  </si>
  <si>
    <t>5211-211</t>
  </si>
  <si>
    <t>Electricity - Police Station</t>
  </si>
  <si>
    <t>5211-422</t>
  </si>
  <si>
    <t>Electricity- DPW</t>
  </si>
  <si>
    <t>5211-424</t>
  </si>
  <si>
    <t>Electicity - Traffic lights</t>
  </si>
  <si>
    <t>5211-433</t>
  </si>
  <si>
    <t>Electricity-Landfill</t>
  </si>
  <si>
    <t>5211-652</t>
  </si>
  <si>
    <t>Electricity-Unity Park</t>
  </si>
  <si>
    <t>5213-422</t>
  </si>
  <si>
    <t>Heating Oil-DPW</t>
  </si>
  <si>
    <t>5214-192</t>
  </si>
  <si>
    <t>Natural Gas- Town Hall</t>
  </si>
  <si>
    <t>5214-193</t>
  </si>
  <si>
    <t>Propane-15 Center St</t>
  </si>
  <si>
    <t>5214-197</t>
  </si>
  <si>
    <t>Natural Gas - Shea</t>
  </si>
  <si>
    <t>5214-211</t>
  </si>
  <si>
    <t>Natural Gas - Police Station</t>
  </si>
  <si>
    <t>5214-652</t>
  </si>
  <si>
    <t>Natural Gas-Unity Park</t>
  </si>
  <si>
    <t>5231-192</t>
  </si>
  <si>
    <t>Water-Town Hall</t>
  </si>
  <si>
    <t>5231-193</t>
  </si>
  <si>
    <t>Water - 15 Center St</t>
  </si>
  <si>
    <t>5231-194</t>
  </si>
  <si>
    <t>Water - Shea</t>
  </si>
  <si>
    <t>5231-211</t>
  </si>
  <si>
    <t>Water - Police Station</t>
  </si>
  <si>
    <t>5231-422</t>
  </si>
  <si>
    <t>Water-DPW</t>
  </si>
  <si>
    <t>5231-433</t>
  </si>
  <si>
    <t>Water-Landfill</t>
  </si>
  <si>
    <t>5231-652</t>
  </si>
  <si>
    <t>Water-Unity Park</t>
  </si>
  <si>
    <t>5232-192</t>
  </si>
  <si>
    <t>Sewer-Town Hall</t>
  </si>
  <si>
    <t>5232-193</t>
  </si>
  <si>
    <t>Sewer - 15 Center St</t>
  </si>
  <si>
    <t>5232-194</t>
  </si>
  <si>
    <t>Sewer 15 School St</t>
  </si>
  <si>
    <t>5232-211</t>
  </si>
  <si>
    <t>Sewer - Police Station</t>
  </si>
  <si>
    <t>5232-422</t>
  </si>
  <si>
    <t xml:space="preserve">Sewer-DPW </t>
  </si>
  <si>
    <t>5232-541</t>
  </si>
  <si>
    <t>Sewer - 62 5th St</t>
  </si>
  <si>
    <t>5232-652</t>
  </si>
  <si>
    <t>Sewer-Unity Park</t>
  </si>
  <si>
    <t>TOTAL PUBLIC BLDG UTILITIES</t>
  </si>
  <si>
    <t>General Category: Public Safety</t>
  </si>
  <si>
    <t>Dept # 211</t>
  </si>
  <si>
    <t>Salaries Full Time</t>
  </si>
  <si>
    <t>P/T Wages Custodial</t>
  </si>
  <si>
    <t>P/T Wages</t>
  </si>
  <si>
    <t>F/T Wages O/T</t>
  </si>
  <si>
    <t>Court Time</t>
  </si>
  <si>
    <t>Educational Incentive Pay</t>
  </si>
  <si>
    <t>Shift Differential</t>
  </si>
  <si>
    <t>Paid Holidays</t>
  </si>
  <si>
    <t>Cell Phone Stipends</t>
  </si>
  <si>
    <t>K-9 Stipends</t>
  </si>
  <si>
    <t>On-Call Detective Stipend</t>
  </si>
  <si>
    <t>111F Regular Wages</t>
  </si>
  <si>
    <t>111F Incentive Pay</t>
  </si>
  <si>
    <t>111F Holiday Pay</t>
  </si>
  <si>
    <t>Fitness Stipend</t>
  </si>
  <si>
    <t>Vacation/Sick Leave Buyback</t>
  </si>
  <si>
    <t>Training</t>
  </si>
  <si>
    <t>Building R &amp; M</t>
  </si>
  <si>
    <t>Leases/Support/Contracts</t>
  </si>
  <si>
    <t>Equipment R &amp; M</t>
  </si>
  <si>
    <t>Generator Maintenance &amp; Fuel</t>
  </si>
  <si>
    <t>Seminars/Training</t>
  </si>
  <si>
    <t>Police Academy Expenses</t>
  </si>
  <si>
    <t>Meals For Prisoners</t>
  </si>
  <si>
    <t>Dry Cleaning</t>
  </si>
  <si>
    <t>Cleaning Supplies</t>
  </si>
  <si>
    <t>Vehicle Supplies &amp; Maintenance</t>
  </si>
  <si>
    <t>Gasoline</t>
  </si>
  <si>
    <t>Drug Investigation</t>
  </si>
  <si>
    <t>Other Supplies</t>
  </si>
  <si>
    <t>Uniforms/Clothing</t>
  </si>
  <si>
    <t>Ammunition</t>
  </si>
  <si>
    <t>CARES Ineligible Exp</t>
  </si>
  <si>
    <t>Incent</t>
  </si>
  <si>
    <t>Days/Hrs</t>
  </si>
  <si>
    <t>Incentive</t>
  </si>
  <si>
    <t xml:space="preserve">I10* </t>
  </si>
  <si>
    <t>Lieutenant Bonnett</t>
  </si>
  <si>
    <t>G+8.5%/10</t>
  </si>
  <si>
    <t xml:space="preserve">Staff Sgt Deery </t>
  </si>
  <si>
    <t>SS5</t>
  </si>
  <si>
    <t>Sgt Dempsey</t>
  </si>
  <si>
    <t>S5</t>
  </si>
  <si>
    <t>Sgt Hoffman</t>
  </si>
  <si>
    <t>Sgt Lapachinski</t>
  </si>
  <si>
    <t xml:space="preserve">Detective Lapean </t>
  </si>
  <si>
    <t>D8</t>
  </si>
  <si>
    <t>Detective  Moody</t>
  </si>
  <si>
    <t>Patrolman Miner (GM SRO)</t>
  </si>
  <si>
    <t>P8</t>
  </si>
  <si>
    <t>Patrolman Sevene (FCTS SRO)</t>
  </si>
  <si>
    <t xml:space="preserve">K9 Patrolman Ruddock </t>
  </si>
  <si>
    <t>Patrolman Holland</t>
  </si>
  <si>
    <t>Patrolman Pervere</t>
  </si>
  <si>
    <t>Patrolman Dobosz</t>
  </si>
  <si>
    <t xml:space="preserve">Patrolman Wells </t>
  </si>
  <si>
    <t>Patrolman Williams</t>
  </si>
  <si>
    <t xml:space="preserve"> </t>
  </si>
  <si>
    <t>Travel/Seminars</t>
  </si>
  <si>
    <t>Cell phone stipend</t>
  </si>
  <si>
    <t>TFFD Shift</t>
  </si>
  <si>
    <t>Unused Vacation Buy Back</t>
  </si>
  <si>
    <t>Unused Sick Leave Buy Back</t>
  </si>
  <si>
    <t>EMD Services - MedCare</t>
  </si>
  <si>
    <t>TOTAL DISPATCH</t>
  </si>
  <si>
    <t>Hrly</t>
  </si>
  <si>
    <t>Rate #1</t>
  </si>
  <si>
    <t>Full-Time</t>
  </si>
  <si>
    <t>Dispatch Supervisor/Office Adm MO</t>
  </si>
  <si>
    <t>7/1/21</t>
  </si>
  <si>
    <t>Communications Officer F/T RW</t>
  </si>
  <si>
    <t>D3</t>
  </si>
  <si>
    <t>11/1/19</t>
  </si>
  <si>
    <t>Communications Officer F/T TH</t>
  </si>
  <si>
    <t>8/22/16</t>
  </si>
  <si>
    <t>Communications Officer F/T SC</t>
  </si>
  <si>
    <t>Communications Officer F/T GD</t>
  </si>
  <si>
    <t>11/13/21</t>
  </si>
  <si>
    <t>Communications Officer F/T AM</t>
  </si>
  <si>
    <t>D2</t>
  </si>
  <si>
    <t>BUILDING DEPT</t>
  </si>
  <si>
    <t>Dept # 241</t>
  </si>
  <si>
    <t>P/T Wages Temp</t>
  </si>
  <si>
    <t>P/T Wages Building Inspector</t>
  </si>
  <si>
    <t>P/T Wages Gas Inspector</t>
  </si>
  <si>
    <t>P/T Wages Plumbing Inspector</t>
  </si>
  <si>
    <t>P/T Wages Electrical Inspector</t>
  </si>
  <si>
    <t>Telephone/Ipad service</t>
  </si>
  <si>
    <t>2 Ipads</t>
  </si>
  <si>
    <t>TOTAL BUILDING INSPECTOR</t>
  </si>
  <si>
    <t>Rate #2</t>
  </si>
  <si>
    <t>Building Admin Asst</t>
  </si>
  <si>
    <t>Citizen Serve 4 licenses</t>
  </si>
  <si>
    <t>SEALER OF WEIGHTS</t>
  </si>
  <si>
    <t>Dept # 244</t>
  </si>
  <si>
    <t>Professional/Technical</t>
  </si>
  <si>
    <t>TOTAL SEALER OF WEIGHTS</t>
  </si>
  <si>
    <t>EMERGENCY MGMT</t>
  </si>
  <si>
    <t>Dept # 291</t>
  </si>
  <si>
    <t>Stipend - EM Director</t>
  </si>
  <si>
    <t>FRCOG REPC Assessment</t>
  </si>
  <si>
    <t>Supplies</t>
  </si>
  <si>
    <t>TOTAL EMERGENCY MGMT</t>
  </si>
  <si>
    <t>P/T Salaries - EM Director</t>
  </si>
  <si>
    <t>Dept # 292</t>
  </si>
  <si>
    <t>Software Program Support</t>
  </si>
  <si>
    <t>FC Sheriff's fee to run shelter</t>
  </si>
  <si>
    <t>Medical - Vet</t>
  </si>
  <si>
    <t>Poster Distribution</t>
  </si>
  <si>
    <t>Shared Animal Control Officer</t>
  </si>
  <si>
    <t>Office Supplies-Tags/Licenses</t>
  </si>
  <si>
    <t>Montague Share ACO Vehicle</t>
  </si>
  <si>
    <t>Dept # 294</t>
  </si>
  <si>
    <t>P/T Wages Forest Warden</t>
  </si>
  <si>
    <t>Dept # 299</t>
  </si>
  <si>
    <t>Elected Officials</t>
  </si>
  <si>
    <t>Tree Removal &amp; Trimming</t>
  </si>
  <si>
    <t>Trees and related supplies</t>
  </si>
  <si>
    <t>TOTAL TREE WARDEN</t>
  </si>
  <si>
    <t>Tree Removal</t>
  </si>
  <si>
    <t>General Category</t>
  </si>
  <si>
    <t>Dept # 300</t>
  </si>
  <si>
    <t>Franklin Cty Tech School</t>
  </si>
  <si>
    <t>Franklin Cty Tech School Capital</t>
  </si>
  <si>
    <t>TOTAL FRANKLIN TECH</t>
  </si>
  <si>
    <t>5322-003</t>
  </si>
  <si>
    <t xml:space="preserve">GMRSD </t>
  </si>
  <si>
    <t>TOTAL GILL-MONTAGUE</t>
  </si>
  <si>
    <t>Out of District Tech Transport</t>
  </si>
  <si>
    <t xml:space="preserve">FCTS: Note policy of using a three year rolling average enrollment multiplied by the current year (as opposed to budget year) per-student cost to </t>
  </si>
  <si>
    <t>determine the expected assessment, and transferring any difference in excess of $10,000 to or from the Franklin County Tech School Stabilization Fund.</t>
  </si>
  <si>
    <t>FY15</t>
  </si>
  <si>
    <t>General Category: Public Works</t>
  </si>
  <si>
    <t>DPW COMBINED</t>
  </si>
  <si>
    <t>Dept # 420</t>
  </si>
  <si>
    <t xml:space="preserve">F/T Wages </t>
  </si>
  <si>
    <t xml:space="preserve">Part Time Temp Wages </t>
  </si>
  <si>
    <t>F/T Wages OT</t>
  </si>
  <si>
    <t>Siemens annual monitoring</t>
  </si>
  <si>
    <t>Buildings R &amp; M</t>
  </si>
  <si>
    <t>HVAC R &amp; M</t>
  </si>
  <si>
    <t>Vehicles R &amp; M</t>
  </si>
  <si>
    <t>Computer R &amp; M/Support</t>
  </si>
  <si>
    <t>Other Equipment R &amp; M</t>
  </si>
  <si>
    <t>Rental/Lease Vehicles</t>
  </si>
  <si>
    <t>Uniform Rental/Cleaning</t>
  </si>
  <si>
    <t>DOT Testing</t>
  </si>
  <si>
    <t>Other Professional &amp; Technical</t>
  </si>
  <si>
    <t>Street Line Painting</t>
  </si>
  <si>
    <t>Telephone/Internet/Pagers</t>
  </si>
  <si>
    <t>Building R &amp; M Supplies</t>
  </si>
  <si>
    <t>Electrical</t>
  </si>
  <si>
    <t>Hand Tools</t>
  </si>
  <si>
    <t>Oil &amp; Lubricants</t>
  </si>
  <si>
    <t>Misc. Parts &amp; Accessories</t>
  </si>
  <si>
    <t>Groundskeeping Supplies</t>
  </si>
  <si>
    <t>Diesel</t>
  </si>
  <si>
    <t>Vehicle Parts &amp; Accessories</t>
  </si>
  <si>
    <t>Medical Supplies</t>
  </si>
  <si>
    <t>Public Works Supplies</t>
  </si>
  <si>
    <t>Sidewalk Materials</t>
  </si>
  <si>
    <t>Trees</t>
  </si>
  <si>
    <t>Dues/Memberships</t>
  </si>
  <si>
    <t>Hoister &amp; Other Licenses</t>
  </si>
  <si>
    <t>Superintendent                          TB</t>
  </si>
  <si>
    <t>H10</t>
  </si>
  <si>
    <t>Office Manager                         BP</t>
  </si>
  <si>
    <t>E7</t>
  </si>
  <si>
    <t>Working Foreman                      WS</t>
  </si>
  <si>
    <t>Shop Foreman                          DR</t>
  </si>
  <si>
    <t xml:space="preserve">Lead Mechanic                        MN  </t>
  </si>
  <si>
    <t>D4</t>
  </si>
  <si>
    <t>Building Maintenenance           JW</t>
  </si>
  <si>
    <t>C10</t>
  </si>
  <si>
    <t>A10</t>
  </si>
  <si>
    <t>Grounds Maintenance               JK</t>
  </si>
  <si>
    <t>C2</t>
  </si>
  <si>
    <t>Landfill Assistant 14 hrs/wk       DW</t>
  </si>
  <si>
    <t xml:space="preserve">Heavy Equipment Oper             DA          </t>
  </si>
  <si>
    <t>Heavy Equipment Oper              JD</t>
  </si>
  <si>
    <t>D5</t>
  </si>
  <si>
    <t>C4</t>
  </si>
  <si>
    <t xml:space="preserve">Truck Driver/Laborer                </t>
  </si>
  <si>
    <t>Truck Driver/Laborer                 BH</t>
  </si>
  <si>
    <t xml:space="preserve">4 day schedule week </t>
  </si>
  <si>
    <t>A few notes about the DPW Budgets:</t>
  </si>
  <si>
    <t>·        The Department 420 is a summary tab that combines 192 (Public Buildings Maintenance, 422 Streets) and 652 (Parks). Wages for all DPW employees are shown on the bottom of this page, but the individual wages are budgeted in the appropriate tab. One can track the individuals budgeted in each subgroup by following the cell references in the budgeted wages.</t>
  </si>
  <si>
    <t>·        The wages for the part-time Landfill Assistant appear in Department 433, Solid Waste.</t>
  </si>
  <si>
    <t>·        Budgets for departments 192 and 652 each have 3 full-time employees.</t>
  </si>
  <si>
    <t>·        The budget for Department 422 includes wages for 11 full-time employees.</t>
  </si>
  <si>
    <t xml:space="preserve">Potential point of interest. Tom wants 2 more FT staff for tree work at an est cost of $60k/yr each. MD Tree charges $1100/day for tree work. We've been paying for about 15 days/years. </t>
  </si>
  <si>
    <t xml:space="preserve">Is it worth considering spending an extra $45K a year for 8 more full weeks of tree work (totalling 11 weeks) to catch up on the backlog without permanently increasing the budget? </t>
  </si>
  <si>
    <t>Main 440</t>
  </si>
  <si>
    <t>PUBLIC BUILDINGS</t>
  </si>
  <si>
    <t>Dept # 192</t>
  </si>
  <si>
    <t>F/T Wages</t>
  </si>
  <si>
    <t>HVAC Equip R &amp; M</t>
  </si>
  <si>
    <t>TOTAL PUBLIC BUILDINGS</t>
  </si>
  <si>
    <t>CONSTRUCTION/MAINTENANCE</t>
  </si>
  <si>
    <t>Dept # 422</t>
  </si>
  <si>
    <t>Shift Differential incl Beeper Pay 07+</t>
  </si>
  <si>
    <t>Computer R&amp; M/ Support</t>
  </si>
  <si>
    <t>Uniform Rental/Ceaning</t>
  </si>
  <si>
    <t>Electrical Supplies</t>
  </si>
  <si>
    <t>Tools</t>
  </si>
  <si>
    <t>Equip &lt; $5K</t>
  </si>
  <si>
    <t>Flail Mower Lease FY18-22, Vactor 23-26</t>
  </si>
  <si>
    <t>TOTAL CONSTRUCTION/MAINT</t>
  </si>
  <si>
    <t>Flail Mower Lease</t>
  </si>
  <si>
    <t>PARKS</t>
  </si>
  <si>
    <t>Dept # 652</t>
  </si>
  <si>
    <t xml:space="preserve">F/T Wages OT </t>
  </si>
  <si>
    <t>Other Prof/Tech</t>
  </si>
  <si>
    <t>TOTAL PARKS</t>
  </si>
  <si>
    <t>Dept # 423</t>
  </si>
  <si>
    <t>Wages P/T Temp</t>
  </si>
  <si>
    <t>Pager Pay</t>
  </si>
  <si>
    <t>Salt</t>
  </si>
  <si>
    <t>Sand</t>
  </si>
  <si>
    <t>Plow Items</t>
  </si>
  <si>
    <t>TOTAL SNOW &amp; ICE</t>
  </si>
  <si>
    <t>$8K Res Fund Trans</t>
  </si>
  <si>
    <t>MGL Chapter 44, section 31D states that snow and ice budgets may be overspent in an emergency provided that the current budget equals or exceeds the prior year's budget. There is no requirement to increase the budget.</t>
  </si>
  <si>
    <t>Dept # 433</t>
  </si>
  <si>
    <t>CO Review</t>
  </si>
  <si>
    <t>Reallocate</t>
  </si>
  <si>
    <t>Line Items</t>
  </si>
  <si>
    <t>Solid Waste Removal - Republic</t>
  </si>
  <si>
    <t>Recyclables Removal - Republic</t>
  </si>
  <si>
    <t>Bulky Waste Removal</t>
  </si>
  <si>
    <t>Household Hazardous Waste</t>
  </si>
  <si>
    <t>Landfill Monitoring</t>
  </si>
  <si>
    <t>Tipping Fees (split from 5280)</t>
  </si>
  <si>
    <t>Recyclables - Non Republic</t>
  </si>
  <si>
    <t>Recycle Ctr Permit/Inspection</t>
  </si>
  <si>
    <t>Other Expenses</t>
  </si>
  <si>
    <t>TOTAL SOLID WASTE</t>
  </si>
  <si>
    <t>Solid Waste Removal</t>
  </si>
  <si>
    <t>Recyclables Removal</t>
  </si>
  <si>
    <t>Solid Waste Tipping Fees</t>
  </si>
  <si>
    <t>Charging Stations</t>
  </si>
  <si>
    <t>Dept # 480</t>
  </si>
  <si>
    <t>Electricity</t>
  </si>
  <si>
    <t>Network Service Fee</t>
  </si>
  <si>
    <t>Station Warranty</t>
  </si>
  <si>
    <t>TOTAL CHARGING STATIONS</t>
  </si>
  <si>
    <t>Dept # 491</t>
  </si>
  <si>
    <t>Grounds R &amp; M</t>
  </si>
  <si>
    <t>Green Cemetery Start up</t>
  </si>
  <si>
    <t>Capital Outlay</t>
  </si>
  <si>
    <t>TOTAL CEMETERY</t>
  </si>
  <si>
    <t>Green Cemetery Startup</t>
  </si>
  <si>
    <t>General Category: Human Services</t>
  </si>
  <si>
    <t>Dept # 511</t>
  </si>
  <si>
    <t xml:space="preserve">Wages Full Time </t>
  </si>
  <si>
    <t>P/T Health Inspector@ 25 hrs</t>
  </si>
  <si>
    <t>Animal Inspector</t>
  </si>
  <si>
    <t xml:space="preserve">Barn Inspector </t>
  </si>
  <si>
    <t>Burial Agent</t>
  </si>
  <si>
    <t>Medical Services</t>
  </si>
  <si>
    <t>Public Health Nurse Service</t>
  </si>
  <si>
    <t>Telephone/Tablet data packages</t>
  </si>
  <si>
    <r>
      <t xml:space="preserve">Citizen Serve </t>
    </r>
    <r>
      <rPr>
        <strike/>
        <sz val="10"/>
        <rFont val="Arial"/>
        <family val="2"/>
      </rPr>
      <t>3</t>
    </r>
    <r>
      <rPr>
        <sz val="10"/>
        <rFont val="Arial"/>
        <family val="2"/>
      </rPr>
      <t xml:space="preserve"> licenses-2 for FY21</t>
    </r>
  </si>
  <si>
    <t>Other Purchased Services</t>
  </si>
  <si>
    <t>TOTAL EXPENSE</t>
  </si>
  <si>
    <t>TOTAL BOARD OF HEALTH</t>
  </si>
  <si>
    <t>Director of Health</t>
  </si>
  <si>
    <t>Admin Asst</t>
  </si>
  <si>
    <t>Clerk (17.5 hrs )</t>
  </si>
  <si>
    <t>CitizenServe 3 licenses</t>
  </si>
  <si>
    <t>Miscellaneous</t>
  </si>
  <si>
    <t>Dept # 541</t>
  </si>
  <si>
    <t xml:space="preserve">Council on Aging Director </t>
  </si>
  <si>
    <t>Natural Gas</t>
  </si>
  <si>
    <t>Water</t>
  </si>
  <si>
    <t xml:space="preserve">Custodial Services </t>
  </si>
  <si>
    <t>TOTAL COUNCIL ON AGING</t>
  </si>
  <si>
    <t>Director increase from 17 to 21 hrs/wk)</t>
  </si>
  <si>
    <t>F8</t>
  </si>
  <si>
    <t>F10</t>
  </si>
  <si>
    <t>M-Th</t>
  </si>
  <si>
    <t>Custodial Services (16 hrs/wk)</t>
  </si>
  <si>
    <t>`</t>
  </si>
  <si>
    <t>VETERANS</t>
  </si>
  <si>
    <t>Dept # 543</t>
  </si>
  <si>
    <t>Ordinary Assistance</t>
  </si>
  <si>
    <t>Care &amp; Registration of Graves</t>
  </si>
  <si>
    <t>Burials</t>
  </si>
  <si>
    <t>TOTAL VETERANS</t>
  </si>
  <si>
    <t>General Category: Culture &amp; Recreation</t>
  </si>
  <si>
    <t>Dept # 610</t>
  </si>
  <si>
    <t>Wages - Substitutes</t>
  </si>
  <si>
    <t>Heating Oil</t>
  </si>
  <si>
    <t xml:space="preserve">Bldg R &amp; M </t>
  </si>
  <si>
    <t>Alarm Monitoring</t>
  </si>
  <si>
    <t xml:space="preserve">CWMARS </t>
  </si>
  <si>
    <t>Internet Connection</t>
  </si>
  <si>
    <t>Recreation Programs</t>
  </si>
  <si>
    <t>Book delivery to branches</t>
  </si>
  <si>
    <t>PO Box Rental</t>
  </si>
  <si>
    <t>Media</t>
  </si>
  <si>
    <t>TOTAL LIBRARIES</t>
  </si>
  <si>
    <t>Library Director</t>
  </si>
  <si>
    <t>Children's Librarian A R-L</t>
  </si>
  <si>
    <t>Admin Support Stipend</t>
  </si>
  <si>
    <t>Library Technician  KL 9/10/18</t>
  </si>
  <si>
    <t>B7</t>
  </si>
  <si>
    <t>A2</t>
  </si>
  <si>
    <t>A5</t>
  </si>
  <si>
    <t>A4</t>
  </si>
  <si>
    <t>A7</t>
  </si>
  <si>
    <t>Computer R &amp; M</t>
  </si>
  <si>
    <t>Internet</t>
  </si>
  <si>
    <t>Book Delivery</t>
  </si>
  <si>
    <t>RECREATION</t>
  </si>
  <si>
    <t>Dept # 630</t>
  </si>
  <si>
    <t>Director of Parks &amp; Recreation</t>
  </si>
  <si>
    <t>Facilities/Grounds R&amp;M</t>
  </si>
  <si>
    <t>Pool Expenses - GMRSD</t>
  </si>
  <si>
    <t>Administrative Exp</t>
  </si>
  <si>
    <t>Copier Lease/Equip R&amp;M</t>
  </si>
  <si>
    <t>Playground Surface Materials</t>
  </si>
  <si>
    <t>Exp from Revolving fund</t>
  </si>
  <si>
    <t>Daily/Hrly</t>
  </si>
  <si>
    <t>Director of Parks &amp; Recreation (days)</t>
  </si>
  <si>
    <t>Clerk 20 hrs</t>
  </si>
  <si>
    <t>Historical Commission</t>
  </si>
  <si>
    <t>Dept # 691</t>
  </si>
  <si>
    <t>Miscellaneous Supplies</t>
  </si>
  <si>
    <t>TOTAL HISTORICAL COMMISSION</t>
  </si>
  <si>
    <t>#693</t>
  </si>
  <si>
    <t>TOTAL WAR MEMORIALS</t>
  </si>
  <si>
    <t>General Category: Debt Service</t>
  </si>
  <si>
    <t>DEBT</t>
  </si>
  <si>
    <t>Dept # 700</t>
  </si>
  <si>
    <t>FY25</t>
  </si>
  <si>
    <t>FY26</t>
  </si>
  <si>
    <t>FY27</t>
  </si>
  <si>
    <t>FY28</t>
  </si>
  <si>
    <t>FY29</t>
  </si>
  <si>
    <t>FY30</t>
  </si>
  <si>
    <t>FY31</t>
  </si>
  <si>
    <t>FY32</t>
  </si>
  <si>
    <t>FY33</t>
  </si>
  <si>
    <t>FY34</t>
  </si>
  <si>
    <t>FY35</t>
  </si>
  <si>
    <t>FY36</t>
  </si>
  <si>
    <t>FY37</t>
  </si>
  <si>
    <t>FY38</t>
  </si>
  <si>
    <t>FY39</t>
  </si>
  <si>
    <t>FY40</t>
  </si>
  <si>
    <t>FY41</t>
  </si>
  <si>
    <t>FY42</t>
  </si>
  <si>
    <t>FY43</t>
  </si>
  <si>
    <t>FY44</t>
  </si>
  <si>
    <t>FY45</t>
  </si>
  <si>
    <t>FY46</t>
  </si>
  <si>
    <t>FY47</t>
  </si>
  <si>
    <t>FY48</t>
  </si>
  <si>
    <t>FY49</t>
  </si>
  <si>
    <t>FY50</t>
  </si>
  <si>
    <t>Long Term Principal</t>
  </si>
  <si>
    <t>FSA General Obligation Bond</t>
  </si>
  <si>
    <t>Multi-Purpose 2006</t>
  </si>
  <si>
    <t>Police Station 11/15/09</t>
  </si>
  <si>
    <t>CSO MWPAT #05-22 $957,448</t>
  </si>
  <si>
    <t>CSO MWPAT #05-22A $1,911,052</t>
  </si>
  <si>
    <t>CSO USDA #91-16 $1,024,000</t>
  </si>
  <si>
    <t>CSO USDA #92-18 $958,000</t>
  </si>
  <si>
    <t>6/2/07 Montague Center Roof $95,475</t>
  </si>
  <si>
    <t>BAN paydown Sheffield Roof</t>
  </si>
  <si>
    <t>FRCOG Brownfields Loan Principal</t>
  </si>
  <si>
    <t>Final PSF Prinicpal $103,000</t>
  </si>
  <si>
    <t>Sheffield Roof</t>
  </si>
  <si>
    <t>Sheffield Parking Lot</t>
  </si>
  <si>
    <t>Skateboard Park</t>
  </si>
  <si>
    <t>#2 5/3/14 MF Soil Stab. $81,679</t>
  </si>
  <si>
    <t>Town Share $22 5/7/16 Siphon</t>
  </si>
  <si>
    <t>#1 3/29/18 DPW Facility 1st Debt</t>
  </si>
  <si>
    <t>#1 3/29/18 DPW Facility 2nd Debt</t>
  </si>
  <si>
    <t>#1 3/29/18 DPW Facility Final Debt</t>
  </si>
  <si>
    <t>#28 5/7/16 Strathmore Abatement</t>
  </si>
  <si>
    <t>Total Principal</t>
  </si>
  <si>
    <t>Amount retired in 10 years</t>
  </si>
  <si>
    <t>Long Term Interest</t>
  </si>
  <si>
    <t>% retired in 10 years</t>
  </si>
  <si>
    <t>5930-100</t>
  </si>
  <si>
    <t>CSO MWPAT #05-22 $957,448 Adm</t>
  </si>
  <si>
    <t>5931-100</t>
  </si>
  <si>
    <t>CSO MWPAT #05-22A $1,911,052 Adm</t>
  </si>
  <si>
    <t>FRCOG Brownfields Loan Interest</t>
  </si>
  <si>
    <t>Final PSF Interest $103,000</t>
  </si>
  <si>
    <t>#2 5/3/14 MF Soil Stab #81,679</t>
  </si>
  <si>
    <t>Town Share #22 5/7/16 Siphon</t>
  </si>
  <si>
    <t>752-5920</t>
  </si>
  <si>
    <t>S/T Interest Police Station</t>
  </si>
  <si>
    <t>752-5922</t>
  </si>
  <si>
    <t>Interest on ST notes for DPW Facility</t>
  </si>
  <si>
    <t>752-5925</t>
  </si>
  <si>
    <t>Interest on Short Term Notes</t>
  </si>
  <si>
    <t>Short Term Interest</t>
  </si>
  <si>
    <t>TOTAL DEBT</t>
  </si>
  <si>
    <t>General Category: Intergovernmental</t>
  </si>
  <si>
    <t>INTERGOVERNMENT</t>
  </si>
  <si>
    <t>Dept # 840</t>
  </si>
  <si>
    <t>Franklin Regional Council Govts (FRCOG)</t>
  </si>
  <si>
    <t>FRCOG Emerg Communications</t>
  </si>
  <si>
    <t>FCSWMD</t>
  </si>
  <si>
    <t>FRCOG REPC</t>
  </si>
  <si>
    <t>Veterans' District</t>
  </si>
  <si>
    <t>TOTAL INTERGOVERNMENTAL</t>
  </si>
  <si>
    <t>Franklin Regional Council Govts</t>
  </si>
  <si>
    <t>General Category: Miscellaneous</t>
  </si>
  <si>
    <t>Dept # 910</t>
  </si>
  <si>
    <t>Non-Contrib Retirement</t>
  </si>
  <si>
    <t xml:space="preserve">Retirement </t>
  </si>
  <si>
    <t>Workers' Compensation</t>
  </si>
  <si>
    <t>Unemployment Compensation</t>
  </si>
  <si>
    <t>Health Insurance</t>
  </si>
  <si>
    <t>Life Insurance</t>
  </si>
  <si>
    <t>Medicare</t>
  </si>
  <si>
    <t>Ret HIns Other Towns</t>
  </si>
  <si>
    <t>TOTAL EMPLOYEE BENEFITS</t>
  </si>
  <si>
    <t>INSURANCE</t>
  </si>
  <si>
    <t>Dept # 946</t>
  </si>
  <si>
    <t>General Insurance</t>
  </si>
  <si>
    <t>Property, Inland Marine, Crime</t>
  </si>
  <si>
    <t>Auto Fleet</t>
  </si>
  <si>
    <t>Boiler &amp; Machinery</t>
  </si>
  <si>
    <t>Inland Marine</t>
  </si>
  <si>
    <t>Liability</t>
  </si>
  <si>
    <t>Public Officials</t>
  </si>
  <si>
    <t>Umbrella Insurance</t>
  </si>
  <si>
    <t>Employee Assistance Program</t>
  </si>
  <si>
    <t>Law Enforcement</t>
  </si>
  <si>
    <t>TOTAL GENERAL INSURANCE</t>
  </si>
  <si>
    <t>COLLE RRA</t>
  </si>
  <si>
    <t>Dept #228-183</t>
  </si>
  <si>
    <t>FY19 Kearsarge</t>
  </si>
  <si>
    <t>2006 Bond Prinicpal</t>
  </si>
  <si>
    <t>2006 Bond Interest</t>
  </si>
  <si>
    <t>Trans to General Fund (PY Res Fd Trans)</t>
  </si>
  <si>
    <t>TOTAL COLLE</t>
  </si>
  <si>
    <t>FOR FY20 Actual, include amounts transferred to CARES grant for gen operating</t>
  </si>
  <si>
    <t>Dept # 482</t>
  </si>
  <si>
    <t>Adj for RE &amp;</t>
  </si>
  <si>
    <t>internal trans</t>
  </si>
  <si>
    <t>CARES</t>
  </si>
  <si>
    <t>PT FCTS Intern</t>
  </si>
  <si>
    <t>Full Time Overtime</t>
  </si>
  <si>
    <t>Fuel Oil (House)</t>
  </si>
  <si>
    <t>Building &amp; Grounds R &amp; M</t>
  </si>
  <si>
    <t>Beacon Lights R &amp; M</t>
  </si>
  <si>
    <t>Snow Removal Services</t>
  </si>
  <si>
    <t>Telephone/Internet</t>
  </si>
  <si>
    <t>House Expense</t>
  </si>
  <si>
    <t>Clothing Allowance</t>
  </si>
  <si>
    <t>Dues</t>
  </si>
  <si>
    <t>Town Overhead</t>
  </si>
  <si>
    <t>Revenue Estimates &amp; details</t>
  </si>
  <si>
    <t>Projected Income</t>
  </si>
  <si>
    <t>Grant for Debt</t>
  </si>
  <si>
    <t>Total Rev</t>
  </si>
  <si>
    <t>Excess</t>
  </si>
  <si>
    <t>General Category: Public Works - Airport</t>
  </si>
  <si>
    <t>Airport DEBT</t>
  </si>
  <si>
    <t>Dept # 600-700</t>
  </si>
  <si>
    <t>710-5901</t>
  </si>
  <si>
    <t>Purchase Pioneer Aviation</t>
  </si>
  <si>
    <t>710-5902</t>
  </si>
  <si>
    <t>Fuel Pump Upgrade</t>
  </si>
  <si>
    <t>751-5901</t>
  </si>
  <si>
    <t>751-5902</t>
  </si>
  <si>
    <t>TOTAL WPCF DEBT</t>
  </si>
  <si>
    <t>Airport BENEFITS</t>
  </si>
  <si>
    <t>Dept # 600-910</t>
  </si>
  <si>
    <t>TOTAL WPCF BENEFITS</t>
  </si>
  <si>
    <t>General Category: Public Works - WPCF</t>
  </si>
  <si>
    <t>Dept # 661-440</t>
  </si>
  <si>
    <t xml:space="preserve">Request </t>
  </si>
  <si>
    <t>Regular Wages</t>
  </si>
  <si>
    <t>Other Wages</t>
  </si>
  <si>
    <t>Electricity TP</t>
  </si>
  <si>
    <t>Electricity PS</t>
  </si>
  <si>
    <t xml:space="preserve">Heating Oil </t>
  </si>
  <si>
    <t>Solid Waste Disposal</t>
  </si>
  <si>
    <t>Professional Services</t>
  </si>
  <si>
    <t>Contracted Lab</t>
  </si>
  <si>
    <t>Industrial Pretreatment</t>
  </si>
  <si>
    <t>Professional Development</t>
  </si>
  <si>
    <t xml:space="preserve">Grounds </t>
  </si>
  <si>
    <t xml:space="preserve">Buildings </t>
  </si>
  <si>
    <t>HVAC</t>
  </si>
  <si>
    <t>Preliminary Equip/Headworks</t>
  </si>
  <si>
    <t>Secondary Equipment</t>
  </si>
  <si>
    <t>Preliminary Equipment</t>
  </si>
  <si>
    <t>Septage Handling</t>
  </si>
  <si>
    <t>Odor Control</t>
  </si>
  <si>
    <t>Communications</t>
  </si>
  <si>
    <t>Chlorination</t>
  </si>
  <si>
    <t>CSO</t>
  </si>
  <si>
    <t>Other operational Supplies</t>
  </si>
  <si>
    <t>Chemicals (orig budg incl in 5280, 5440)</t>
  </si>
  <si>
    <t>Millers Falls Assessment</t>
  </si>
  <si>
    <t>Millers Falls Overage Charge</t>
  </si>
  <si>
    <t>Industrial Park Emergency</t>
  </si>
  <si>
    <t>Budgeted Surplus</t>
  </si>
  <si>
    <t>ideally s/b $122,453</t>
  </si>
  <si>
    <t>Screw Pump Lease Payment</t>
  </si>
  <si>
    <t>Proposed Staffing</t>
  </si>
  <si>
    <t>Annual/Hrly</t>
  </si>
  <si>
    <t>Wks/Hrs</t>
  </si>
  <si>
    <t>Superintendent                              CL</t>
  </si>
  <si>
    <t>WPCF Foreman                            TL</t>
  </si>
  <si>
    <t>Lead Operator                                AK</t>
  </si>
  <si>
    <t>Laboratory Manager                      ND</t>
  </si>
  <si>
    <t>Note: Verizon Wireless pays for 2 cell phones (used by on call staff instead of pagers) and the service for the tablet (used in the field)</t>
  </si>
  <si>
    <t>Dept # 661-449</t>
  </si>
  <si>
    <t>Other Repairs</t>
  </si>
  <si>
    <t>Collection System</t>
  </si>
  <si>
    <t>Easements</t>
  </si>
  <si>
    <t>Other Equipment</t>
  </si>
  <si>
    <t>Engineering/Architectual</t>
  </si>
  <si>
    <t>Misc. Parts/Accessories</t>
  </si>
  <si>
    <t>TOTAL WPCF HWY SUBSIDIARY</t>
  </si>
  <si>
    <t>Dept # 661-700</t>
  </si>
  <si>
    <t>710-5912</t>
  </si>
  <si>
    <t>$589,000 6-15-03 Multi Article</t>
  </si>
  <si>
    <t>710-5913</t>
  </si>
  <si>
    <t>Acquire 46 Greenfield Rd</t>
  </si>
  <si>
    <t>710-5915</t>
  </si>
  <si>
    <t>CSO MWPAT #01-33 $179,059</t>
  </si>
  <si>
    <t>710-5919</t>
  </si>
  <si>
    <t>WPCF Gen Obligation 2006</t>
  </si>
  <si>
    <t>710-5930</t>
  </si>
  <si>
    <t>710-5931</t>
  </si>
  <si>
    <t>710-5932</t>
  </si>
  <si>
    <t>710-5933</t>
  </si>
  <si>
    <t>710-5934</t>
  </si>
  <si>
    <t>MWPAT #94-26 $907,181</t>
  </si>
  <si>
    <t>710-5940</t>
  </si>
  <si>
    <t>Sewer Repair $1,550,000 7/22/14</t>
  </si>
  <si>
    <t>710-5941</t>
  </si>
  <si>
    <t>#17 Pump Stations CWP-14-28 $1.6M</t>
  </si>
  <si>
    <t>710-5942</t>
  </si>
  <si>
    <t>#16 5/3/14 Sewer Lines $160K</t>
  </si>
  <si>
    <t>710-5943</t>
  </si>
  <si>
    <t>#12 5/2/15 Sewer Lines $385k</t>
  </si>
  <si>
    <t>710-5945</t>
  </si>
  <si>
    <t>#30 5/6/17 Sewer Lines $385</t>
  </si>
  <si>
    <t>710-5946</t>
  </si>
  <si>
    <t>#15 9/12/13 Sewer Lines</t>
  </si>
  <si>
    <t>710-5947</t>
  </si>
  <si>
    <t>#17 5/3/14 PS #2</t>
  </si>
  <si>
    <t>710-5948</t>
  </si>
  <si>
    <t>WPCF Share #22 5/7/16 Siphon</t>
  </si>
  <si>
    <t>710-5950</t>
  </si>
  <si>
    <t>Solar Array Principal</t>
  </si>
  <si>
    <t>WPCF General Obligation Bonds (Excess)</t>
  </si>
  <si>
    <t>751-5912</t>
  </si>
  <si>
    <t>751-5913</t>
  </si>
  <si>
    <t>751-5915</t>
  </si>
  <si>
    <t>751-5915-100</t>
  </si>
  <si>
    <t>CSO MWPAT #01-33 $179,059 Admn</t>
  </si>
  <si>
    <t>751-5919</t>
  </si>
  <si>
    <t>751-5930</t>
  </si>
  <si>
    <t>751-5930-100</t>
  </si>
  <si>
    <t>751-5931</t>
  </si>
  <si>
    <t>751-5931-100</t>
  </si>
  <si>
    <t>751-5932</t>
  </si>
  <si>
    <t>751-5933</t>
  </si>
  <si>
    <t>751-5934</t>
  </si>
  <si>
    <t>751-5934-100</t>
  </si>
  <si>
    <t>MWPAT #94-26 $907,181 Admn</t>
  </si>
  <si>
    <t>751-5940</t>
  </si>
  <si>
    <t>751-5941</t>
  </si>
  <si>
    <t>751-5941-100</t>
  </si>
  <si>
    <t>Pump Stations CWP-14-28 $1.6M Admn</t>
  </si>
  <si>
    <t>751-5942</t>
  </si>
  <si>
    <t>751-5943</t>
  </si>
  <si>
    <t>751-5945</t>
  </si>
  <si>
    <t>751-5946</t>
  </si>
  <si>
    <t>Solar Array Interest</t>
  </si>
  <si>
    <t>permenant debt payments not due until 7/15/19, only 1 interest payment and admin for FY19</t>
  </si>
  <si>
    <t>WPCF BENEFITS</t>
  </si>
  <si>
    <t>Dept # 661-910</t>
  </si>
  <si>
    <t>From "Surcharge for Infiltration and Inflow Payable by the Town of Montague"</t>
  </si>
  <si>
    <t>I.</t>
  </si>
  <si>
    <t xml:space="preserve"> I &amp; I costs in Turners Falls, Montague City, and Montague Center</t>
  </si>
  <si>
    <t>A</t>
  </si>
  <si>
    <t>Cost to remove grit contained in I &amp; I</t>
  </si>
  <si>
    <t>I &amp; I solids as percent of total solids (calculation below).</t>
  </si>
  <si>
    <t>Est cost to remove grit due to I &amp; I</t>
  </si>
  <si>
    <t>B</t>
  </si>
  <si>
    <t>Increased electrical costs for increased pumping</t>
  </si>
  <si>
    <t>Budgeted Electricity</t>
  </si>
  <si>
    <t>Document's estimated % of electricity used for primary screw pump</t>
  </si>
  <si>
    <t>I &amp; I as % of total flow (calculation below)</t>
  </si>
  <si>
    <t>Electricity x % for pump x I &amp; I %</t>
  </si>
  <si>
    <t>C</t>
  </si>
  <si>
    <t>Increased amount of chlorine in primary clarifier and chlorine contact tank</t>
  </si>
  <si>
    <t>Cost of chlorine for primary clarifier and chlorine contact tank for I &amp; I flow</t>
  </si>
  <si>
    <t>D</t>
  </si>
  <si>
    <t>Increased labor due to grit handling, equipment maintenance, chlorine handling, and process control modifications</t>
  </si>
  <si>
    <t>OT Wages</t>
  </si>
  <si>
    <t>Workers Comp</t>
  </si>
  <si>
    <t>Retirement</t>
  </si>
  <si>
    <t>II.</t>
  </si>
  <si>
    <t>Increased fee from Erving due to I &amp; I from Millers Falls</t>
  </si>
  <si>
    <t xml:space="preserve">Trombley called this MF WWTP flow from Montague, what we're calling </t>
  </si>
  <si>
    <t>total I &amp; I from Millers Falls going to Erving</t>
  </si>
  <si>
    <t xml:space="preserve">as a %, rounded to 6 decimal places </t>
  </si>
  <si>
    <t>Assessment to Montague from Erving for treating wastewater from MF, 2.5% increase/yr.</t>
  </si>
  <si>
    <t>Cost of treating I &amp; I from Millers Falls by Erving</t>
  </si>
  <si>
    <t>Calculation of I &amp; I as % of total Montague WPCF Flow</t>
  </si>
  <si>
    <t>Less Montague metered flow (MC = 7,310,000, LP = 3,445,175, TF+Mcity= 193,004,700)</t>
  </si>
  <si>
    <t>Total I &amp; I coming into Montague WPCF</t>
  </si>
  <si>
    <t>I &amp; I as % of total flow</t>
  </si>
  <si>
    <t>Calculation of I &amp; I solids as % of total solids</t>
  </si>
  <si>
    <t>Montague WPCF influent solids in pounds/year. This is a 2 year average.</t>
  </si>
  <si>
    <t>pounds of solids due to I &amp; I. This uses the I &amp; I flow calculated above, and 150</t>
  </si>
  <si>
    <t xml:space="preserve"> mg/l as the percentage of solids in the I &amp; I</t>
  </si>
  <si>
    <t>I &amp; I solids as percent of total solids. This % will be used in other calculations.</t>
  </si>
  <si>
    <t>Total I &amp; I Town Cost</t>
  </si>
  <si>
    <t>as % of</t>
  </si>
  <si>
    <t>Total 440</t>
  </si>
  <si>
    <t>Total 661</t>
  </si>
  <si>
    <t>Acct Budg</t>
  </si>
  <si>
    <t>Treas Budg</t>
  </si>
  <si>
    <t>Audit</t>
  </si>
  <si>
    <t>IT Employee</t>
  </si>
  <si>
    <t>Stipend</t>
  </si>
  <si>
    <t>Salary</t>
  </si>
  <si>
    <t>Town Adm</t>
  </si>
  <si>
    <t>Airport Overhead Paid to Town</t>
  </si>
  <si>
    <t>charging OH on 1/2 of % of total operating expenses</t>
  </si>
  <si>
    <t>Less debt/Ben</t>
  </si>
  <si>
    <t>From BOA Schedule DE-1, Debt Exclusion Form</t>
  </si>
  <si>
    <t>Excludes adjustments</t>
  </si>
  <si>
    <t>Ballot</t>
  </si>
  <si>
    <t>Ballot Date/Purpose</t>
  </si>
  <si>
    <t>Date Issued</t>
  </si>
  <si>
    <t>T/P</t>
  </si>
  <si>
    <t>Reimb/</t>
  </si>
  <si>
    <t>Debt Service</t>
  </si>
  <si>
    <t>Debt Expended</t>
  </si>
  <si>
    <t>Adjust.</t>
  </si>
  <si>
    <t>P</t>
  </si>
  <si>
    <t>TFHS/GFMS Renovation</t>
  </si>
  <si>
    <t>Last year is FY26</t>
  </si>
  <si>
    <t>CSO #16 6/9/05 $957,448</t>
  </si>
  <si>
    <t>CSO #16 6/9/05 $1,911,052</t>
  </si>
  <si>
    <t>CSO #16 6/9/05 $1,024,000</t>
  </si>
  <si>
    <t>CSO #16 6/9/05 $958,000</t>
  </si>
  <si>
    <t>Police Station $4,999,525</t>
  </si>
  <si>
    <t>Police Station $103,000</t>
  </si>
  <si>
    <t xml:space="preserve">#1 3/29/18 DPW Facility </t>
  </si>
  <si>
    <t>Allocation var to Total</t>
  </si>
  <si>
    <t>updated GM debt per 11/24 Report to SC from JB and capital % of 89.7% for Montague</t>
  </si>
  <si>
    <t>Police Wage Scale</t>
  </si>
  <si>
    <t>Fiscal Year 2024 Base Wages</t>
  </si>
  <si>
    <t>FY24= FY23+2.5%</t>
  </si>
  <si>
    <t>Steps</t>
  </si>
  <si>
    <t>Patrol</t>
  </si>
  <si>
    <t>Detective</t>
  </si>
  <si>
    <t>Sergeant</t>
  </si>
  <si>
    <t>Staff Sergeant</t>
  </si>
  <si>
    <t>Fiscal Year 2023 Base Wages</t>
  </si>
  <si>
    <t>FY23= FY22+ 3.0%</t>
  </si>
  <si>
    <t>Fiscal Year 2022 Base Wages</t>
  </si>
  <si>
    <t>FY22= FY21, 1.5%</t>
  </si>
  <si>
    <t>Fiscal Year 2021 Base Wages</t>
  </si>
  <si>
    <t>FY21= FY20, 0%, new step</t>
  </si>
  <si>
    <t>Fiscal Year 2020 Base Wages</t>
  </si>
  <si>
    <t>FY20= Final FY19 HD + 1.5%</t>
  </si>
  <si>
    <t>Fiscal Year 2019 Base Wages</t>
  </si>
  <si>
    <t>FY19=FY19 HD + 2%</t>
  </si>
  <si>
    <t>Fiscal Year 2019 0.5% Hazardous Duty</t>
  </si>
  <si>
    <t>FY19 HD=FY18+0.5%</t>
  </si>
  <si>
    <t>Fiscal Year 2018</t>
  </si>
  <si>
    <t>FY18=FY17+1.5%</t>
  </si>
  <si>
    <t>Fiscal Year 2017</t>
  </si>
  <si>
    <t>FY17=FY16+1%</t>
  </si>
  <si>
    <t>Fiscal Year 2016</t>
  </si>
  <si>
    <t>FY16=FY15+1%</t>
  </si>
  <si>
    <t>Fiscal Year 2015</t>
  </si>
  <si>
    <t>FY15=FY14+1%</t>
  </si>
  <si>
    <t>REVISED AND FINAL Police Scale FY14</t>
  </si>
  <si>
    <t>FY24 NAGE and Non-Union Wage Scale = FY23+</t>
  </si>
  <si>
    <t>Grade</t>
  </si>
  <si>
    <t>E</t>
  </si>
  <si>
    <t>F</t>
  </si>
  <si>
    <t>G</t>
  </si>
  <si>
    <t>G+8.5%</t>
  </si>
  <si>
    <t>H</t>
  </si>
  <si>
    <t>I</t>
  </si>
  <si>
    <t>J</t>
  </si>
  <si>
    <t xml:space="preserve">Proration for P/T </t>
  </si>
  <si>
    <t>Annual FT hours</t>
  </si>
  <si>
    <t>F-COA</t>
  </si>
  <si>
    <t>F-DPW</t>
  </si>
  <si>
    <t>F-WPCF</t>
  </si>
  <si>
    <t>G+8.5</t>
  </si>
  <si>
    <t>weeks</t>
  </si>
  <si>
    <t>FY23 NAGE and Non-Union Wage Scale = FY22+</t>
  </si>
  <si>
    <t>FY22 NAGE and Non-Union Wage Scale = FY20+1.5%</t>
  </si>
  <si>
    <t>FY21 NAGE and Non-Union Wage Scale = FY20+1.5%</t>
  </si>
  <si>
    <t>FY20 NAGE and Non-Union Wage Scale = FY19+1% + new step (2.5%)</t>
  </si>
  <si>
    <t>2.5%</t>
  </si>
  <si>
    <t>FY19 TOMEA, UE and Non-Union Wage Scale = FY18+2%</t>
  </si>
  <si>
    <t>Proration for P/T - confirm annual hours for FY18</t>
  </si>
  <si>
    <t>FY18 TOMEA, UE and Non-Union Wage Scale = FY17+1.5%</t>
  </si>
  <si>
    <t>FY17 TOMEA, UE and Non-Union Wage Scale = FY16+1%</t>
  </si>
  <si>
    <t>To get onto town scale, following COLAs would be needed</t>
  </si>
  <si>
    <t>FY16 TOMEA and Non-Union Wage Scale Includes 1% COLA</t>
  </si>
  <si>
    <t>Proration for P/T</t>
  </si>
  <si>
    <t>FY15 TOMEA and Non-Union Wage Scale Includes 1% COLA</t>
  </si>
  <si>
    <t>=FY23</t>
  </si>
  <si>
    <t>=FY22</t>
  </si>
  <si>
    <t>New Steps</t>
  </si>
  <si>
    <t xml:space="preserve">FY22 </t>
  </si>
  <si>
    <t>Includes 1.5 % Adjustment</t>
  </si>
  <si>
    <t>NAGE</t>
  </si>
  <si>
    <t>Yrs</t>
  </si>
  <si>
    <t>Amount</t>
  </si>
  <si>
    <t>NEPBA</t>
  </si>
  <si>
    <t>If hired before 7/2/04, or before 6/30/93, or between dates with no incentive</t>
  </si>
  <si>
    <t>DPW/Sewer</t>
  </si>
  <si>
    <t>TOWN 40%</t>
  </si>
  <si>
    <t>Total Town</t>
  </si>
  <si>
    <t>WPCF 60%</t>
  </si>
  <si>
    <t>Total Sewer</t>
  </si>
  <si>
    <t>TOTALS</t>
  </si>
  <si>
    <t>Total Debt</t>
  </si>
  <si>
    <t>Variance</t>
  </si>
  <si>
    <t>Town Debt Service (Principal &amp; Interest)</t>
  </si>
  <si>
    <t>School Building project (est @93%)</t>
  </si>
  <si>
    <t>School Windows</t>
  </si>
  <si>
    <t>Total Town Debt Service</t>
  </si>
  <si>
    <t>WPCF Debt Service (Principal &amp; Interest)</t>
  </si>
  <si>
    <t>Pump Stations CWP-14-28 $1.9M</t>
  </si>
  <si>
    <t>#12 5/2/15 Sewer Lines $200k</t>
  </si>
  <si>
    <t>#15 9/12/13 Ind Blvd $936k</t>
  </si>
  <si>
    <t>Total Sewer Debt</t>
  </si>
  <si>
    <t>GRAND TOTAL LT DEBT SERVICE</t>
  </si>
  <si>
    <t>Town Principal</t>
  </si>
  <si>
    <t>Town share GM Building</t>
  </si>
  <si>
    <t>GM Windows</t>
  </si>
  <si>
    <t>Town Interest</t>
  </si>
  <si>
    <t>Sewer Principal</t>
  </si>
  <si>
    <t>Sewer Interest</t>
  </si>
  <si>
    <t>Pump Stations CWP-14-28 $1.9M Admn</t>
  </si>
  <si>
    <t>Total Sewer Debt Service</t>
  </si>
  <si>
    <t>CSO Projects (60/40 WPCF/Town)</t>
  </si>
  <si>
    <t>CSO Projects 40% TOWN</t>
  </si>
  <si>
    <t>CSO PROJECTS 60$ SEWER</t>
  </si>
  <si>
    <t>Kearsarge Lease Payments</t>
  </si>
  <si>
    <t>Fiscal</t>
  </si>
  <si>
    <t>Kearsarge</t>
  </si>
  <si>
    <t xml:space="preserve">Increase to Affordable Assessment using various % as GF Rev </t>
  </si>
  <si>
    <t>Year</t>
  </si>
  <si>
    <t>Payment</t>
  </si>
  <si>
    <t>% Incr</t>
  </si>
  <si>
    <t>Town ATM Op Budget Hx</t>
  </si>
  <si>
    <t>RECOMMENDED WAGES BY POSITION</t>
  </si>
  <si>
    <t>Position</t>
  </si>
  <si>
    <t>Step</t>
  </si>
  <si>
    <t>Budg Wages</t>
  </si>
  <si>
    <t>Select Board</t>
  </si>
  <si>
    <t>Executive Assistant</t>
  </si>
  <si>
    <t>Board of Assessors</t>
  </si>
  <si>
    <t>Treasurer/Tax Collector</t>
  </si>
  <si>
    <t>Assistant Treas/Tax Collector</t>
  </si>
  <si>
    <t>Collections Specialist</t>
  </si>
  <si>
    <t>Incl stipends</t>
  </si>
  <si>
    <t>Planning &amp; Comm Dev</t>
  </si>
  <si>
    <t>Director of Planning</t>
  </si>
  <si>
    <t>Police*</t>
  </si>
  <si>
    <t>Chief</t>
  </si>
  <si>
    <t>Confirm steps</t>
  </si>
  <si>
    <t>SRO Patrolman</t>
  </si>
  <si>
    <t>Patrolman</t>
  </si>
  <si>
    <t>Custodian</t>
  </si>
  <si>
    <t>15 hrs/wk + 35</t>
  </si>
  <si>
    <t>*Amt includes Incentive Pay for eligible employees</t>
  </si>
  <si>
    <t xml:space="preserve">Dispatch Supervisor/Office Adm </t>
  </si>
  <si>
    <t xml:space="preserve">Communications Officer </t>
  </si>
  <si>
    <t>Inspector of Buildings</t>
  </si>
  <si>
    <t>Administrative Assistant</t>
  </si>
  <si>
    <t xml:space="preserve">Superintendent                         </t>
  </si>
  <si>
    <t xml:space="preserve">Office Manager                        </t>
  </si>
  <si>
    <t xml:space="preserve">Working Foreman                      </t>
  </si>
  <si>
    <t xml:space="preserve">Shop Foreman                           </t>
  </si>
  <si>
    <t>Lead Mechanic</t>
  </si>
  <si>
    <t>Total Positions</t>
  </si>
  <si>
    <t xml:space="preserve">Building Maintenenance          </t>
  </si>
  <si>
    <t>Positions on top scale FY23</t>
  </si>
  <si>
    <t xml:space="preserve">Custodian                                 </t>
  </si>
  <si>
    <t xml:space="preserve">Lead Grounds Maintenance         </t>
  </si>
  <si>
    <t xml:space="preserve">Grounds Maintenance         </t>
  </si>
  <si>
    <t>Landfill Attendent</t>
  </si>
  <si>
    <t>14 hrs/wk</t>
  </si>
  <si>
    <t xml:space="preserve">Heavy Equipment Operator      </t>
  </si>
  <si>
    <t xml:space="preserve">Truck Driver/Laborer              </t>
  </si>
  <si>
    <t xml:space="preserve">Truck Driver/Laborer  </t>
  </si>
  <si>
    <t xml:space="preserve">Truck Driver/Laborer   </t>
  </si>
  <si>
    <t>Director of COA</t>
  </si>
  <si>
    <t>20 hrs/wk</t>
  </si>
  <si>
    <t>Children's Librarian</t>
  </si>
  <si>
    <t>includes stipend</t>
  </si>
  <si>
    <t xml:space="preserve">Library Technician  </t>
  </si>
  <si>
    <t xml:space="preserve">Library Assistant I </t>
  </si>
  <si>
    <t>12 hrs/wk</t>
  </si>
  <si>
    <t>26 hrs/wk</t>
  </si>
  <si>
    <t>13 hrs/wk</t>
  </si>
  <si>
    <t>28.5 hrs/wk</t>
  </si>
  <si>
    <t>21 hrs/wk</t>
  </si>
  <si>
    <t>16 hrs/wk</t>
  </si>
  <si>
    <t xml:space="preserve">Childrens' Prog Asst </t>
  </si>
  <si>
    <t>Parks and Recreation</t>
  </si>
  <si>
    <t>Airport Manager</t>
  </si>
  <si>
    <t>40 hrs/wk</t>
  </si>
  <si>
    <t>Operations Manager</t>
  </si>
  <si>
    <t>WPCF-Current Staffing</t>
  </si>
  <si>
    <t xml:space="preserve">Superintendent </t>
  </si>
  <si>
    <t>WPCF Foreman</t>
  </si>
  <si>
    <t>Lead Operator</t>
  </si>
  <si>
    <t>Wastewater Technician</t>
  </si>
  <si>
    <t>Laborer</t>
  </si>
  <si>
    <t>Lab Manager - New</t>
  </si>
  <si>
    <t>Schedule III</t>
  </si>
  <si>
    <t>Town Operating Budget</t>
  </si>
  <si>
    <t>FIN COMM</t>
  </si>
  <si>
    <t xml:space="preserve">DEPT </t>
  </si>
  <si>
    <t>EXPENDED</t>
  </si>
  <si>
    <t>BUDGET</t>
  </si>
  <si>
    <t>REQUEST</t>
  </si>
  <si>
    <t>RECOMMEND</t>
  </si>
  <si>
    <t>NO.</t>
  </si>
  <si>
    <t>TOTAL GENERAL GOVT</t>
  </si>
  <si>
    <t>EQUIPMENT LEASE PAYMENT</t>
  </si>
  <si>
    <t>TOTAL CULTURE/RECREATION</t>
  </si>
  <si>
    <t>TOTAL TOWN BUDGET</t>
  </si>
  <si>
    <t>Incr</t>
  </si>
  <si>
    <t>Wages &amp; Expenses</t>
  </si>
  <si>
    <t>SUBTOTAL DPW SUBSIDIARY</t>
  </si>
  <si>
    <t>Schedule V</t>
  </si>
  <si>
    <t>Airport Budget</t>
  </si>
  <si>
    <t>Benefits</t>
  </si>
  <si>
    <t>Hx #s from PY FC Reports</t>
  </si>
  <si>
    <t>HISTORICAL ATM BUDGET SUMMARY</t>
  </si>
  <si>
    <t>REVENUES</t>
  </si>
  <si>
    <t>Net Tax Levy</t>
  </si>
  <si>
    <t>State Aid</t>
  </si>
  <si>
    <t>Other Available</t>
  </si>
  <si>
    <t>Stab, Existing Articles, Ch 90, Sale RE</t>
  </si>
  <si>
    <t>Reserved Receipts</t>
  </si>
  <si>
    <t>Airport Fees</t>
  </si>
  <si>
    <t>Total Revenues</t>
  </si>
  <si>
    <t>EXPENSES</t>
  </si>
  <si>
    <t>% of total</t>
  </si>
  <si>
    <t>General Government</t>
  </si>
  <si>
    <t>Public Safety</t>
  </si>
  <si>
    <t>Public Works</t>
  </si>
  <si>
    <t>Human Services</t>
  </si>
  <si>
    <t>Culture &amp; Recreation</t>
  </si>
  <si>
    <t>Special Articles</t>
  </si>
  <si>
    <t>Total Expenses</t>
  </si>
  <si>
    <t>Corrected Percentages</t>
  </si>
  <si>
    <t>Sewer Fees</t>
  </si>
  <si>
    <t>Reserves &amp; Other</t>
  </si>
  <si>
    <t>General Gov</t>
  </si>
  <si>
    <t>Culture/Rec</t>
  </si>
  <si>
    <t>Debt</t>
  </si>
  <si>
    <t>Intergovt</t>
  </si>
  <si>
    <t>% of</t>
  </si>
  <si>
    <t>Excise/Meal Taxes</t>
  </si>
  <si>
    <t>Penalties &amp; Fines</t>
  </si>
  <si>
    <t>Rental - 50% Kearsarge</t>
  </si>
  <si>
    <t>SRO Reimbursements</t>
  </si>
  <si>
    <t>All Other</t>
  </si>
  <si>
    <t>Art #</t>
  </si>
  <si>
    <t>Variance in taxation (rev/exp) FY22-FY23</t>
  </si>
  <si>
    <t>From FY22</t>
  </si>
  <si>
    <t>Final Budget File</t>
  </si>
  <si>
    <t>Description</t>
  </si>
  <si>
    <t>Grand Total "Taxation" Revenue</t>
  </si>
  <si>
    <t>Expenditures</t>
  </si>
  <si>
    <t>Gen Govt</t>
  </si>
  <si>
    <t>incl 125K</t>
  </si>
  <si>
    <t>Health/Human Serv</t>
  </si>
  <si>
    <t>FCTS from taxation</t>
  </si>
  <si>
    <t>FCTS to Stab</t>
  </si>
  <si>
    <t>Tax Share WPCF</t>
  </si>
  <si>
    <r>
      <t xml:space="preserve">Articles from </t>
    </r>
    <r>
      <rPr>
        <b/>
        <sz val="10"/>
        <rFont val="Calibri"/>
        <family val="2"/>
      </rPr>
      <t>Taxation</t>
    </r>
  </si>
  <si>
    <t>Total Est Taxation Revenue</t>
  </si>
  <si>
    <t>Total Est Use Taxation</t>
  </si>
  <si>
    <t>Domain Hosting (dot.gov)</t>
  </si>
  <si>
    <t>Website Hosting/Maintenance (WebWorks)</t>
  </si>
  <si>
    <t>Docusign</t>
  </si>
  <si>
    <t>Email Licenses</t>
  </si>
  <si>
    <t>Website Address Reg/Sec Cert (GoDaddy 2 Yr)</t>
  </si>
  <si>
    <t>estimated 5% rate inc</t>
  </si>
  <si>
    <t>Library Assistant I AB  12 +15</t>
  </si>
  <si>
    <t>Library Assistant I CR 26 hrs + 15</t>
  </si>
  <si>
    <t>Library Assistant I JW 13 hrs +15</t>
  </si>
  <si>
    <t>Library Assistant I SS 27.5 hrs + 20</t>
  </si>
  <si>
    <t>Library Assistant I SO 21 hrs +15</t>
  </si>
  <si>
    <t>Library Assistant I KM 16 hrs +15</t>
  </si>
  <si>
    <t>Subsitute Library Assistants</t>
  </si>
  <si>
    <t>Library of Things</t>
  </si>
  <si>
    <t>Patrolman Smerz</t>
  </si>
  <si>
    <t>Sgt Dlugosz</t>
  </si>
  <si>
    <t>Building Maintenenance           EC</t>
  </si>
  <si>
    <t>C3</t>
  </si>
  <si>
    <t>Summer Help</t>
  </si>
  <si>
    <t>less summer help</t>
  </si>
  <si>
    <t>price increases</t>
  </si>
  <si>
    <t>B3</t>
  </si>
  <si>
    <t>FERC Relicensing</t>
  </si>
  <si>
    <t>now part of ATA job description</t>
  </si>
  <si>
    <t>moved to 946</t>
  </si>
  <si>
    <t>MEDIC Board Liability Ins</t>
  </si>
  <si>
    <t>new hire</t>
  </si>
  <si>
    <t>Dept # 197</t>
  </si>
  <si>
    <t>Farmers Market</t>
  </si>
  <si>
    <t>Misc Expenses</t>
  </si>
  <si>
    <t>Misc Exp</t>
  </si>
  <si>
    <t>FARMERS MARKET</t>
  </si>
  <si>
    <t>CWF RTV with plow &amp; sander</t>
  </si>
  <si>
    <t>CWF Septage Station Upgrade</t>
  </si>
  <si>
    <t xml:space="preserve">DPW Discretionary </t>
  </si>
  <si>
    <t>Town Hall Flooring</t>
  </si>
  <si>
    <t>Demolish 38 Ave A</t>
  </si>
  <si>
    <t>Comm Garden Well</t>
  </si>
  <si>
    <t>Unity Pkg Lot Improvements</t>
  </si>
  <si>
    <t>Clerk Fireproof Locking Storage</t>
  </si>
  <si>
    <t>Sheffield Gym Roof Repair</t>
  </si>
  <si>
    <t>Sheffield Admin Security Door</t>
  </si>
  <si>
    <t>added all known special articles (and any funding from existing article balances) to working budget tab</t>
  </si>
  <si>
    <t xml:space="preserve">Full Time Wages </t>
  </si>
  <si>
    <t xml:space="preserve">Airport Manager Wages </t>
  </si>
  <si>
    <t>Longevity (year 6)</t>
  </si>
  <si>
    <t>Other Supply Equipment</t>
  </si>
  <si>
    <t>Other Supply Building</t>
  </si>
  <si>
    <t>Vending Exp</t>
  </si>
  <si>
    <t>Town Payment</t>
  </si>
  <si>
    <t>FAA Local Share</t>
  </si>
  <si>
    <t>Total Capital Outlay</t>
  </si>
  <si>
    <t>Capital Outlay/Local Share</t>
  </si>
  <si>
    <t>Propane</t>
  </si>
  <si>
    <t>rec'd revised - no add'l step for Treas</t>
  </si>
  <si>
    <t>FY23 budget adj to reflect annual CBA Incr</t>
  </si>
  <si>
    <t>changed 5670 from 20160 to 20445</t>
  </si>
  <si>
    <t>CLEAN WATER FACILITY</t>
  </si>
  <si>
    <t>CWF CAPITAL OUTLAY</t>
  </si>
  <si>
    <t>CWF DEBT</t>
  </si>
  <si>
    <t>CWF EMPLOYEE BENEFITS</t>
  </si>
  <si>
    <t>Add to CWF Captial Stabilization Fund</t>
  </si>
  <si>
    <t>CWF Backup Generator</t>
  </si>
  <si>
    <t>SUBTOTAL CWF</t>
  </si>
  <si>
    <t>TOTAL CWF</t>
  </si>
  <si>
    <t>NG as % PY Levy Limit</t>
  </si>
  <si>
    <t>CSO Monitor/Report</t>
  </si>
  <si>
    <t>Hearing Officer</t>
  </si>
  <si>
    <t>5380 increaed from 19520 to 20527 per CW email</t>
  </si>
  <si>
    <t>5380 add'l increase to 21812 per CW Email</t>
  </si>
  <si>
    <t>Childrens' Asst MS 13.5/wk +50</t>
  </si>
  <si>
    <t>added seminars and travel, inadvertently excluded from original submission</t>
  </si>
  <si>
    <t>Vet benefits, Solid Waste Fees, COA Gill reimb,</t>
  </si>
  <si>
    <t>Elections</t>
  </si>
  <si>
    <t>2023,2027,2031,2035,2039</t>
  </si>
  <si>
    <t>2024.2028,2032,2036,2040</t>
  </si>
  <si>
    <t>2025,2029,2033,2037,2041</t>
  </si>
  <si>
    <t>2026,2030,2034,2038,2042</t>
  </si>
  <si>
    <t xml:space="preserve">There is a four-year election cycle that keeps repeating.  </t>
  </si>
  <si>
    <t>added Heavy Equip Lead op, removed wages for one regular HEO</t>
  </si>
  <si>
    <t>Collection System Lead Operator</t>
  </si>
  <si>
    <t>E5</t>
  </si>
  <si>
    <t>added Collection System Lead op 1040 hrs here, and another 1040 hours in 661-449</t>
  </si>
  <si>
    <t>Grounds Maintenance Lead          DP</t>
  </si>
  <si>
    <t>added equipment exp (computers, furniture) for new employee</t>
  </si>
  <si>
    <t>Adobe Acrobat</t>
  </si>
  <si>
    <t>MF Library Window/Door Repairs</t>
  </si>
  <si>
    <t>added 1380 to 5247 per WR</t>
  </si>
  <si>
    <t>CWF Pellet Heat Boiler</t>
  </si>
  <si>
    <t>CWF Cap Stabilization</t>
  </si>
  <si>
    <t>Grant match</t>
  </si>
  <si>
    <t>Add to Town Gen Stab</t>
  </si>
  <si>
    <t>Avail Funds</t>
  </si>
  <si>
    <t>Cap Stab</t>
  </si>
  <si>
    <t>CWF</t>
  </si>
  <si>
    <t>Ret Earnings</t>
  </si>
  <si>
    <t>Overlay</t>
  </si>
  <si>
    <t>Surplus</t>
  </si>
  <si>
    <t>Overlay Surplus to Reserves</t>
  </si>
  <si>
    <t>Free Cash to Reserves</t>
  </si>
  <si>
    <t>changed CS empl to 2080 for town</t>
  </si>
  <si>
    <t>FY2024 BUDGET SUMMARY</t>
  </si>
  <si>
    <t>G5</t>
  </si>
  <si>
    <t>Estimated FY24 Chlorine cost for primary clarifier and chlorine contact tank</t>
  </si>
  <si>
    <t>Revised 3/9/23 after notice of TC retirement 6/30</t>
  </si>
  <si>
    <t>Overlay Surplus to OPEB</t>
  </si>
  <si>
    <t>1/9 total labor costs</t>
  </si>
  <si>
    <t>Chelsey - don't forget to update Tax Share CWF</t>
  </si>
  <si>
    <t>PY MF Overage</t>
  </si>
  <si>
    <t>Schedule IV</t>
  </si>
  <si>
    <t>CWF CAPITAL STABILIZATION</t>
  </si>
  <si>
    <t>Smith Votech</t>
  </si>
  <si>
    <t>OPEB</t>
  </si>
  <si>
    <t>FY24 per pupil cost is 11,052</t>
  </si>
  <si>
    <t>#28 5/7/16 Strathmore</t>
  </si>
  <si>
    <t>FY24 Net Excluded</t>
  </si>
  <si>
    <t xml:space="preserve">Heavy Equipment Lead Operator      </t>
  </si>
  <si>
    <t>Positions on top scale FY24</t>
  </si>
  <si>
    <t>Clean Water Facility Budget</t>
  </si>
  <si>
    <t>*per contract, no additional steps, COLA limited to 2%</t>
  </si>
  <si>
    <t>751-5947</t>
  </si>
  <si>
    <t>751-5948</t>
  </si>
  <si>
    <t>Add $780 for new collection system GIS license and support</t>
  </si>
  <si>
    <t>ck with Chelsey re wiggle room</t>
  </si>
  <si>
    <t>copied FY24 FINAL  budget file</t>
  </si>
  <si>
    <t xml:space="preserve">FY23 </t>
  </si>
  <si>
    <t>in each dept tab, added 2 columns to left of "expended through". Labeled 1st FY23 Actual and 2nd FY24 Budget</t>
  </si>
  <si>
    <t>Copied over FY24 budget to new column</t>
  </si>
  <si>
    <t>added sum formulas to FY23 Actual Column</t>
  </si>
  <si>
    <t>in working Budget tab, added 2 columns to left of "expended through". Labeled 1st FY23 Actual and 2nd FY24 Budget</t>
  </si>
  <si>
    <t>FY2024 Gross</t>
  </si>
  <si>
    <t>Town Share (90%) Storm Drain/Siphon</t>
  </si>
  <si>
    <t>fixed debt references in Debt Exclusion Calc tab</t>
  </si>
  <si>
    <t>chased down and fix any reference errors</t>
  </si>
  <si>
    <t>copy cell contents from FY23 Budget to both new columns (except for special articles. Added actual FY24 amounts</t>
  </si>
  <si>
    <t>FY2025</t>
  </si>
  <si>
    <t>On Revenue Projections, inserted column between FY23 and FY24, made that FY24 and original FY24 FY25, copied over FY23 to new FY24, adjusted as needed to match final FY24 file</t>
  </si>
  <si>
    <t>Citizen Serve 1 license - none for FY25</t>
  </si>
  <si>
    <r>
      <t xml:space="preserve">Citizen Serve </t>
    </r>
    <r>
      <rPr>
        <strike/>
        <sz val="10"/>
        <rFont val="Arial"/>
        <family val="2"/>
      </rPr>
      <t>4</t>
    </r>
    <r>
      <rPr>
        <sz val="10"/>
        <rFont val="Arial"/>
        <family val="2"/>
      </rPr>
      <t xml:space="preserve"> licenses-4 for FY25</t>
    </r>
  </si>
  <si>
    <r>
      <t xml:space="preserve">Citizen Serve - </t>
    </r>
    <r>
      <rPr>
        <strike/>
        <sz val="10"/>
        <rFont val="Arial"/>
        <family val="2"/>
      </rPr>
      <t>1</t>
    </r>
    <r>
      <rPr>
        <sz val="10"/>
        <rFont val="Arial"/>
        <family val="2"/>
      </rPr>
      <t xml:space="preserve"> licenses </t>
    </r>
  </si>
  <si>
    <t xml:space="preserve">FOR FY25, THE SCHOOL COMMITTEE WILL HAVE THEIR FINAL VOTE ON </t>
  </si>
  <si>
    <t>THE GMRSD BUDGET ON MARCH 5th. FC SHOULD DECIDE FINAL AA # FEB 28th</t>
  </si>
  <si>
    <t>FY25 Affordable Assessment Calculation</t>
  </si>
  <si>
    <t>changed 8-8 per 15K annual reduction in Kearsarge lease re: new agreement</t>
  </si>
  <si>
    <t>FY24 Actual</t>
  </si>
  <si>
    <t>Adj DOH for Longevity/total town service</t>
  </si>
  <si>
    <t>Long + 4 yrs</t>
  </si>
  <si>
    <t>25+4=29</t>
  </si>
  <si>
    <r>
      <t>check with Planning re Citizen Serve Licenses. If they have one, keep as current for FY25, if not, amend contract to 6 users to save $300.</t>
    </r>
    <r>
      <rPr>
        <b/>
        <sz val="10"/>
        <rFont val="Arial"/>
        <family val="2"/>
        <scheme val="minor"/>
      </rPr>
      <t xml:space="preserve"> 8/10 still no response from Maureen, so executive decision to leave as is in case of eventual new users</t>
    </r>
  </si>
  <si>
    <t xml:space="preserve">FY25 Finance Policy Guidelines/Calculations </t>
  </si>
  <si>
    <t xml:space="preserve">FY23 Operating Revenues: </t>
  </si>
  <si>
    <t>FY23 General Operating Revenues (PYGOR)</t>
  </si>
  <si>
    <t>FY23 GOR</t>
  </si>
  <si>
    <t>Available Stabilizations 7/1/23 (non-sewer)</t>
  </si>
  <si>
    <t>Free Cash 7/1/23</t>
  </si>
  <si>
    <t>FY25 Minimum</t>
  </si>
  <si>
    <t>Fall STM</t>
  </si>
  <si>
    <t>FY25 Operating Revenues: Net Levy less excluded debt + actual State Aid + local estimated receipts</t>
  </si>
  <si>
    <t>Does not include transfers in voted at ATM</t>
  </si>
  <si>
    <t>to be added:</t>
  </si>
  <si>
    <t>Adjusted Total</t>
  </si>
  <si>
    <t>Acronis Cyber Protection</t>
  </si>
  <si>
    <t>Capital Outlay - FY23 boiler RFT</t>
  </si>
  <si>
    <t>Flail Mower Lease FY18-22/FY23 Boiler</t>
  </si>
  <si>
    <t>Immigrant/Employment</t>
  </si>
  <si>
    <t>General Category: Public Works - CWF</t>
  </si>
  <si>
    <t>Temp Wages</t>
  </si>
  <si>
    <t>Corrosion Control</t>
  </si>
  <si>
    <t>Vehicle Fuel</t>
  </si>
  <si>
    <t>TFFD Meter Reading</t>
  </si>
  <si>
    <t>added FY23 Actual Expenditures to dept tabs</t>
  </si>
  <si>
    <t>Fiscal Year 2025 Base Wages</t>
  </si>
  <si>
    <t>FY25= FY24+2.5%</t>
  </si>
  <si>
    <t>=FY24</t>
  </si>
  <si>
    <t>FY25 NAGE and Non-Union Wage Scale = FY24+</t>
  </si>
  <si>
    <t>This should be adjusted to reflect the 40 hr week for LT, but did not change as would result in hrly decrease</t>
  </si>
  <si>
    <t>Chief Williams Note: per contract, not schedule</t>
  </si>
  <si>
    <t>Add FY25 Wages Schedules</t>
  </si>
  <si>
    <t>adjusted Chief's FY25 salary per contract (no steps, cola limit of 2%</t>
  </si>
  <si>
    <t>CWF Capital Stabilization</t>
  </si>
  <si>
    <t>added Use of FB Res for Exluded debt 487 to clear out balance</t>
  </si>
  <si>
    <t>SCADA Controls/Comms</t>
  </si>
  <si>
    <t>Safety Equipment &amp; Expenses</t>
  </si>
  <si>
    <t>Office Expenses</t>
  </si>
  <si>
    <t>Other Operational Equipment</t>
  </si>
  <si>
    <t>Preliminary Equipment and Supplies</t>
  </si>
  <si>
    <t>Primary Equipment and Supplies</t>
  </si>
  <si>
    <t>Secondary Equipment and Supplies</t>
  </si>
  <si>
    <t>Solids Handling Equipment and Supplies</t>
  </si>
  <si>
    <t>Primary Effluent Screw Pumps Eq/Supplies</t>
  </si>
  <si>
    <t>Pump Station Equipment &amp; Supplies</t>
  </si>
  <si>
    <t>Lab Equipment &amp; Supplies</t>
  </si>
  <si>
    <t>Vehicle Equipment &amp; Supplies</t>
  </si>
  <si>
    <t>updated Financial Policies numbers (excludes 5/7/23 ATM additions to stabilization funds from FC)</t>
  </si>
  <si>
    <t>Hours FY25</t>
  </si>
  <si>
    <t>7/1/24 is Monday</t>
  </si>
  <si>
    <t>6/30/25 is Monday</t>
  </si>
  <si>
    <t>52.2 5 day wk</t>
  </si>
  <si>
    <t>52.25 4 day wk</t>
  </si>
  <si>
    <t>Selectboard AA 20 hrs</t>
  </si>
  <si>
    <t>updated steps, links to FY25 wage scales</t>
  </si>
  <si>
    <t>updated FY24 budget for STM votes (Longevity)</t>
  </si>
  <si>
    <t xml:space="preserve">Executive Assistant FT </t>
  </si>
  <si>
    <t>B6</t>
  </si>
  <si>
    <t>G6</t>
  </si>
  <si>
    <t>S4</t>
  </si>
  <si>
    <t>D9</t>
  </si>
  <si>
    <t>P7</t>
  </si>
  <si>
    <t>P5</t>
  </si>
  <si>
    <t>Barry Kratz (NAGE)</t>
  </si>
  <si>
    <t>Yrs FY25</t>
  </si>
  <si>
    <t>3</t>
  </si>
  <si>
    <t>5</t>
  </si>
  <si>
    <t>8</t>
  </si>
  <si>
    <t>NAGE Scale</t>
  </si>
  <si>
    <t>Collection System Lead Operator KB</t>
  </si>
  <si>
    <t xml:space="preserve">Truck Driver/Laborer                 SD   </t>
  </si>
  <si>
    <t>Grounds Maintenance              AM</t>
  </si>
  <si>
    <t xml:space="preserve">Custodian                                  </t>
  </si>
  <si>
    <t>E8</t>
  </si>
  <si>
    <t xml:space="preserve">Truck Driver/Laborer               </t>
  </si>
  <si>
    <t>Library Assistant I ES 13 hrs +15</t>
  </si>
  <si>
    <t>Library Assistant I JK 7.5/wk +15</t>
  </si>
  <si>
    <t>Library Assistant I FP 6 hrs +15</t>
  </si>
  <si>
    <t>Operations Mgr</t>
  </si>
  <si>
    <t>Yrs Svc</t>
  </si>
  <si>
    <t>E3</t>
  </si>
  <si>
    <t>F5</t>
  </si>
  <si>
    <t xml:space="preserve">Laborer                                          AM                           </t>
  </si>
  <si>
    <t xml:space="preserve">Wastewater Tech                            SS           </t>
  </si>
  <si>
    <t>Lead Mechanic                               TP</t>
  </si>
  <si>
    <t>Admin Asst                                   PH</t>
  </si>
  <si>
    <t xml:space="preserve">Wastewater Tech                            WP     </t>
  </si>
  <si>
    <t>Yrs Svc FY25</t>
  </si>
  <si>
    <t>CWF Operating</t>
  </si>
  <si>
    <t>Revenue forecasting model shows approx 40K add'l local receipts. Prefer not to increase what's here unless absolutely required.</t>
  </si>
  <si>
    <t>from FY23 as constants, when in reality they are quite dynamic. Nonetheless, this tool offers useful perspective</t>
  </si>
  <si>
    <t>This should only include items paid with TAXATION</t>
  </si>
  <si>
    <t xml:space="preserve">greatly exceeds current available Taxation </t>
  </si>
  <si>
    <t>Total cost to remove grit - estimated at FY23 total payments to Waste Management for grit removal</t>
  </si>
  <si>
    <t>[FY23 total chlorine g=4,310, $5.42/g) purchases = 13,257.6. Estimating 75% used for above purpose per info in document]</t>
  </si>
  <si>
    <t>Erving's flow from Millers Falls. CY 2023</t>
  </si>
  <si>
    <t>Less the Millers Metered Q Cal23 of the TFWD metered Q to FF</t>
  </si>
  <si>
    <t>CWF Overhead Paid to Town</t>
  </si>
  <si>
    <t>For FY25</t>
  </si>
  <si>
    <t>Assistant Town Adminstrator</t>
  </si>
  <si>
    <t xml:space="preserve">Admin. Assistant </t>
  </si>
  <si>
    <t>7.55 hrs/wk</t>
  </si>
  <si>
    <t>6 hrs/wk</t>
  </si>
  <si>
    <t>13.5 hrs/wk</t>
  </si>
  <si>
    <t>added line for Pioneer Valley Mosquito Control District in 840</t>
  </si>
  <si>
    <t>Pioneer Valley Mosquito Control District</t>
  </si>
  <si>
    <t>FY25 can use existing Sp Art Balance</t>
  </si>
  <si>
    <t>blue areas - updated links and removed all old descriptions</t>
  </si>
  <si>
    <t>FY24 amounts less than original budget&gt;reduced FY25 Est to reflect actual FY23 receipts</t>
  </si>
  <si>
    <t>Revenue Estimates for FY2025</t>
  </si>
  <si>
    <t>Lieutenant</t>
  </si>
  <si>
    <t>avg of amts shown for FY23 and FY24, although actual FY24 not yet known</t>
  </si>
  <si>
    <t>Assessment</t>
  </si>
  <si>
    <t>Incr from PY</t>
  </si>
  <si>
    <t>% Inc PY</t>
  </si>
  <si>
    <t>10 year Avg</t>
  </si>
  <si>
    <t>if you want to look at tax rate increase as a percent and back into excess capacity.</t>
  </si>
  <si>
    <t>less available funds</t>
  </si>
  <si>
    <t>from "Taxation"</t>
  </si>
  <si>
    <t>Chapter 70 (Smith Vo-Tech)</t>
  </si>
  <si>
    <t>adjusted to reflect Burn Dump Agreement reduction</t>
  </si>
  <si>
    <t>% directed Towards GMRSD Stabilization Fund</t>
  </si>
  <si>
    <t>begin redux due to burn dump agreement (17k redux FY25 - FY29)</t>
  </si>
  <si>
    <t>actual FC balance 10/16/23 is $497,041</t>
  </si>
  <si>
    <t>GF Change</t>
  </si>
  <si>
    <t>added 5% to health insurance</t>
  </si>
  <si>
    <t>updated 433 per contract with casella (trash)</t>
  </si>
  <si>
    <t>level funded excess capacity until FY24 new growth is finalized, when we will increase by 75% of the change in new growth, budget (75k) to actual</t>
  </si>
  <si>
    <t>Affordable Assessment Impact</t>
  </si>
  <si>
    <t>provides 10yr avg AA increase levels. Would also increase town spending potential</t>
  </si>
  <si>
    <t>includes redux of 17K from original schedule</t>
  </si>
  <si>
    <t>updated Kearsarge payment schedule (+17K/Yr FY25-FY29)</t>
  </si>
  <si>
    <t>updated FY24 Local receipts per recap (slight reallocation, no change to total)</t>
  </si>
  <si>
    <t>updated FY24 new growth to $369K per KT, adjust budgeted FY25 EC per prior year formula of PY budgeted Excess Capacity (1,149,544) + 75% of actual new growth (369,000 * .75 = 276,750)</t>
  </si>
  <si>
    <t>Options assume starting with the FY23 budgeted $500K in excess capacity, with increases as a percentage of either the total PY New Growth, or the PY Unbudgeted New Growth</t>
  </si>
  <si>
    <t>Option #8 Rec by FC 1/4/23</t>
  </si>
  <si>
    <t>% of PY NG</t>
  </si>
  <si>
    <t>Amount Added to Budgeted EC</t>
  </si>
  <si>
    <t>$ Increase in AA</t>
  </si>
  <si>
    <t>% Increase in AA</t>
  </si>
  <si>
    <t>Increase in Available Levy</t>
  </si>
  <si>
    <t>Est Tax increase for $250K property</t>
  </si>
  <si>
    <t>The usual caveats apply - these numbers do not account for changes in value, the impact of a split tax rate, or other items that affect the actual tax rate and should only be used as a broad guide.</t>
  </si>
  <si>
    <t xml:space="preserve"> Adding 75% of actual PY New Growth to PY Budgeted Excess Capacity</t>
  </si>
  <si>
    <t>Starting Point- PY Budgeted EC</t>
  </si>
  <si>
    <t>CY Budgeted Excess Capacity</t>
  </si>
  <si>
    <t>PY Affordable Assessment</t>
  </si>
  <si>
    <t>CY Budgeted Levy</t>
  </si>
  <si>
    <t>PY Budgeted Levy</t>
  </si>
  <si>
    <t>PY Total Value</t>
  </si>
  <si>
    <t>Est Incr in Single Tax Rate For CY</t>
  </si>
  <si>
    <t>increased est overlay to 200K per KT</t>
  </si>
  <si>
    <t>added excess capacity tab</t>
  </si>
  <si>
    <t>Hidden colums for FY26-FY33</t>
  </si>
  <si>
    <t>Need to annually update</t>
  </si>
  <si>
    <t>PY Actual New Growth</t>
  </si>
  <si>
    <t>PY Actual new growth</t>
  </si>
  <si>
    <t>PY Budgeted levy</t>
  </si>
  <si>
    <t>link to Budget Year affordable assessment</t>
  </si>
  <si>
    <t>DEPARTMENT</t>
  </si>
  <si>
    <t>% Inc</t>
  </si>
  <si>
    <t>SHARED COSTS*</t>
  </si>
  <si>
    <t>EV CHARGING STATIONS</t>
  </si>
  <si>
    <t>HIGHWAY SUBSIDIARY</t>
  </si>
  <si>
    <t>GRAND TOTAL TOWN</t>
  </si>
  <si>
    <t>WAGES</t>
  </si>
  <si>
    <t>ACTUAL</t>
  </si>
  <si>
    <t>BENEFITS</t>
  </si>
  <si>
    <t>CAPITAL</t>
  </si>
  <si>
    <t xml:space="preserve"> PY Actual</t>
  </si>
  <si>
    <t xml:space="preserve"> PY Budget</t>
  </si>
  <si>
    <t>added tab for annual increases by department broken down into wages, exp, capital, debt and benefits.</t>
  </si>
  <si>
    <t>save as 10-17-23</t>
  </si>
  <si>
    <t>using prior year budgeted excess capacity figure</t>
  </si>
  <si>
    <t>Impact of Budgeted Excess Capacity Amount on Town Budget and Affordable Assessment</t>
  </si>
  <si>
    <t>Option 1</t>
  </si>
  <si>
    <t>Use FY24 Budgeted Excess Capacity</t>
  </si>
  <si>
    <t>FY25 Gross Excludable</t>
  </si>
  <si>
    <t>FY25 Net Excluded</t>
  </si>
  <si>
    <t>Note: Impact to Town represents available Taxation for Operating Budget after accounting for Wage, Solid Waste and estimated Health Insurance costs, with all other accounts level funded.</t>
  </si>
  <si>
    <t>Impact to Town Budget</t>
  </si>
  <si>
    <t>Impact to Affordable Assessment:</t>
  </si>
  <si>
    <t>Current Affordable Assessment</t>
  </si>
  <si>
    <t>Amount of Increase</t>
  </si>
  <si>
    <t>FY25 Affordable Assessment</t>
  </si>
  <si>
    <t>% Increase</t>
  </si>
  <si>
    <t>Use FY24 Method</t>
  </si>
  <si>
    <t>FY24 Budgeted Excess Capactiy plus 75% FY24 New Growth</t>
  </si>
  <si>
    <t>Option 2</t>
  </si>
  <si>
    <t>Option 3</t>
  </si>
  <si>
    <t>Adjust to Allow Average Increase to AA</t>
  </si>
  <si>
    <t>added tab for SB 10-23-23 meeting - summary of EC options and impact on town budget and AA</t>
  </si>
  <si>
    <t>Avg % Incr</t>
  </si>
  <si>
    <t>5 Years</t>
  </si>
  <si>
    <t>10 Years</t>
  </si>
  <si>
    <t>incl 24 act NG</t>
  </si>
  <si>
    <t>Cherry Sheet</t>
  </si>
  <si>
    <t>Recap Budget</t>
  </si>
  <si>
    <t>TOWN OPERATING BUDGET TOTALS BY CATEGORY</t>
  </si>
  <si>
    <t>AIRPORT TOTALS BY CATEGORY</t>
  </si>
  <si>
    <t>CWF TOTALS BY CATEGORY</t>
  </si>
  <si>
    <t>TOWN OPERATING BUDGET % BY CATEGORY</t>
  </si>
  <si>
    <t>CWF OPERATING BUDGET % BY CATEGORY</t>
  </si>
  <si>
    <t>AIRPORT OPERATING BUDGET % BY CATEGORY</t>
  </si>
  <si>
    <t>saved as 10-18-23</t>
  </si>
  <si>
    <t>increased 001-5-420-5320-422 to $38K</t>
  </si>
  <si>
    <t>Notes</t>
  </si>
  <si>
    <t>added 2% escalator</t>
  </si>
  <si>
    <t>compared to 5 years prior, 1.6 FTEs added, one top mgmt, one admin.</t>
  </si>
  <si>
    <t>Budget Projections using 10 year average increase as annual increase unless otherwise noted</t>
  </si>
  <si>
    <t>where staffing has changed from 10 years prior, found average increase for original positions and noted % used</t>
  </si>
  <si>
    <t>currently 0, no reason to change at this time</t>
  </si>
  <si>
    <t>too difficult to project so left at 0</t>
  </si>
  <si>
    <t>most of budget is electricity, to made incr closer to 192</t>
  </si>
  <si>
    <t>hours have increased over time</t>
  </si>
  <si>
    <t>level funded, not sure I want to commit to consecutive decreases</t>
  </si>
  <si>
    <t>from 700</t>
  </si>
  <si>
    <t>from 600-700</t>
  </si>
  <si>
    <t>used town increase</t>
  </si>
  <si>
    <t>historically not used</t>
  </si>
  <si>
    <t>from 661-700</t>
  </si>
  <si>
    <t>used 5% recognizing that FY24 involved major increases, and future increases likely to be higher than other departments</t>
  </si>
  <si>
    <t>recent major staff increases, used more reasonable est</t>
  </si>
  <si>
    <t>10 year history volitale, used more typical escalator</t>
  </si>
  <si>
    <t>s/b level funded for several years</t>
  </si>
  <si>
    <t>much has changed in 10 years, went with 5% instead</t>
  </si>
  <si>
    <t>GMRSD AA</t>
  </si>
  <si>
    <t>Montague's enrollment at FCTS 10/1/23 is 74</t>
  </si>
  <si>
    <r>
      <t>3 year average ((+93</t>
    </r>
    <r>
      <rPr>
        <b/>
        <sz val="12"/>
        <rFont val="Times New Roman"/>
        <family val="1"/>
      </rPr>
      <t>+93+74</t>
    </r>
    <r>
      <rPr>
        <sz val="12"/>
        <rFont val="Times New Roman"/>
        <family val="1"/>
      </rPr>
      <t>)/3)=</t>
    </r>
    <r>
      <rPr>
        <b/>
        <sz val="12"/>
        <rFont val="Times New Roman"/>
        <family val="1"/>
      </rPr>
      <t>87</t>
    </r>
    <r>
      <rPr>
        <sz val="12"/>
        <rFont val="Times New Roman"/>
        <family val="1"/>
      </rPr>
      <t xml:space="preserve"> times FY24 PPC (1,053,018/93=11,323); 87 times $11,323 = </t>
    </r>
    <r>
      <rPr>
        <b/>
        <sz val="12"/>
        <rFont val="Times New Roman"/>
        <family val="1"/>
      </rPr>
      <t>985,101</t>
    </r>
    <r>
      <rPr>
        <sz val="12"/>
        <rFont val="Times New Roman"/>
        <family val="1"/>
      </rPr>
      <t xml:space="preserve"> expected assessment; </t>
    </r>
  </si>
  <si>
    <t>Input FY24 budgeted excess capacity as FY25 budgeted amount. SB agreed to start with this number on 10/23</t>
  </si>
  <si>
    <t>received FCTS 10/1 enrollment data and updated tab 300. Reduction of almost $68K from FY24</t>
  </si>
  <si>
    <t>increased annual audit. $38k (includes 1 single audit) + 6K if additional SA needed</t>
  </si>
  <si>
    <t>38K + 6K if add'l single audit needed</t>
  </si>
  <si>
    <t>per KT, changed overlay to $400K</t>
  </si>
  <si>
    <t>Excess Capacity before change in overlay</t>
  </si>
  <si>
    <t>per Bruce 11/21</t>
  </si>
  <si>
    <t>10% increase estimated by vendor</t>
  </si>
  <si>
    <t>slightly underbudgeted for FY24</t>
  </si>
  <si>
    <t>cola</t>
  </si>
  <si>
    <t>just trying to be conservative and pinch the pennies</t>
  </si>
  <si>
    <t>added actual retirement assessments</t>
  </si>
  <si>
    <t>original ret est was $1,128,624. Actual from Assessment letter</t>
  </si>
  <si>
    <t>original ret est was $30,703. Actual from Assessment letter</t>
  </si>
  <si>
    <t>original ret est was $150,308. Actual from Assessment letter</t>
  </si>
  <si>
    <t>Step increases</t>
  </si>
  <si>
    <t>Final numbers not yet voted on by CW MARS Users Council, but will likely be lower</t>
  </si>
  <si>
    <t xml:space="preserve">This cost of paying for the libraries' hotspot subscriptions ($2,400) was added to the Library of Things line, </t>
  </si>
  <si>
    <t xml:space="preserve">Increased to include the cost of leasing a tent for outdoor programming, as requested by TAS. </t>
  </si>
  <si>
    <t>Lowered based on use and to meet need for children's programming supplies</t>
  </si>
  <si>
    <t>This line supports children's programming supplies and has been increased due to demand</t>
  </si>
  <si>
    <t>I've added the cost of the hotspot subscriptions to this line because the hotspots themselves are part of the libraries' circulating collection.</t>
  </si>
  <si>
    <t>Increased to support technology plan designed this spring with Suzor IT. The extra $3,000 will cover the costs of three replacement computers. Two for the public and one circ staff machine</t>
  </si>
  <si>
    <t>reflects current staff salaries</t>
  </si>
  <si>
    <t>new stipend amount</t>
  </si>
  <si>
    <t>no eligible staff in FY25</t>
  </si>
  <si>
    <t>Annual Stipend for Medical Director</t>
  </si>
  <si>
    <t>no foreseen need to advertise</t>
  </si>
  <si>
    <t>Moved $1,000 to other supplies for non-office exp</t>
  </si>
  <si>
    <t>Taken from office supplies for inspection related items</t>
  </si>
  <si>
    <t>added 511, 610, 145, 7##, 91#</t>
  </si>
  <si>
    <t>someone needs to check with union to see if she's eligible - she gets longevity</t>
  </si>
  <si>
    <t>Tax Billing Services</t>
  </si>
  <si>
    <t>Tax Billing Service</t>
  </si>
  <si>
    <t>Reduction in staff</t>
  </si>
  <si>
    <t>part-time help for vacations and peak times</t>
  </si>
  <si>
    <t>reduction in staff</t>
  </si>
  <si>
    <t>new line item</t>
  </si>
  <si>
    <t>Increase in January</t>
  </si>
  <si>
    <t>reduction in trash sticker trips</t>
  </si>
  <si>
    <t>increase in tax title activity</t>
  </si>
  <si>
    <t>increase in rental fees and supplies</t>
  </si>
  <si>
    <t>anticipating 5% increase</t>
  </si>
  <si>
    <t>est 5% incr, allows for plan change</t>
  </si>
  <si>
    <t>reflects current cost, 5% Inc, and allowance for plan changes</t>
  </si>
  <si>
    <t>added 161</t>
  </si>
  <si>
    <t>Board of Registrars (3)</t>
  </si>
  <si>
    <t>Poll Workers</t>
  </si>
  <si>
    <t>Elections Postage</t>
  </si>
  <si>
    <t>New staff at lower steps</t>
  </si>
  <si>
    <t>Registrars</t>
  </si>
  <si>
    <t>Pollworkers</t>
  </si>
  <si>
    <t>Clerk longevity approved at town meeting</t>
  </si>
  <si>
    <t>cost increases, and new Asst TC to attend</t>
  </si>
  <si>
    <t>Election Expenses</t>
  </si>
  <si>
    <t>Census Expenses</t>
  </si>
  <si>
    <t>based on FY23 actual plus expected increases</t>
  </si>
  <si>
    <t>reallocated census/mailing and ballot layout/printing</t>
  </si>
  <si>
    <t>tabulator setup and ballot coding moved to 5316</t>
  </si>
  <si>
    <t>moved from 5305,5344</t>
  </si>
  <si>
    <t>moved from 5305,5315</t>
  </si>
  <si>
    <t>budgeted to reflect actual costs</t>
  </si>
  <si>
    <t>not needed, will be puchased in FY24</t>
  </si>
  <si>
    <t>Add attendance by Asst Town Clerk</t>
  </si>
  <si>
    <t>Adding Asst TC</t>
  </si>
  <si>
    <t>anticipated increase</t>
  </si>
  <si>
    <t>broken out from pollworkers</t>
  </si>
  <si>
    <t>Election Postage</t>
  </si>
  <si>
    <t>moved election postage to 5246, plus rate increase</t>
  </si>
  <si>
    <t>moved from 5344, expected rate incrase</t>
  </si>
  <si>
    <t>to match actual expenditures</t>
  </si>
  <si>
    <t>to meet actual expenses with small amt for inflation and potential increased use.</t>
  </si>
  <si>
    <t>Sexton</t>
  </si>
  <si>
    <t>per contract</t>
  </si>
  <si>
    <t>increased COLA</t>
  </si>
  <si>
    <t>Pay &amp; COLA increase/in person training</t>
  </si>
  <si>
    <t>increased cost &amp; new CJIS router</t>
  </si>
  <si>
    <t>inflation</t>
  </si>
  <si>
    <t>bring to HOC</t>
  </si>
  <si>
    <t>inflation 8% increase</t>
  </si>
  <si>
    <t>increased cost</t>
  </si>
  <si>
    <t>inflation/non-contractual items</t>
  </si>
  <si>
    <t>increased membership dues</t>
  </si>
  <si>
    <t>past injured on duty claims</t>
  </si>
  <si>
    <t>increase based on FY23-24</t>
  </si>
  <si>
    <t>use of grants</t>
  </si>
  <si>
    <t>this was moved to 161 as of FY24. waiting to hear if still needed here.</t>
  </si>
  <si>
    <t>reflects overexpended in FY23</t>
  </si>
  <si>
    <t>reflects increased cost of food</t>
  </si>
  <si>
    <t>reflects actual cost</t>
  </si>
  <si>
    <t>FinCom stipend recommendation</t>
  </si>
  <si>
    <t>anticipate added training post SE</t>
  </si>
  <si>
    <t>reflects increasing cost</t>
  </si>
  <si>
    <t>increased cost based on previous actual</t>
  </si>
  <si>
    <t>cost of Recorder,Statehouse,SurveyMonkey</t>
  </si>
  <si>
    <t>labor negotiations for FY26-28 contracts</t>
  </si>
  <si>
    <t>Cyber Security (Anti-Virus /Acronis)</t>
  </si>
  <si>
    <t>Website (Domain,Hosting,Reg/Sec Cert)</t>
  </si>
  <si>
    <t>Software Licenses (Zoom,Office365,Docusign,Adobe)</t>
  </si>
  <si>
    <t>per FinComm Recommendation</t>
  </si>
  <si>
    <t>quoted cost to renew level services</t>
  </si>
  <si>
    <t>consolidation, no increase from FY23/24 exp</t>
  </si>
  <si>
    <t>consolidation plus net 100 increase</t>
  </si>
  <si>
    <t>consolidation plus net 1500 increase</t>
  </si>
  <si>
    <t>Common Monthly Shredding Service</t>
  </si>
  <si>
    <t>general increase</t>
  </si>
  <si>
    <t>transferred from BOA - not using</t>
  </si>
  <si>
    <t>contractual increase</t>
  </si>
  <si>
    <t>based on 1st half FY24 actual costs</t>
  </si>
  <si>
    <t>Nov2023 exp with 3% cushion</t>
  </si>
  <si>
    <t>based on voted preliminary FCSWMD</t>
  </si>
  <si>
    <t>placeholder FY24 actual + 2%</t>
  </si>
  <si>
    <t>Prelim budget is $22,439 pending update</t>
  </si>
  <si>
    <t>was for 38 Ave A, no longer needed.</t>
  </si>
  <si>
    <t>10% increase based on commercial rates</t>
  </si>
  <si>
    <t>for alarm system</t>
  </si>
  <si>
    <t>no longer providing</t>
  </si>
  <si>
    <t>COLA</t>
  </si>
  <si>
    <t>annual request to accommodate pay increase</t>
  </si>
  <si>
    <t>Code Red - Price Locked to 2026</t>
  </si>
  <si>
    <t>Stipend increase as rec. by Fin Comm</t>
  </si>
  <si>
    <r>
      <t xml:space="preserve">Heavy Equipment </t>
    </r>
    <r>
      <rPr>
        <strike/>
        <sz val="10"/>
        <rFont val="Arial"/>
        <family val="2"/>
      </rPr>
      <t>Lead Ope</t>
    </r>
    <r>
      <rPr>
        <sz val="10"/>
        <rFont val="Arial"/>
        <family val="2"/>
      </rPr>
      <t>r            RB</t>
    </r>
  </si>
  <si>
    <t>C1</t>
  </si>
  <si>
    <t>steps/COLAs</t>
  </si>
  <si>
    <t>wage increases offset by new employees</t>
  </si>
  <si>
    <t>CSO lead phone stipend</t>
  </si>
  <si>
    <t>price increase</t>
  </si>
  <si>
    <t>Comcast price increase</t>
  </si>
  <si>
    <t>steps and COLAs</t>
  </si>
  <si>
    <t>was in SB budget, moved to DPW</t>
  </si>
  <si>
    <t>cost of plows and plow items have increased</t>
  </si>
  <si>
    <t>wage increases</t>
  </si>
  <si>
    <t>new contract with Casella</t>
  </si>
  <si>
    <t>contract increased</t>
  </si>
  <si>
    <t>mattress recyling costs</t>
  </si>
  <si>
    <t>RCAP GIS license and support</t>
  </si>
  <si>
    <t>steps &amp; COLA</t>
  </si>
  <si>
    <t>Contract</t>
  </si>
  <si>
    <t>from 3 licenses to 4</t>
  </si>
  <si>
    <t>contractual increases</t>
  </si>
  <si>
    <t>solids hauler contract increased 208.37/wet ton</t>
  </si>
  <si>
    <t>engineering/reporting/project management</t>
  </si>
  <si>
    <t>new line item, funded from 5400</t>
  </si>
  <si>
    <t>moved 10K to 5319 Corrosion Control</t>
  </si>
  <si>
    <t>used in permit requiered chlorination as feed water</t>
  </si>
  <si>
    <t>no longer use line item</t>
  </si>
  <si>
    <t>union contractual uniforms + clothing allowance</t>
  </si>
  <si>
    <t>2.5% annual increase per contract</t>
  </si>
  <si>
    <t>ideally 100% of operating budget</t>
  </si>
  <si>
    <t>added all budgets except 141 and 541 - still waiting for submission</t>
  </si>
  <si>
    <t xml:space="preserve">Expected equipment purchases </t>
  </si>
  <si>
    <t>Item</t>
  </si>
  <si>
    <t>Qty</t>
  </si>
  <si>
    <t>Price</t>
  </si>
  <si>
    <t>Ext</t>
  </si>
  <si>
    <t xml:space="preserve">desktops </t>
  </si>
  <si>
    <t>(41 desktops - 20% of inventory)</t>
  </si>
  <si>
    <t>laptops</t>
  </si>
  <si>
    <t>(10 total - 20% of inventory)</t>
  </si>
  <si>
    <t>Other (failures)</t>
  </si>
  <si>
    <t xml:space="preserve">* Purchase near end of year to allow for non-work station/laptop hardware failures </t>
  </si>
  <si>
    <t>Combined Budget Lines</t>
  </si>
  <si>
    <t>Cyber Security (does not include MIIA insurance)</t>
  </si>
  <si>
    <t>Anti-Virus (prev Sp Art)see note (ESET - 3 Yr)</t>
  </si>
  <si>
    <t>Software Licenses</t>
  </si>
  <si>
    <t>Zoom Licenses</t>
  </si>
  <si>
    <t>consider migration to Teams?</t>
  </si>
  <si>
    <t>Web Registration and Hosting</t>
  </si>
  <si>
    <t>contract</t>
  </si>
  <si>
    <t>small anticipated increase</t>
  </si>
  <si>
    <t>anticipated rate increase</t>
  </si>
  <si>
    <t>reallocate repairs to 5251</t>
  </si>
  <si>
    <t>reallocate repairs to 5242</t>
  </si>
  <si>
    <t>reduced services</t>
  </si>
  <si>
    <t>correction from FY24</t>
  </si>
  <si>
    <t>cost increase</t>
  </si>
  <si>
    <t>anticipated conference attandance</t>
  </si>
  <si>
    <t>last paid FY20</t>
  </si>
  <si>
    <t>and allowances for potential winter impacts as well</t>
  </si>
  <si>
    <t>as potential rate increases.</t>
  </si>
  <si>
    <r>
      <t xml:space="preserve">Evaluated all accounts looking at </t>
    </r>
    <r>
      <rPr>
        <b/>
        <sz val="10"/>
        <rFont val="Arial"/>
        <family val="2"/>
      </rPr>
      <t>prior year amounts</t>
    </r>
    <r>
      <rPr>
        <sz val="10"/>
        <rFont val="Arial"/>
        <family val="2"/>
      </rPr>
      <t>,</t>
    </r>
  </si>
  <si>
    <r>
      <t xml:space="preserve">projections based on </t>
    </r>
    <r>
      <rPr>
        <b/>
        <sz val="10"/>
        <rFont val="Arial"/>
        <family val="2"/>
      </rPr>
      <t>current year activity</t>
    </r>
    <r>
      <rPr>
        <sz val="10"/>
        <rFont val="Arial"/>
        <family val="2"/>
      </rPr>
      <t xml:space="preserve"> to date</t>
    </r>
  </si>
  <si>
    <t>billing will be corrected for FY24 for $2300</t>
  </si>
  <si>
    <t>main reason for change</t>
  </si>
  <si>
    <t>food costs</t>
  </si>
  <si>
    <t>FY25 BOA not keeping license, Bldg adding one</t>
  </si>
  <si>
    <t>wages, supply cost incr</t>
  </si>
  <si>
    <t>wages, software license</t>
  </si>
  <si>
    <t>CO Note: town vehicle should reduce this a lot</t>
  </si>
  <si>
    <t>1 less staff offset by outsourcing bills</t>
  </si>
  <si>
    <t>contract negotiations</t>
  </si>
  <si>
    <t>10K incr in IT service contract</t>
  </si>
  <si>
    <t>FY24 included furniture</t>
  </si>
  <si>
    <t>wages</t>
  </si>
  <si>
    <t>budget request based on actual costs</t>
  </si>
  <si>
    <t>FY24 actuals</t>
  </si>
  <si>
    <t>wages, addl Citizen Serve Lic</t>
  </si>
  <si>
    <t>wages less decr travel (town vehicle) less Citizen Serve (to 241)</t>
  </si>
  <si>
    <t>plow costs</t>
  </si>
  <si>
    <t>new contract</t>
  </si>
  <si>
    <t>actual use</t>
  </si>
  <si>
    <t>new staff</t>
  </si>
  <si>
    <t>cushion</t>
  </si>
  <si>
    <t>wages, technology</t>
  </si>
  <si>
    <t>current estimates</t>
  </si>
  <si>
    <t>retirement, 5% Hins placeholder</t>
  </si>
  <si>
    <t>MEDIC ins no longer needed for 38 Ave A</t>
  </si>
  <si>
    <t>wages, MF, contract mgmt</t>
  </si>
  <si>
    <t>cushion for coverage increase</t>
  </si>
  <si>
    <t>HE Lead Operator position removed from use</t>
  </si>
  <si>
    <t>Recyclables - Non Curbside</t>
  </si>
  <si>
    <t>no new office equipment anticipated</t>
  </si>
  <si>
    <t>approx 3% increase on 8660 expected</t>
  </si>
  <si>
    <t>estimated software increase</t>
  </si>
  <si>
    <t>reduced based on 2 year trend</t>
  </si>
  <si>
    <t>anticipated postage rate increase</t>
  </si>
  <si>
    <t>not needed this year</t>
  </si>
  <si>
    <t>no longer use this software</t>
  </si>
  <si>
    <t>reduced due to town vehicle use</t>
  </si>
  <si>
    <t>added 141</t>
  </si>
  <si>
    <t>added 541</t>
  </si>
  <si>
    <t>added YTD exp to 12/31/23</t>
  </si>
  <si>
    <t>saved as 12.27.23</t>
  </si>
  <si>
    <t>PT Clerk</t>
  </si>
  <si>
    <t xml:space="preserve">Clerk 20 hrs </t>
  </si>
  <si>
    <t xml:space="preserve">Part Time Wages </t>
  </si>
  <si>
    <t>adjusted 910 medicare budget based on budgeted wages</t>
  </si>
  <si>
    <t>May be on 3/14/24 STM</t>
  </si>
  <si>
    <t>CWF MC Pump Station Rehab</t>
  </si>
  <si>
    <t>Replace 10 ton trailer</t>
  </si>
  <si>
    <t>New Skid Steer</t>
  </si>
  <si>
    <t>Replace Ferry Rd Culvert</t>
  </si>
  <si>
    <t>Town Hall Parking Lot Rehab</t>
  </si>
  <si>
    <t>Sewer pipe + manhole relining</t>
  </si>
  <si>
    <t>Strathmore Building Security</t>
  </si>
  <si>
    <t>Hillcrest Paving and Sidewalks</t>
  </si>
  <si>
    <t>Sheffield Main Office Reconfiguration</t>
  </si>
  <si>
    <t>Repave 1st Street Alley</t>
  </si>
  <si>
    <t>Current Balances</t>
  </si>
  <si>
    <t xml:space="preserve">CWF </t>
  </si>
  <si>
    <t>added Collection System Laborer to 422 and 910 at grade B</t>
  </si>
  <si>
    <t>Collection System Laborer</t>
  </si>
  <si>
    <t>increased 211-5114 from 16K to 20K per C Williams request via email.</t>
  </si>
  <si>
    <t>saved as 1/3/24</t>
  </si>
  <si>
    <t>updated working budget from updated CIC requests</t>
  </si>
  <si>
    <t>Chief Williams requested add'l $365 in 5730</t>
  </si>
  <si>
    <t>Chief Williams requested add'l $365 in #5730 for increase in dues for the MA Chief's of Police Assn.</t>
  </si>
  <si>
    <t>increased 151 per KP 5% rate increase letter</t>
  </si>
  <si>
    <t>KP expects 5% increase for FY25</t>
  </si>
  <si>
    <t>SE received notice that KP Law intends to increase its rate for most services from $225/hr to $235/hr. This is a shade under 4.5%.</t>
  </si>
  <si>
    <t>saved as 1/8</t>
  </si>
  <si>
    <t>added article for Smith tuition and transportation</t>
  </si>
  <si>
    <t>Smith VoTech Tuition and Transportation</t>
  </si>
  <si>
    <t>increased 5791 from 5500 to 7500 per CL</t>
  </si>
  <si>
    <t>increased 661-440-5791 per CL</t>
  </si>
  <si>
    <t>600-482- added reduced services budget in former BOS recommend column</t>
  </si>
  <si>
    <t>updated 131,132 per 1/10 FC vote</t>
  </si>
  <si>
    <t>saved as 1.11.23 and sent out</t>
  </si>
  <si>
    <t>added reduced services request</t>
  </si>
  <si>
    <t>FY24 Levy</t>
  </si>
  <si>
    <t>Raise &amp; Appropriate additional funds</t>
  </si>
  <si>
    <t>C Williams requested an additional increase for a $456 new expense that apparently can't be covered within the existing 2.116M budget</t>
  </si>
  <si>
    <t>Chief Williams requested add'l $456 in 5341</t>
  </si>
  <si>
    <t>C Little requested new line item for Sewer Bills/Mailing with FY25 budget of $3,500</t>
  </si>
  <si>
    <t>Sewer Bills/Mailing</t>
  </si>
  <si>
    <t>new line item so sewer bill postage paid from CWF</t>
  </si>
  <si>
    <t>Removed Collection System Laborer to 422 and 910 at grade B per 1/16 SB decision</t>
  </si>
  <si>
    <t>adj 5174 removed $30K for Coll Sys Op position - postponed</t>
  </si>
  <si>
    <t>added CWF Special article for MF/Erving overage charge for calendar year 2023</t>
  </si>
  <si>
    <t>Chief Williams requested 10% incentive for Ruddock and additional 5% for Deery</t>
  </si>
  <si>
    <t>per contract- one new officer, one getting increase</t>
  </si>
  <si>
    <t>removed Skid Steer and Culvert from Sp Arts - will be on STM</t>
  </si>
  <si>
    <t>removed Strathmore special article</t>
  </si>
  <si>
    <t>increased UGGA to FY24+3% per governor's budget</t>
  </si>
  <si>
    <t>added $20K to 5174 for add'l retirements</t>
  </si>
  <si>
    <t>reviewed Hins costs again, making sure all vacancies accounted for. Net incr 20K for town</t>
  </si>
  <si>
    <t>Document says this is estimated at 1 FTE employee. FY25 Budget has 9 FTE, so 1 FTE = 1/9 total labor costs</t>
  </si>
  <si>
    <t>TOTAL COST TO TOWN TO TREAT I &amp; I IN FY25</t>
  </si>
  <si>
    <t>2 calendar year average Montague CWF flow</t>
  </si>
  <si>
    <t>J3</t>
  </si>
  <si>
    <t>I5</t>
  </si>
  <si>
    <t>Per WR contract, flexibility for new ATA</t>
  </si>
  <si>
    <t>reflects cost of current staff</t>
  </si>
  <si>
    <t>change in staffing</t>
  </si>
  <si>
    <t>for add'l training</t>
  </si>
  <si>
    <t xml:space="preserve">updated Est Rev using Gov #s for vets, state owned land, ch 70 and charges. </t>
  </si>
  <si>
    <t>updated SB 122 budget for new TA, ATA</t>
  </si>
  <si>
    <t>saved as 1.25.24 and sent out</t>
  </si>
  <si>
    <t>adjusted 482 cap outlay to 18,125 (may combine all 3 years town share into 1 article</t>
  </si>
  <si>
    <t>realized increase in overlay reduced AA after given to GM. Input AA approved earlier, which removed almost all of available taxation balance. But then Steve reminded me of revised AA in Nov, so used that</t>
  </si>
  <si>
    <t>received GM excluded debt amount and adjusted DE-1 (which flows to main tab and Affordable Assessment)</t>
  </si>
  <si>
    <t>Per SE email, updates 5664 and 5665 in 840</t>
  </si>
  <si>
    <t>Total Budget using original request less CO</t>
  </si>
  <si>
    <t>Estimated Taxation funding with CO to Sp Article</t>
  </si>
  <si>
    <t>Sale of RE for remaining Pioneer Debt</t>
  </si>
  <si>
    <t xml:space="preserve">updated 910s for 8% Health Ins rate increase </t>
  </si>
  <si>
    <t>updated 5174 for actual 8% rate incr</t>
  </si>
  <si>
    <t>5174 ok for 8% actual rate incr</t>
  </si>
  <si>
    <t>increased 5174 $50K for actual 5% rate increase</t>
  </si>
  <si>
    <t>saved as 2.5.24</t>
  </si>
  <si>
    <t xml:space="preserve">added tax share of airport in working budget </t>
  </si>
  <si>
    <t>updated FCTS FY25 assessment $811,679 (operating assessment only) and added $25,200 as placeholder for the capital assessment</t>
  </si>
  <si>
    <t>updated tax share I &amp; I per Chelsey, with adj for benefit estimate changes. Note that this includes all of the MF overage charge (SB had proposed putting amount over budget on warrant as SA from town funds).</t>
  </si>
  <si>
    <t>482 Operating - Level Services less Capital (assumes will be Sp Art)</t>
  </si>
  <si>
    <t>700 Debt</t>
  </si>
  <si>
    <t>900 Benefits</t>
  </si>
  <si>
    <r>
      <t>FY25 actual assessment is $</t>
    </r>
    <r>
      <rPr>
        <b/>
        <i/>
        <sz val="12"/>
        <rFont val="Times New Roman"/>
        <family val="1"/>
      </rPr>
      <t>836,879</t>
    </r>
    <r>
      <rPr>
        <sz val="12"/>
        <rFont val="Times New Roman"/>
        <family val="1"/>
      </rPr>
      <t xml:space="preserve">, leaving a surplus of </t>
    </r>
    <r>
      <rPr>
        <b/>
        <i/>
        <sz val="12"/>
        <rFont val="Times New Roman"/>
        <family val="1"/>
      </rPr>
      <t>$148,222</t>
    </r>
  </si>
  <si>
    <r>
      <t xml:space="preserve">Policy is to transfer surplus in excess of $10,000 </t>
    </r>
    <r>
      <rPr>
        <b/>
        <i/>
        <sz val="12"/>
        <rFont val="Times New Roman"/>
        <family val="1"/>
      </rPr>
      <t>(138,222</t>
    </r>
    <r>
      <rPr>
        <sz val="12"/>
        <rFont val="Times New Roman"/>
        <family val="1"/>
      </rPr>
      <t>) to the FCTS Stabilization fund.</t>
    </r>
  </si>
  <si>
    <t>FY25 per pupil is 10,969. Expected enrollment for FY26 is XX</t>
  </si>
  <si>
    <t>The current balance of the FCTS Stabilization fund is 295,920</t>
  </si>
  <si>
    <t>Accountant recommends NOT adding the $138K to FCTS Stab as current balance is sufficient to cover 2 years of a shortfall equal to the FY25 surplus</t>
  </si>
  <si>
    <t>updated FCTS FY25 assessment to include actual $25,677 capital assessment</t>
  </si>
  <si>
    <t xml:space="preserve">For FY26 </t>
  </si>
  <si>
    <t>Consider moving 449 to town budget, then reduce tax share CWF by 449 budget (since currently fully funded, as originally intended, by sewer users) to balance funding sources.</t>
  </si>
  <si>
    <t>sent out as 2.5.24</t>
  </si>
  <si>
    <t>Saved as 2.14.24</t>
  </si>
  <si>
    <t>increased 5796 from 55K to actual $94,668 per SB meeting 2/12</t>
  </si>
  <si>
    <t>increased 661-440-5976 to reflect full amount of MF overage charge per SB meeting 2/12/24</t>
  </si>
  <si>
    <t>added DWP 10 Wheel Dump Truck SP article Request</t>
  </si>
  <si>
    <t>10 Wheel Dump Truck</t>
  </si>
  <si>
    <t>Updated articles per 2.13.24 CIC report. Hillcrest cafeteria withdrawn, Town Hall Pkg Lot Increased,</t>
  </si>
  <si>
    <t>Hillcrest Café Reconfiguration Withdrawn for FY25</t>
  </si>
  <si>
    <t>reduced DPW Disc based on 2-15-24 balance</t>
  </si>
  <si>
    <t>MF/Erving overage charge CY 2023 added to budget per SB</t>
  </si>
  <si>
    <t>New Main Branch Library Feasibility Study</t>
  </si>
  <si>
    <t>est after STM</t>
  </si>
  <si>
    <t>level funds wages</t>
  </si>
  <si>
    <t>updated revised budget column for Airport - note this level funds wages. Still using additional request for links to working budget &amp; tax share</t>
  </si>
  <si>
    <t>CWF Tax Liens Redeemed</t>
  </si>
  <si>
    <t>CWF Sewer Liens Redeemed</t>
  </si>
  <si>
    <t>CWF Interest &amp; Demands</t>
  </si>
  <si>
    <t>CWF Industrial Sewer</t>
  </si>
  <si>
    <t>CWF Residential Sewer</t>
  </si>
  <si>
    <t>CWF Septage Fees</t>
  </si>
  <si>
    <t>CWF Biosolids Handling</t>
  </si>
  <si>
    <t>CWF Investment Income</t>
  </si>
  <si>
    <t>CWF Misc Revenue</t>
  </si>
  <si>
    <t>CWF MWPAT Subsidy</t>
  </si>
  <si>
    <t>CWF Bond Premiums</t>
  </si>
  <si>
    <t>CWF Transfer from GF-I&amp;I</t>
  </si>
  <si>
    <t>CWF Transfer from CPF</t>
  </si>
  <si>
    <t>CWF Operating Budget</t>
  </si>
  <si>
    <t>CWF DPW Subsidiary</t>
  </si>
  <si>
    <t>CWF Debt</t>
  </si>
  <si>
    <t>CWF Employee Benefits</t>
  </si>
  <si>
    <t xml:space="preserve">Updated requested budget for airport to equal what the Airport Commission approved on 2/13. Further adjusted taxation amount needed </t>
  </si>
  <si>
    <t>changed level services budget to amounts voted by Airport Commission on 2/13/24</t>
  </si>
  <si>
    <t>If SB decides to fund the amount over the FY25 budget for the known $94,668,</t>
  </si>
  <si>
    <t>updated 2/22/24 with CL info</t>
  </si>
  <si>
    <t>Final update to tax share CWF</t>
  </si>
  <si>
    <t>save as 2-22-24 and sent out</t>
  </si>
  <si>
    <t xml:space="preserve">TOTAL  SELECTBOARD </t>
  </si>
  <si>
    <t>added $2,600 to equal 12 bills at 1/10-2/7 amount +10% cushion</t>
  </si>
  <si>
    <t>added $2,600 to equal 12 bills at 1/10-2/7 amount +10% cushion (after seeing low amount and prepping Reserve Fund Transfer)</t>
  </si>
  <si>
    <t>Assessors Legal/Val services</t>
  </si>
  <si>
    <t xml:space="preserve">   Sale of Real Estate</t>
  </si>
  <si>
    <t>added BOA article for ATB</t>
  </si>
  <si>
    <t>adjusted funding for articles</t>
  </si>
  <si>
    <t>saved as 3.12.24 and sent out</t>
  </si>
  <si>
    <t>Sheffield Main Office</t>
  </si>
  <si>
    <t>Hillcrest Paving</t>
  </si>
  <si>
    <t>MC Pump Station</t>
  </si>
  <si>
    <t>Main Branch Library</t>
  </si>
  <si>
    <t>DPW Equip</t>
  </si>
  <si>
    <t>DPW Skid Steer</t>
  </si>
  <si>
    <t xml:space="preserve">DPW 10-Wheel </t>
  </si>
  <si>
    <t>Line Manholes/Pipes</t>
  </si>
  <si>
    <t>BOA ATB</t>
  </si>
  <si>
    <t>Pave 1st St Alley</t>
  </si>
  <si>
    <t>Town Hall Pkg Lot</t>
  </si>
  <si>
    <t>Conservation</t>
  </si>
  <si>
    <t>Commitments</t>
  </si>
  <si>
    <t>Abatements</t>
  </si>
  <si>
    <t>Net commitment</t>
  </si>
  <si>
    <t xml:space="preserve">Special Articles from SUF </t>
  </si>
  <si>
    <t>% increase from PY based on PY Commitments</t>
  </si>
  <si>
    <t>updated based on 12/31 YTDx12 for 380,000, then reduced to get close to 3% rate incr</t>
  </si>
  <si>
    <t>updated and fixed Est Sewer Rate Inc tab</t>
  </si>
  <si>
    <t>FY23 Septage = 203,374.</t>
  </si>
  <si>
    <t>as of 2/29, FY24 Septage = 221,009. Divide by 10 and multiply by 12 gets annual 265,211</t>
  </si>
  <si>
    <t>FY23 Total (incl Gill of 113,913) was 448,520. FY24 to 2/29 and extrapolated for 12 mos = 420,332</t>
  </si>
  <si>
    <t>Opt to make</t>
  </si>
  <si>
    <t>rate Incr =</t>
  </si>
  <si>
    <t>Budget Inc</t>
  </si>
  <si>
    <t>of 3.77%</t>
  </si>
  <si>
    <t>CitizenServe licenses are now $1,800, 11 for total of $19,800</t>
  </si>
  <si>
    <t>FC &amp; SB voted budget</t>
  </si>
  <si>
    <t>saved as Final Budget 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</si>
</sst>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409]#,##0;[Red]\-[$$-409]#,##0"/>
    <numFmt numFmtId="166" formatCode="_(* #,##0.00_);_(* \(#,##0.00\);_(* &quot;-&quot;_);_(@_)"/>
    <numFmt numFmtId="167" formatCode="_(* #,##0_);_(* \(#,##0\);_(* &quot;-&quot;??_);_(@_)"/>
    <numFmt numFmtId="168" formatCode="0.0%"/>
    <numFmt numFmtId="169" formatCode="#,##0;[Red]#,##0"/>
    <numFmt numFmtId="170" formatCode="[$$-409]#,##0.00;[Red]\-[$$-409]#,##0.00"/>
    <numFmt numFmtId="171" formatCode="_(* #,##0.000000_);_(* \(#,##0.000000\);_(* &quot;-&quot;??_);_(@_)"/>
    <numFmt numFmtId="172" formatCode="0.0000%"/>
    <numFmt numFmtId="173" formatCode="_(* #,##0.0000_);_(* \(#,##0.0000\);_(* &quot;-&quot;??_);_(@_)"/>
    <numFmt numFmtId="174" formatCode="0.000%"/>
    <numFmt numFmtId="175" formatCode="_(* #,##0.0_);_(* \(#,##0.0\);_(* &quot;-&quot;??_);_(@_)"/>
    <numFmt numFmtId="176" formatCode="m/d/yy;@"/>
  </numFmts>
  <fonts count="83" x14ac:knownFonts="1">
    <font>
      <sz val="10"/>
      <name val="Times New Roman"/>
    </font>
    <font>
      <sz val="11"/>
      <color theme="1"/>
      <name val="Arial"/>
      <family val="2"/>
      <scheme val="minor"/>
    </font>
    <font>
      <sz val="10"/>
      <name val="Times New Roman"/>
      <family val="1"/>
    </font>
    <font>
      <sz val="10"/>
      <name val="Arial"/>
      <family val="2"/>
    </font>
    <font>
      <b/>
      <sz val="10"/>
      <name val="Arial"/>
      <family val="2"/>
    </font>
    <font>
      <sz val="11"/>
      <name val="Arial"/>
      <family val="2"/>
    </font>
    <font>
      <b/>
      <sz val="11"/>
      <name val="Arial"/>
      <family val="2"/>
    </font>
    <font>
      <b/>
      <u/>
      <sz val="10"/>
      <name val="Times New Roman"/>
      <family val="1"/>
    </font>
    <font>
      <b/>
      <sz val="10"/>
      <name val="Times New Roman"/>
      <family val="1"/>
    </font>
    <font>
      <sz val="10"/>
      <name val="Times New Roman"/>
      <family val="1"/>
    </font>
    <font>
      <b/>
      <sz val="10"/>
      <color indexed="8"/>
      <name val="Arial"/>
      <family val="2"/>
    </font>
    <font>
      <sz val="10"/>
      <color indexed="8"/>
      <name val="Arial"/>
      <family val="2"/>
    </font>
    <font>
      <u/>
      <sz val="10"/>
      <name val="Times New Roman"/>
      <family val="1"/>
    </font>
    <font>
      <b/>
      <sz val="12"/>
      <name val="Arial"/>
      <family val="2"/>
    </font>
    <font>
      <sz val="14"/>
      <name val="Times New Roman"/>
      <family val="1"/>
    </font>
    <font>
      <sz val="8"/>
      <name val="Times New Roman"/>
      <family val="1"/>
    </font>
    <font>
      <b/>
      <sz val="11"/>
      <name val="Times New Roman"/>
      <family val="1"/>
    </font>
    <font>
      <b/>
      <sz val="11"/>
      <color indexed="10"/>
      <name val="Times New Roman"/>
      <family val="1"/>
    </font>
    <font>
      <sz val="11"/>
      <name val="Times New Roman"/>
      <family val="1"/>
    </font>
    <font>
      <u/>
      <sz val="11"/>
      <name val="Times New Roman"/>
      <family val="1"/>
    </font>
    <font>
      <b/>
      <sz val="10"/>
      <name val="Microsoft Sans Serif"/>
      <family val="2"/>
    </font>
    <font>
      <b/>
      <sz val="12"/>
      <name val="Times New Roman"/>
      <family val="1"/>
    </font>
    <font>
      <sz val="16"/>
      <name val="Arial"/>
      <family val="2"/>
    </font>
    <font>
      <u val="singleAccounting"/>
      <sz val="10"/>
      <name val="Times New Roman"/>
      <family val="1"/>
    </font>
    <font>
      <sz val="12"/>
      <name val="Times New Roman"/>
      <family val="1"/>
    </font>
    <font>
      <sz val="12"/>
      <name val="Arial"/>
      <family val="2"/>
    </font>
    <font>
      <u/>
      <sz val="10"/>
      <name val="Arial"/>
      <family val="2"/>
    </font>
    <font>
      <sz val="11"/>
      <name val="Calibri"/>
      <family val="2"/>
    </font>
    <font>
      <u/>
      <sz val="10"/>
      <color theme="10"/>
      <name val="Times New Roman"/>
      <family val="1"/>
    </font>
    <font>
      <u/>
      <sz val="11"/>
      <color theme="1"/>
      <name val="Arial"/>
      <family val="2"/>
      <scheme val="minor"/>
    </font>
    <font>
      <sz val="10"/>
      <color theme="1"/>
      <name val="Times New Roman"/>
      <family val="1"/>
    </font>
    <font>
      <sz val="11"/>
      <color rgb="FF1F497D"/>
      <name val="Calibri"/>
      <family val="2"/>
    </font>
    <font>
      <u/>
      <sz val="11"/>
      <color rgb="FF000000"/>
      <name val="Calibri"/>
      <family val="2"/>
    </font>
    <font>
      <b/>
      <sz val="10"/>
      <name val="Times New Roman"/>
      <family val="1"/>
      <charset val="1"/>
    </font>
    <font>
      <sz val="10"/>
      <name val="Arial"/>
      <family val="2"/>
      <charset val="1"/>
    </font>
    <font>
      <b/>
      <sz val="10"/>
      <name val="Arial"/>
      <family val="2"/>
      <charset val="1"/>
    </font>
    <font>
      <sz val="9"/>
      <name val="Arial"/>
      <family val="2"/>
    </font>
    <font>
      <b/>
      <sz val="12"/>
      <color theme="1"/>
      <name val="Arial"/>
      <family val="2"/>
    </font>
    <font>
      <b/>
      <u/>
      <sz val="12"/>
      <name val="Arial"/>
      <family val="2"/>
    </font>
    <font>
      <u/>
      <sz val="11"/>
      <name val="Arial"/>
      <family val="2"/>
    </font>
    <font>
      <strike/>
      <sz val="10"/>
      <name val="Arial"/>
      <family val="2"/>
    </font>
    <font>
      <sz val="10"/>
      <name val="Arial"/>
      <family val="2"/>
      <scheme val="minor"/>
    </font>
    <font>
      <b/>
      <sz val="10"/>
      <name val="Arial"/>
      <family val="2"/>
      <scheme val="minor"/>
    </font>
    <font>
      <sz val="10"/>
      <name val="Arial"/>
      <family val="2"/>
      <scheme val="major"/>
    </font>
    <font>
      <b/>
      <sz val="10"/>
      <name val="Arial"/>
      <family val="2"/>
      <scheme val="major"/>
    </font>
    <font>
      <u/>
      <sz val="12"/>
      <color theme="10"/>
      <name val="Arial"/>
      <family val="2"/>
      <scheme val="minor"/>
    </font>
    <font>
      <sz val="12"/>
      <name val="Arial"/>
      <family val="2"/>
      <scheme val="minor"/>
    </font>
    <font>
      <b/>
      <sz val="12"/>
      <name val="Arial"/>
      <family val="2"/>
      <scheme val="minor"/>
    </font>
    <font>
      <sz val="12"/>
      <color rgb="FFFF0000"/>
      <name val="Arial"/>
      <family val="2"/>
      <scheme val="minor"/>
    </font>
    <font>
      <strike/>
      <sz val="12"/>
      <name val="Arial"/>
      <family val="2"/>
      <scheme val="minor"/>
    </font>
    <font>
      <b/>
      <sz val="12"/>
      <color theme="1"/>
      <name val="Arial"/>
      <family val="2"/>
      <scheme val="minor"/>
    </font>
    <font>
      <sz val="12"/>
      <name val="Arial"/>
      <family val="2"/>
      <scheme val="major"/>
    </font>
    <font>
      <b/>
      <u/>
      <sz val="12"/>
      <name val="Arial"/>
      <family val="2"/>
      <scheme val="major"/>
    </font>
    <font>
      <u/>
      <sz val="12"/>
      <color theme="10"/>
      <name val="Arial"/>
      <family val="2"/>
    </font>
    <font>
      <u val="singleAccounting"/>
      <sz val="12"/>
      <name val="Arial"/>
      <family val="2"/>
    </font>
    <font>
      <b/>
      <i/>
      <sz val="12"/>
      <name val="Times New Roman"/>
      <family val="1"/>
    </font>
    <font>
      <u/>
      <sz val="10"/>
      <color theme="10"/>
      <name val="Arial"/>
      <family val="2"/>
      <scheme val="minor"/>
    </font>
    <font>
      <sz val="14"/>
      <name val="Arial"/>
      <family val="2"/>
    </font>
    <font>
      <b/>
      <sz val="14"/>
      <name val="Arial"/>
      <family val="2"/>
    </font>
    <font>
      <b/>
      <strike/>
      <sz val="10"/>
      <name val="Arial"/>
      <family val="2"/>
    </font>
    <font>
      <sz val="12"/>
      <name val="Calibri"/>
      <family val="2"/>
    </font>
    <font>
      <u/>
      <sz val="12"/>
      <name val="Calibri"/>
      <family val="2"/>
    </font>
    <font>
      <b/>
      <sz val="18"/>
      <name val="Times New Roman"/>
      <family val="1"/>
    </font>
    <font>
      <b/>
      <u/>
      <sz val="10"/>
      <name val="Arial"/>
      <family val="2"/>
    </font>
    <font>
      <u val="singleAccounting"/>
      <sz val="12"/>
      <name val="Arial"/>
      <family val="2"/>
      <scheme val="minor"/>
    </font>
    <font>
      <u/>
      <sz val="10"/>
      <name val="Arial"/>
      <family val="2"/>
      <charset val="1"/>
    </font>
    <font>
      <strike/>
      <sz val="10"/>
      <name val="Arial"/>
      <family val="2"/>
      <scheme val="minor"/>
    </font>
    <font>
      <b/>
      <sz val="14"/>
      <name val="Calibri"/>
      <family val="2"/>
    </font>
    <font>
      <sz val="14"/>
      <name val="Calibri"/>
      <family val="2"/>
    </font>
    <font>
      <b/>
      <sz val="12"/>
      <name val="Calibri"/>
      <family val="2"/>
    </font>
    <font>
      <sz val="10"/>
      <name val="Calibri"/>
      <family val="2"/>
    </font>
    <font>
      <b/>
      <u/>
      <sz val="10"/>
      <name val="Calibri"/>
      <family val="2"/>
    </font>
    <font>
      <u/>
      <sz val="10"/>
      <name val="Calibri"/>
      <family val="2"/>
    </font>
    <font>
      <u val="singleAccounting"/>
      <sz val="10"/>
      <name val="Calibri"/>
      <family val="2"/>
    </font>
    <font>
      <b/>
      <sz val="10"/>
      <name val="Calibri"/>
      <family val="2"/>
    </font>
    <font>
      <sz val="12"/>
      <color rgb="FF000000"/>
      <name val="Arial"/>
      <family val="2"/>
      <scheme val="minor"/>
    </font>
    <font>
      <b/>
      <i/>
      <sz val="10"/>
      <name val="Arial"/>
      <family val="2"/>
    </font>
    <font>
      <b/>
      <sz val="11"/>
      <name val="Calibri"/>
      <family val="2"/>
    </font>
    <font>
      <b/>
      <sz val="11"/>
      <color theme="1"/>
      <name val="Arial"/>
      <family val="2"/>
      <scheme val="minor"/>
    </font>
    <font>
      <sz val="9"/>
      <name val="Times New Roman"/>
      <family val="1"/>
    </font>
    <font>
      <b/>
      <sz val="10"/>
      <color rgb="FFFF0000"/>
      <name val="Times New Roman"/>
      <family val="1"/>
    </font>
    <font>
      <sz val="10"/>
      <color rgb="FFFF0000"/>
      <name val="Times New Roman"/>
      <family val="1"/>
    </font>
    <font>
      <i/>
      <sz val="10"/>
      <name val="Times New Roman"/>
      <family val="1"/>
    </font>
  </fonts>
  <fills count="2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6"/>
        <bgColor indexed="64"/>
      </patternFill>
    </fill>
    <fill>
      <patternFill patternType="solid">
        <fgColor theme="4" tint="0.79998168889431442"/>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1"/>
        <bgColor indexed="64"/>
      </patternFill>
    </fill>
    <fill>
      <patternFill patternType="solid">
        <fgColor rgb="FFFF99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DCE6F2"/>
        <bgColor rgb="FFD9D9D9"/>
      </patternFill>
    </fill>
    <fill>
      <patternFill patternType="solid">
        <fgColor theme="0" tint="-0.49998474074526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0066"/>
        <bgColor indexed="64"/>
      </patternFill>
    </fill>
    <fill>
      <patternFill patternType="solid">
        <fgColor rgb="FF00B050"/>
        <bgColor indexed="64"/>
      </patternFill>
    </fill>
    <fill>
      <patternFill patternType="solid">
        <fgColor rgb="FFFF0000"/>
        <bgColor indexed="64"/>
      </patternFill>
    </fill>
  </fills>
  <borders count="76">
    <border>
      <left/>
      <right/>
      <top/>
      <bottom/>
      <diagonal/>
    </border>
    <border>
      <left style="double">
        <color indexed="64"/>
      </left>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style="double">
        <color indexed="64"/>
      </left>
      <right/>
      <top/>
      <bottom/>
      <diagonal/>
    </border>
    <border>
      <left/>
      <right style="thin">
        <color indexed="64"/>
      </right>
      <top/>
      <bottom style="thin">
        <color indexed="64"/>
      </bottom>
      <diagonal/>
    </border>
    <border>
      <left style="thin">
        <color indexed="64"/>
      </left>
      <right style="thin">
        <color indexed="64"/>
      </right>
      <top style="double">
        <color indexed="64"/>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style="double">
        <color indexed="64"/>
      </top>
      <bottom/>
      <diagonal/>
    </border>
    <border>
      <left/>
      <right style="thin">
        <color indexed="64"/>
      </right>
      <top/>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medium">
        <color indexed="64"/>
      </top>
      <bottom/>
      <diagonal/>
    </border>
    <border>
      <left/>
      <right/>
      <top style="double">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double">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bottom/>
      <diagonal/>
    </border>
    <border>
      <left style="hair">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6">
    <xf numFmtId="165" fontId="0" fillId="0" borderId="0"/>
    <xf numFmtId="43" fontId="2" fillId="0" borderId="0" applyFont="0" applyFill="0" applyBorder="0" applyAlignment="0" applyProtection="0"/>
    <xf numFmtId="165" fontId="28" fillId="0" borderId="0" applyNumberFormat="0" applyFill="0" applyBorder="0" applyAlignment="0" applyProtection="0">
      <alignment vertical="top"/>
      <protection locked="0"/>
    </xf>
    <xf numFmtId="9" fontId="2" fillId="0" borderId="0" applyFont="0" applyFill="0" applyBorder="0" applyAlignment="0" applyProtection="0"/>
    <xf numFmtId="165" fontId="2" fillId="0" borderId="0"/>
    <xf numFmtId="43" fontId="2" fillId="0" borderId="0" applyFont="0" applyFill="0" applyBorder="0" applyAlignment="0" applyProtection="0"/>
  </cellStyleXfs>
  <cellXfs count="1368">
    <xf numFmtId="165" fontId="0" fillId="0" borderId="0" xfId="0"/>
    <xf numFmtId="43" fontId="0" fillId="0" borderId="0" xfId="1" applyFont="1"/>
    <xf numFmtId="41" fontId="0" fillId="0" borderId="0" xfId="0" applyNumberFormat="1"/>
    <xf numFmtId="41" fontId="0" fillId="0" borderId="0" xfId="0" applyNumberFormat="1" applyAlignment="1">
      <alignment horizontal="center"/>
    </xf>
    <xf numFmtId="165" fontId="3" fillId="0" borderId="0" xfId="0" applyFont="1"/>
    <xf numFmtId="165" fontId="4" fillId="0" borderId="1" xfId="0" applyFont="1" applyBorder="1"/>
    <xf numFmtId="165" fontId="4" fillId="0" borderId="2" xfId="0" applyFont="1" applyBorder="1"/>
    <xf numFmtId="165" fontId="4" fillId="0" borderId="3" xfId="0" applyFont="1" applyBorder="1" applyAlignment="1">
      <alignment horizontal="center"/>
    </xf>
    <xf numFmtId="165" fontId="4" fillId="0" borderId="4" xfId="0" applyFont="1" applyBorder="1"/>
    <xf numFmtId="165" fontId="4" fillId="0" borderId="5" xfId="0" applyFont="1" applyBorder="1" applyAlignment="1">
      <alignment horizontal="center"/>
    </xf>
    <xf numFmtId="165" fontId="4" fillId="0" borderId="8" xfId="0" applyFont="1" applyBorder="1" applyAlignment="1">
      <alignment horizontal="center"/>
    </xf>
    <xf numFmtId="165" fontId="3" fillId="0" borderId="9" xfId="0" applyFont="1" applyBorder="1"/>
    <xf numFmtId="165" fontId="3" fillId="0" borderId="10" xfId="0" applyFont="1" applyBorder="1"/>
    <xf numFmtId="43" fontId="3" fillId="0" borderId="11" xfId="1" applyFont="1" applyBorder="1"/>
    <xf numFmtId="41" fontId="3" fillId="0" borderId="11" xfId="0" applyNumberFormat="1" applyFont="1" applyBorder="1"/>
    <xf numFmtId="43" fontId="3" fillId="0" borderId="12" xfId="1" applyFont="1" applyBorder="1"/>
    <xf numFmtId="41" fontId="3" fillId="0" borderId="12" xfId="0" applyNumberFormat="1" applyFont="1" applyBorder="1"/>
    <xf numFmtId="165" fontId="4" fillId="0" borderId="10" xfId="0" applyFont="1" applyBorder="1"/>
    <xf numFmtId="43" fontId="3" fillId="0" borderId="8" xfId="1" applyFont="1" applyBorder="1"/>
    <xf numFmtId="41" fontId="3" fillId="0" borderId="8" xfId="0" applyNumberFormat="1" applyFont="1" applyBorder="1"/>
    <xf numFmtId="165" fontId="4" fillId="0" borderId="14" xfId="0" applyFont="1" applyBorder="1"/>
    <xf numFmtId="43" fontId="3" fillId="0" borderId="15" xfId="1" applyFont="1" applyBorder="1"/>
    <xf numFmtId="41" fontId="3" fillId="0" borderId="15" xfId="0" applyNumberFormat="1" applyFont="1" applyBorder="1"/>
    <xf numFmtId="43" fontId="3" fillId="0" borderId="0" xfId="1" applyFont="1"/>
    <xf numFmtId="43" fontId="3" fillId="0" borderId="0" xfId="1" applyFont="1" applyBorder="1"/>
    <xf numFmtId="41" fontId="3" fillId="0" borderId="0" xfId="0" applyNumberFormat="1" applyFont="1"/>
    <xf numFmtId="165" fontId="3" fillId="0" borderId="6" xfId="0" applyFont="1" applyBorder="1"/>
    <xf numFmtId="165" fontId="3" fillId="0" borderId="7" xfId="0" applyFont="1" applyBorder="1"/>
    <xf numFmtId="43" fontId="3" fillId="0" borderId="16" xfId="1" applyFont="1" applyBorder="1"/>
    <xf numFmtId="41" fontId="3" fillId="0" borderId="16" xfId="0" applyNumberFormat="1" applyFont="1" applyBorder="1"/>
    <xf numFmtId="43" fontId="3" fillId="0" borderId="17" xfId="1" applyFont="1" applyBorder="1"/>
    <xf numFmtId="41" fontId="3" fillId="0" borderId="17" xfId="0" applyNumberFormat="1" applyFont="1" applyBorder="1"/>
    <xf numFmtId="41" fontId="3" fillId="0" borderId="10" xfId="0" applyNumberFormat="1" applyFont="1" applyBorder="1"/>
    <xf numFmtId="41" fontId="4" fillId="0" borderId="8" xfId="0" applyNumberFormat="1" applyFont="1" applyBorder="1" applyAlignment="1">
      <alignment horizontal="center"/>
    </xf>
    <xf numFmtId="41" fontId="3" fillId="0" borderId="8" xfId="1" applyNumberFormat="1" applyFont="1" applyBorder="1"/>
    <xf numFmtId="43" fontId="3" fillId="0" borderId="18" xfId="1" applyFont="1" applyBorder="1"/>
    <xf numFmtId="41" fontId="3" fillId="0" borderId="18" xfId="0" applyNumberFormat="1" applyFont="1" applyBorder="1"/>
    <xf numFmtId="43" fontId="3" fillId="0" borderId="19" xfId="1" applyFont="1" applyBorder="1"/>
    <xf numFmtId="41" fontId="3" fillId="0" borderId="19" xfId="0" applyNumberFormat="1" applyFont="1" applyBorder="1"/>
    <xf numFmtId="41" fontId="3" fillId="0" borderId="15" xfId="1" applyNumberFormat="1" applyFont="1" applyBorder="1"/>
    <xf numFmtId="41" fontId="3" fillId="0" borderId="11" xfId="1" applyNumberFormat="1" applyFont="1" applyBorder="1"/>
    <xf numFmtId="41" fontId="3" fillId="0" borderId="12" xfId="1" applyNumberFormat="1" applyFont="1" applyBorder="1"/>
    <xf numFmtId="41" fontId="3" fillId="0" borderId="10" xfId="1" applyNumberFormat="1" applyFont="1" applyBorder="1"/>
    <xf numFmtId="165" fontId="5" fillId="0" borderId="0" xfId="0" applyFont="1"/>
    <xf numFmtId="165" fontId="6" fillId="0" borderId="0" xfId="0" applyFont="1"/>
    <xf numFmtId="165" fontId="4" fillId="0" borderId="16" xfId="0" applyFont="1" applyBorder="1" applyAlignment="1">
      <alignment horizontal="center"/>
    </xf>
    <xf numFmtId="165" fontId="3" fillId="0" borderId="22" xfId="0" applyFont="1" applyBorder="1" applyAlignment="1">
      <alignment horizontal="center"/>
    </xf>
    <xf numFmtId="41" fontId="3" fillId="0" borderId="23" xfId="0" applyNumberFormat="1" applyFont="1" applyBorder="1" applyAlignment="1">
      <alignment horizontal="center"/>
    </xf>
    <xf numFmtId="165" fontId="3" fillId="0" borderId="24" xfId="0" applyFont="1" applyBorder="1"/>
    <xf numFmtId="165" fontId="4" fillId="0" borderId="24" xfId="0" applyFont="1" applyBorder="1"/>
    <xf numFmtId="165" fontId="4" fillId="0" borderId="25" xfId="0" applyFont="1" applyBorder="1"/>
    <xf numFmtId="41" fontId="0" fillId="0" borderId="26" xfId="0" applyNumberFormat="1" applyBorder="1"/>
    <xf numFmtId="41" fontId="0" fillId="0" borderId="27" xfId="0" applyNumberFormat="1" applyBorder="1"/>
    <xf numFmtId="41" fontId="0" fillId="0" borderId="28" xfId="0" applyNumberFormat="1" applyBorder="1"/>
    <xf numFmtId="14" fontId="3" fillId="0" borderId="0" xfId="0" applyNumberFormat="1" applyFont="1"/>
    <xf numFmtId="165" fontId="0" fillId="0" borderId="28" xfId="0" applyBorder="1"/>
    <xf numFmtId="43" fontId="3" fillId="0" borderId="0" xfId="1" quotePrefix="1" applyFont="1"/>
    <xf numFmtId="41" fontId="3" fillId="0" borderId="11" xfId="0" quotePrefix="1" applyNumberFormat="1" applyFont="1" applyBorder="1"/>
    <xf numFmtId="43" fontId="6" fillId="0" borderId="0" xfId="1" applyFont="1"/>
    <xf numFmtId="43" fontId="4" fillId="0" borderId="8" xfId="1" applyFont="1" applyBorder="1" applyAlignment="1">
      <alignment horizontal="center"/>
    </xf>
    <xf numFmtId="165" fontId="3" fillId="0" borderId="11" xfId="0" applyFont="1" applyBorder="1"/>
    <xf numFmtId="165" fontId="4" fillId="0" borderId="11" xfId="0" applyFont="1" applyBorder="1"/>
    <xf numFmtId="165" fontId="4" fillId="0" borderId="7" xfId="0" applyFont="1" applyBorder="1"/>
    <xf numFmtId="16" fontId="3" fillId="0" borderId="0" xfId="0" applyNumberFormat="1" applyFont="1"/>
    <xf numFmtId="43" fontId="0" fillId="0" borderId="0" xfId="0" applyNumberFormat="1"/>
    <xf numFmtId="41" fontId="0" fillId="0" borderId="0" xfId="1" applyNumberFormat="1" applyFont="1"/>
    <xf numFmtId="165" fontId="0" fillId="0" borderId="18" xfId="0" applyBorder="1"/>
    <xf numFmtId="165" fontId="0" fillId="0" borderId="8" xfId="0" applyBorder="1"/>
    <xf numFmtId="165" fontId="0" fillId="0" borderId="7" xfId="0" applyBorder="1"/>
    <xf numFmtId="165" fontId="0" fillId="0" borderId="11" xfId="0" applyBorder="1"/>
    <xf numFmtId="14" fontId="0" fillId="0" borderId="11" xfId="0" applyNumberFormat="1" applyBorder="1"/>
    <xf numFmtId="43" fontId="0" fillId="0" borderId="11" xfId="1" applyFont="1" applyBorder="1"/>
    <xf numFmtId="165" fontId="10" fillId="0" borderId="8" xfId="0" applyFont="1" applyBorder="1" applyAlignment="1">
      <alignment horizontal="center"/>
    </xf>
    <xf numFmtId="41" fontId="3" fillId="0" borderId="0" xfId="1" applyNumberFormat="1" applyFont="1"/>
    <xf numFmtId="165" fontId="4" fillId="0" borderId="0" xfId="0" applyFont="1"/>
    <xf numFmtId="43" fontId="4" fillId="0" borderId="0" xfId="1" applyFont="1"/>
    <xf numFmtId="165" fontId="9" fillId="0" borderId="0" xfId="0" applyFont="1"/>
    <xf numFmtId="165" fontId="4" fillId="0" borderId="30" xfId="0" applyFont="1" applyBorder="1" applyAlignment="1">
      <alignment horizontal="center"/>
    </xf>
    <xf numFmtId="165" fontId="4" fillId="0" borderId="30" xfId="0" applyFont="1" applyBorder="1"/>
    <xf numFmtId="165" fontId="4" fillId="0" borderId="31" xfId="0" applyFont="1" applyBorder="1" applyAlignment="1">
      <alignment horizontal="center"/>
    </xf>
    <xf numFmtId="41" fontId="4" fillId="0" borderId="31" xfId="0" applyNumberFormat="1" applyFont="1" applyBorder="1" applyAlignment="1">
      <alignment horizontal="center"/>
    </xf>
    <xf numFmtId="165" fontId="4" fillId="0" borderId="32" xfId="0" applyFont="1" applyBorder="1"/>
    <xf numFmtId="43" fontId="4" fillId="0" borderId="16" xfId="1" applyFont="1" applyBorder="1" applyAlignment="1">
      <alignment horizontal="center"/>
    </xf>
    <xf numFmtId="165" fontId="4" fillId="0" borderId="20" xfId="0" applyFont="1" applyBorder="1" applyAlignment="1">
      <alignment horizontal="center"/>
    </xf>
    <xf numFmtId="165" fontId="4" fillId="0" borderId="0" xfId="0" applyFont="1" applyAlignment="1">
      <alignment horizontal="center"/>
    </xf>
    <xf numFmtId="41" fontId="4" fillId="0" borderId="16" xfId="0" applyNumberFormat="1" applyFont="1" applyBorder="1" applyAlignment="1">
      <alignment horizontal="center"/>
    </xf>
    <xf numFmtId="41" fontId="4" fillId="0" borderId="20" xfId="0" applyNumberFormat="1" applyFont="1" applyBorder="1" applyAlignment="1">
      <alignment horizontal="center"/>
    </xf>
    <xf numFmtId="41" fontId="3" fillId="0" borderId="33" xfId="0" applyNumberFormat="1" applyFont="1" applyBorder="1"/>
    <xf numFmtId="165" fontId="4" fillId="0" borderId="33" xfId="0" applyFont="1" applyBorder="1" applyAlignment="1">
      <alignment horizontal="center"/>
    </xf>
    <xf numFmtId="41" fontId="3" fillId="0" borderId="18" xfId="1" applyNumberFormat="1" applyFont="1" applyBorder="1"/>
    <xf numFmtId="165" fontId="3" fillId="0" borderId="12" xfId="0" applyFont="1" applyBorder="1"/>
    <xf numFmtId="165" fontId="3" fillId="0" borderId="34" xfId="0" applyFont="1" applyBorder="1"/>
    <xf numFmtId="43" fontId="3" fillId="0" borderId="23" xfId="1" applyFont="1" applyBorder="1" applyAlignment="1">
      <alignment horizontal="center"/>
    </xf>
    <xf numFmtId="43" fontId="3" fillId="0" borderId="11" xfId="1" quotePrefix="1" applyFont="1" applyBorder="1"/>
    <xf numFmtId="43" fontId="3" fillId="0" borderId="10" xfId="1" applyFont="1" applyBorder="1"/>
    <xf numFmtId="43" fontId="3" fillId="0" borderId="7" xfId="1" applyFont="1" applyBorder="1"/>
    <xf numFmtId="43" fontId="10" fillId="0" borderId="8" xfId="1" applyFont="1" applyBorder="1" applyAlignment="1">
      <alignment horizontal="center"/>
    </xf>
    <xf numFmtId="43" fontId="3" fillId="0" borderId="0" xfId="1" applyFont="1" applyFill="1"/>
    <xf numFmtId="165" fontId="0" fillId="0" borderId="3" xfId="0" applyBorder="1"/>
    <xf numFmtId="165" fontId="3" fillId="0" borderId="36" xfId="0" applyFont="1" applyBorder="1"/>
    <xf numFmtId="165" fontId="3" fillId="0" borderId="5" xfId="0" applyFont="1" applyBorder="1"/>
    <xf numFmtId="165" fontId="3" fillId="0" borderId="8" xfId="0" applyFont="1" applyBorder="1"/>
    <xf numFmtId="43" fontId="4" fillId="0" borderId="0" xfId="1" applyFont="1" applyBorder="1" applyAlignment="1">
      <alignment horizontal="center"/>
    </xf>
    <xf numFmtId="43" fontId="4" fillId="0" borderId="37" xfId="1" applyFont="1" applyBorder="1" applyAlignment="1">
      <alignment horizontal="center"/>
    </xf>
    <xf numFmtId="43" fontId="4" fillId="0" borderId="38" xfId="1" applyFont="1" applyBorder="1" applyAlignment="1">
      <alignment horizontal="center"/>
    </xf>
    <xf numFmtId="43" fontId="9" fillId="0" borderId="0" xfId="1" applyFont="1"/>
    <xf numFmtId="165" fontId="3" fillId="0" borderId="16" xfId="0" applyFont="1" applyBorder="1" applyAlignment="1">
      <alignment horizontal="center"/>
    </xf>
    <xf numFmtId="165" fontId="4" fillId="0" borderId="40" xfId="0" applyFont="1" applyBorder="1"/>
    <xf numFmtId="43" fontId="3" fillId="0" borderId="41" xfId="1" applyFont="1" applyBorder="1"/>
    <xf numFmtId="43" fontId="3" fillId="0" borderId="40" xfId="1" applyFont="1" applyBorder="1"/>
    <xf numFmtId="43" fontId="3" fillId="0" borderId="42" xfId="1" applyFont="1" applyBorder="1"/>
    <xf numFmtId="43" fontId="3" fillId="0" borderId="8" xfId="1" applyFont="1" applyFill="1" applyBorder="1"/>
    <xf numFmtId="43" fontId="4" fillId="0" borderId="20" xfId="1" applyFont="1" applyBorder="1" applyAlignment="1">
      <alignment horizontal="center"/>
    </xf>
    <xf numFmtId="43" fontId="4" fillId="0" borderId="31" xfId="1" applyFont="1" applyBorder="1" applyAlignment="1">
      <alignment horizontal="center"/>
    </xf>
    <xf numFmtId="43" fontId="4" fillId="0" borderId="33" xfId="1" applyFont="1" applyBorder="1" applyAlignment="1">
      <alignment horizontal="center"/>
    </xf>
    <xf numFmtId="43" fontId="3" fillId="0" borderId="24" xfId="1" applyFont="1" applyBorder="1"/>
    <xf numFmtId="43" fontId="3" fillId="0" borderId="43" xfId="1" applyFont="1" applyBorder="1"/>
    <xf numFmtId="43" fontId="3" fillId="0" borderId="33" xfId="1" applyFont="1" applyBorder="1"/>
    <xf numFmtId="43" fontId="3" fillId="0" borderId="16" xfId="1" applyFont="1" applyBorder="1" applyAlignment="1">
      <alignment horizontal="center"/>
    </xf>
    <xf numFmtId="43" fontId="0" fillId="0" borderId="0" xfId="1" applyFont="1" applyBorder="1"/>
    <xf numFmtId="14" fontId="4" fillId="0" borderId="5" xfId="1" applyNumberFormat="1" applyFont="1" applyBorder="1" applyAlignment="1">
      <alignment horizontal="center"/>
    </xf>
    <xf numFmtId="14" fontId="4" fillId="0" borderId="30" xfId="1" applyNumberFormat="1" applyFont="1" applyBorder="1" applyAlignment="1">
      <alignment horizontal="center"/>
    </xf>
    <xf numFmtId="41" fontId="3" fillId="2" borderId="8" xfId="0" applyNumberFormat="1" applyFont="1" applyFill="1" applyBorder="1"/>
    <xf numFmtId="10" fontId="0" fillId="0" borderId="0" xfId="0" applyNumberFormat="1"/>
    <xf numFmtId="165" fontId="0" fillId="0" borderId="0" xfId="0" applyAlignment="1">
      <alignment horizontal="center"/>
    </xf>
    <xf numFmtId="43" fontId="5" fillId="0" borderId="0" xfId="1" applyFont="1"/>
    <xf numFmtId="43" fontId="4" fillId="0" borderId="11" xfId="1" applyFont="1" applyBorder="1"/>
    <xf numFmtId="43" fontId="3" fillId="0" borderId="11" xfId="1" applyFont="1" applyFill="1" applyBorder="1"/>
    <xf numFmtId="43" fontId="3" fillId="0" borderId="28" xfId="1" applyFont="1" applyBorder="1"/>
    <xf numFmtId="41" fontId="11" fillId="0" borderId="19" xfId="0" applyNumberFormat="1" applyFont="1" applyBorder="1"/>
    <xf numFmtId="165" fontId="3" fillId="0" borderId="35" xfId="0" applyFont="1" applyBorder="1" applyAlignment="1">
      <alignment horizontal="center"/>
    </xf>
    <xf numFmtId="14" fontId="3" fillId="0" borderId="36" xfId="0" applyNumberFormat="1" applyFont="1" applyBorder="1" applyAlignment="1">
      <alignment horizontal="center"/>
    </xf>
    <xf numFmtId="14" fontId="3" fillId="0" borderId="8" xfId="0" applyNumberFormat="1" applyFont="1" applyBorder="1"/>
    <xf numFmtId="14" fontId="3" fillId="0" borderId="11" xfId="0" applyNumberFormat="1" applyFont="1" applyBorder="1"/>
    <xf numFmtId="43" fontId="3" fillId="0" borderId="11" xfId="1" applyFont="1" applyBorder="1" applyAlignment="1">
      <alignment horizontal="left"/>
    </xf>
    <xf numFmtId="43" fontId="3" fillId="0" borderId="11" xfId="1" applyFont="1" applyBorder="1" applyAlignment="1">
      <alignment horizontal="right"/>
    </xf>
    <xf numFmtId="43" fontId="3" fillId="0" borderId="8" xfId="0" applyNumberFormat="1" applyFont="1" applyBorder="1"/>
    <xf numFmtId="43" fontId="3" fillId="0" borderId="31" xfId="1" applyFont="1" applyBorder="1" applyAlignment="1">
      <alignment horizontal="center"/>
    </xf>
    <xf numFmtId="165" fontId="3" fillId="0" borderId="31" xfId="0" applyFont="1" applyBorder="1" applyAlignment="1">
      <alignment horizontal="center"/>
    </xf>
    <xf numFmtId="165" fontId="3" fillId="0" borderId="37" xfId="0" applyFont="1" applyBorder="1" applyAlignment="1">
      <alignment horizontal="center"/>
    </xf>
    <xf numFmtId="43" fontId="3" fillId="0" borderId="5" xfId="1" applyFont="1" applyBorder="1" applyAlignment="1">
      <alignment horizontal="center"/>
    </xf>
    <xf numFmtId="165" fontId="3" fillId="0" borderId="5" xfId="0" applyFont="1" applyBorder="1" applyAlignment="1">
      <alignment horizontal="center"/>
    </xf>
    <xf numFmtId="165" fontId="3" fillId="0" borderId="44" xfId="0" applyFont="1" applyBorder="1" applyAlignment="1">
      <alignment horizontal="center"/>
    </xf>
    <xf numFmtId="165" fontId="3" fillId="0" borderId="33" xfId="0" applyFont="1" applyBorder="1" applyAlignment="1">
      <alignment horizontal="center"/>
    </xf>
    <xf numFmtId="165" fontId="3" fillId="0" borderId="18" xfId="0" applyFont="1" applyBorder="1" applyAlignment="1">
      <alignment horizontal="center"/>
    </xf>
    <xf numFmtId="165" fontId="3" fillId="0" borderId="8" xfId="0" applyFont="1" applyBorder="1" applyAlignment="1">
      <alignment horizontal="center"/>
    </xf>
    <xf numFmtId="165" fontId="3" fillId="0" borderId="3" xfId="0" applyFont="1" applyBorder="1"/>
    <xf numFmtId="43" fontId="3" fillId="0" borderId="11" xfId="0" applyNumberFormat="1" applyFont="1" applyBorder="1"/>
    <xf numFmtId="43" fontId="3" fillId="0" borderId="0" xfId="0" applyNumberFormat="1" applyFont="1"/>
    <xf numFmtId="165" fontId="3" fillId="0" borderId="3" xfId="0" applyFont="1" applyBorder="1" applyAlignment="1">
      <alignment horizontal="center"/>
    </xf>
    <xf numFmtId="41" fontId="4" fillId="0" borderId="8" xfId="0" applyNumberFormat="1" applyFont="1" applyBorder="1"/>
    <xf numFmtId="41" fontId="4" fillId="0" borderId="11" xfId="0" applyNumberFormat="1" applyFont="1" applyBorder="1"/>
    <xf numFmtId="14" fontId="0" fillId="0" borderId="0" xfId="0" applyNumberFormat="1"/>
    <xf numFmtId="165" fontId="0" fillId="0" borderId="20" xfId="0" applyBorder="1"/>
    <xf numFmtId="41" fontId="4" fillId="0" borderId="12" xfId="0" applyNumberFormat="1" applyFont="1" applyBorder="1"/>
    <xf numFmtId="41" fontId="8" fillId="0" borderId="0" xfId="0" applyNumberFormat="1" applyFont="1"/>
    <xf numFmtId="165" fontId="4" fillId="0" borderId="23" xfId="0" applyFont="1" applyBorder="1" applyAlignment="1">
      <alignment horizontal="center"/>
    </xf>
    <xf numFmtId="43" fontId="8" fillId="0" borderId="11" xfId="1" applyFont="1" applyBorder="1"/>
    <xf numFmtId="165" fontId="0" fillId="0" borderId="26" xfId="0" applyBorder="1"/>
    <xf numFmtId="41" fontId="0" fillId="0" borderId="20" xfId="0" applyNumberFormat="1" applyBorder="1"/>
    <xf numFmtId="16" fontId="0" fillId="0" borderId="0" xfId="0" applyNumberFormat="1"/>
    <xf numFmtId="41" fontId="0" fillId="0" borderId="40" xfId="0" applyNumberFormat="1" applyBorder="1"/>
    <xf numFmtId="41" fontId="3" fillId="0" borderId="16" xfId="1" applyNumberFormat="1" applyFont="1" applyBorder="1"/>
    <xf numFmtId="41" fontId="3" fillId="0" borderId="19" xfId="1" applyNumberFormat="1" applyFont="1" applyBorder="1"/>
    <xf numFmtId="41" fontId="3" fillId="0" borderId="17" xfId="1" applyNumberFormat="1" applyFont="1" applyBorder="1"/>
    <xf numFmtId="9" fontId="0" fillId="0" borderId="0" xfId="0" applyNumberFormat="1"/>
    <xf numFmtId="3" fontId="0" fillId="0" borderId="0" xfId="0" applyNumberFormat="1"/>
    <xf numFmtId="165" fontId="0" fillId="0" borderId="44" xfId="0" applyBorder="1"/>
    <xf numFmtId="165" fontId="0" fillId="0" borderId="46" xfId="0" applyBorder="1"/>
    <xf numFmtId="165" fontId="0" fillId="0" borderId="47" xfId="0" applyBorder="1"/>
    <xf numFmtId="165" fontId="0" fillId="0" borderId="48" xfId="0" applyBorder="1"/>
    <xf numFmtId="165" fontId="0" fillId="0" borderId="49" xfId="0" applyBorder="1"/>
    <xf numFmtId="9" fontId="0" fillId="0" borderId="50" xfId="0" applyNumberFormat="1" applyBorder="1"/>
    <xf numFmtId="41" fontId="0" fillId="0" borderId="50" xfId="0" applyNumberFormat="1" applyBorder="1"/>
    <xf numFmtId="165" fontId="0" fillId="0" borderId="50" xfId="0" applyBorder="1"/>
    <xf numFmtId="165" fontId="0" fillId="0" borderId="51" xfId="0" applyBorder="1"/>
    <xf numFmtId="165" fontId="0" fillId="0" borderId="52" xfId="0" applyBorder="1"/>
    <xf numFmtId="165" fontId="0" fillId="0" borderId="53" xfId="0" applyBorder="1"/>
    <xf numFmtId="14" fontId="4" fillId="0" borderId="16" xfId="0" applyNumberFormat="1" applyFont="1" applyBorder="1" applyAlignment="1">
      <alignment horizontal="center"/>
    </xf>
    <xf numFmtId="41" fontId="0" fillId="0" borderId="8" xfId="0" applyNumberFormat="1" applyBorder="1"/>
    <xf numFmtId="41" fontId="3" fillId="0" borderId="23" xfId="0" applyNumberFormat="1" applyFont="1" applyBorder="1"/>
    <xf numFmtId="41" fontId="4" fillId="0" borderId="0" xfId="0" applyNumberFormat="1" applyFont="1"/>
    <xf numFmtId="165" fontId="4" fillId="0" borderId="8" xfId="0" applyFont="1" applyBorder="1"/>
    <xf numFmtId="41" fontId="13" fillId="0" borderId="0" xfId="0" applyNumberFormat="1" applyFont="1"/>
    <xf numFmtId="165" fontId="4" fillId="0" borderId="38" xfId="0" applyFont="1" applyBorder="1"/>
    <xf numFmtId="165" fontId="3" fillId="0" borderId="23" xfId="0" applyFont="1" applyBorder="1"/>
    <xf numFmtId="165" fontId="3" fillId="0" borderId="23" xfId="0" applyFont="1" applyBorder="1" applyAlignment="1">
      <alignment horizontal="center"/>
    </xf>
    <xf numFmtId="165" fontId="3" fillId="0" borderId="0" xfId="0" applyFont="1" applyAlignment="1">
      <alignment horizontal="center"/>
    </xf>
    <xf numFmtId="41" fontId="3" fillId="0" borderId="0" xfId="1" applyNumberFormat="1" applyFont="1" applyBorder="1"/>
    <xf numFmtId="49" fontId="0" fillId="0" borderId="0" xfId="0" applyNumberFormat="1"/>
    <xf numFmtId="41" fontId="4" fillId="0" borderId="0" xfId="1" applyNumberFormat="1" applyFont="1"/>
    <xf numFmtId="43" fontId="11" fillId="0" borderId="8" xfId="1" applyFont="1" applyBorder="1" applyAlignment="1">
      <alignment horizontal="center"/>
    </xf>
    <xf numFmtId="165" fontId="11" fillId="0" borderId="8" xfId="0" applyFont="1" applyBorder="1" applyAlignment="1">
      <alignment horizontal="center"/>
    </xf>
    <xf numFmtId="43" fontId="3" fillId="0" borderId="0" xfId="1" applyFont="1" applyBorder="1" applyAlignment="1">
      <alignment horizontal="center"/>
    </xf>
    <xf numFmtId="43" fontId="2" fillId="0" borderId="0" xfId="1" applyFont="1"/>
    <xf numFmtId="41" fontId="3" fillId="0" borderId="8" xfId="0" applyNumberFormat="1" applyFont="1" applyBorder="1" applyAlignment="1">
      <alignment horizontal="center"/>
    </xf>
    <xf numFmtId="43" fontId="3" fillId="0" borderId="23" xfId="0" applyNumberFormat="1" applyFont="1" applyBorder="1"/>
    <xf numFmtId="43" fontId="0" fillId="0" borderId="0" xfId="1" applyFont="1" applyFill="1" applyBorder="1"/>
    <xf numFmtId="43" fontId="16" fillId="0" borderId="0" xfId="1" applyFont="1"/>
    <xf numFmtId="43" fontId="17" fillId="0" borderId="0" xfId="1" applyFont="1" applyAlignment="1">
      <alignment horizontal="center"/>
    </xf>
    <xf numFmtId="43" fontId="3" fillId="0" borderId="18" xfId="1" applyFont="1" applyFill="1" applyBorder="1"/>
    <xf numFmtId="41" fontId="3" fillId="0" borderId="7" xfId="0" applyNumberFormat="1" applyFont="1" applyBorder="1"/>
    <xf numFmtId="165" fontId="2" fillId="0" borderId="0" xfId="0" applyFont="1"/>
    <xf numFmtId="165" fontId="18" fillId="0" borderId="0" xfId="0" applyFont="1"/>
    <xf numFmtId="165" fontId="18" fillId="0" borderId="0" xfId="0" applyFont="1" applyAlignment="1">
      <alignment horizontal="center"/>
    </xf>
    <xf numFmtId="165" fontId="19" fillId="0" borderId="0" xfId="0" applyFont="1"/>
    <xf numFmtId="165" fontId="19" fillId="0" borderId="0" xfId="0" applyFont="1" applyAlignment="1">
      <alignment horizontal="center"/>
    </xf>
    <xf numFmtId="165" fontId="16" fillId="0" borderId="0" xfId="0" applyFont="1"/>
    <xf numFmtId="41" fontId="3" fillId="0" borderId="11" xfId="1" applyNumberFormat="1" applyFont="1" applyFill="1" applyBorder="1"/>
    <xf numFmtId="41" fontId="3" fillId="0" borderId="8" xfId="1" applyNumberFormat="1" applyFont="1" applyFill="1" applyBorder="1"/>
    <xf numFmtId="43" fontId="3" fillId="0" borderId="44" xfId="1" applyFont="1" applyBorder="1"/>
    <xf numFmtId="41" fontId="3" fillId="0" borderId="40" xfId="0" applyNumberFormat="1" applyFont="1" applyBorder="1"/>
    <xf numFmtId="43" fontId="4" fillId="0" borderId="3" xfId="1" applyFont="1" applyBorder="1" applyAlignment="1">
      <alignment horizontal="center"/>
    </xf>
    <xf numFmtId="165" fontId="0" fillId="0" borderId="38" xfId="0" applyBorder="1"/>
    <xf numFmtId="165" fontId="29" fillId="0" borderId="0" xfId="0" applyFont="1" applyAlignment="1">
      <alignment horizontal="center"/>
    </xf>
    <xf numFmtId="165" fontId="29" fillId="0" borderId="38" xfId="0" applyFont="1" applyBorder="1" applyAlignment="1">
      <alignment horizontal="center"/>
    </xf>
    <xf numFmtId="165" fontId="20" fillId="0" borderId="20" xfId="0" applyFont="1" applyBorder="1"/>
    <xf numFmtId="165" fontId="20" fillId="0" borderId="40" xfId="0" applyFont="1" applyBorder="1"/>
    <xf numFmtId="43" fontId="0" fillId="0" borderId="54" xfId="1" applyFont="1" applyBorder="1"/>
    <xf numFmtId="41" fontId="0" fillId="0" borderId="54" xfId="0" applyNumberFormat="1" applyBorder="1"/>
    <xf numFmtId="165" fontId="0" fillId="3" borderId="0" xfId="0" applyFill="1"/>
    <xf numFmtId="43" fontId="30" fillId="3" borderId="54" xfId="1" applyFont="1" applyFill="1" applyBorder="1"/>
    <xf numFmtId="41" fontId="4" fillId="0" borderId="8" xfId="1" applyNumberFormat="1" applyFont="1" applyBorder="1"/>
    <xf numFmtId="43" fontId="0" fillId="0" borderId="11" xfId="1" applyFont="1" applyFill="1" applyBorder="1"/>
    <xf numFmtId="41" fontId="3" fillId="0" borderId="44" xfId="0" applyNumberFormat="1" applyFont="1" applyBorder="1"/>
    <xf numFmtId="41" fontId="4" fillId="0" borderId="42" xfId="0" applyNumberFormat="1" applyFont="1" applyBorder="1"/>
    <xf numFmtId="165" fontId="7" fillId="0" borderId="0" xfId="0" applyFont="1"/>
    <xf numFmtId="165" fontId="14" fillId="0" borderId="0" xfId="0" applyFont="1"/>
    <xf numFmtId="165" fontId="4" fillId="0" borderId="37" xfId="0" applyFont="1" applyBorder="1" applyAlignment="1">
      <alignment horizontal="center"/>
    </xf>
    <xf numFmtId="165" fontId="4" fillId="0" borderId="38" xfId="0" applyFont="1" applyBorder="1" applyAlignment="1">
      <alignment horizontal="center"/>
    </xf>
    <xf numFmtId="41" fontId="4" fillId="0" borderId="37" xfId="0" applyNumberFormat="1" applyFont="1" applyBorder="1" applyAlignment="1">
      <alignment horizontal="center"/>
    </xf>
    <xf numFmtId="41" fontId="4" fillId="0" borderId="38" xfId="0" applyNumberFormat="1" applyFont="1" applyBorder="1" applyAlignment="1">
      <alignment horizontal="center"/>
    </xf>
    <xf numFmtId="41" fontId="3" fillId="5" borderId="11" xfId="0" applyNumberFormat="1" applyFont="1" applyFill="1" applyBorder="1"/>
    <xf numFmtId="165" fontId="3" fillId="5" borderId="10" xfId="0" applyFont="1" applyFill="1" applyBorder="1"/>
    <xf numFmtId="165" fontId="3" fillId="0" borderId="21" xfId="0" applyFont="1" applyBorder="1" applyAlignment="1">
      <alignment horizontal="center"/>
    </xf>
    <xf numFmtId="41" fontId="4" fillId="0" borderId="7" xfId="0" applyNumberFormat="1" applyFont="1" applyBorder="1"/>
    <xf numFmtId="41" fontId="4" fillId="0" borderId="8" xfId="1" applyNumberFormat="1" applyFont="1" applyFill="1" applyBorder="1"/>
    <xf numFmtId="9" fontId="4" fillId="0" borderId="11" xfId="3" applyFont="1" applyFill="1" applyBorder="1"/>
    <xf numFmtId="165" fontId="3" fillId="5" borderId="11" xfId="0" applyFont="1" applyFill="1" applyBorder="1"/>
    <xf numFmtId="41" fontId="4" fillId="5" borderId="8" xfId="1" applyNumberFormat="1" applyFont="1" applyFill="1" applyBorder="1"/>
    <xf numFmtId="165" fontId="0" fillId="5" borderId="0" xfId="0" applyFill="1"/>
    <xf numFmtId="165" fontId="3" fillId="5" borderId="16" xfId="0" applyFont="1" applyFill="1" applyBorder="1"/>
    <xf numFmtId="43" fontId="4" fillId="0" borderId="5" xfId="1" applyFont="1" applyBorder="1" applyAlignment="1">
      <alignment horizontal="center"/>
    </xf>
    <xf numFmtId="43" fontId="4" fillId="0" borderId="30" xfId="1" applyFont="1" applyBorder="1" applyAlignment="1">
      <alignment horizontal="center"/>
    </xf>
    <xf numFmtId="43" fontId="3" fillId="0" borderId="33" xfId="1" applyFont="1" applyBorder="1" applyAlignment="1">
      <alignment horizontal="center"/>
    </xf>
    <xf numFmtId="43" fontId="4" fillId="0" borderId="12" xfId="1" applyFont="1" applyBorder="1"/>
    <xf numFmtId="43" fontId="4" fillId="0" borderId="8" xfId="1" applyFont="1" applyBorder="1"/>
    <xf numFmtId="43" fontId="3" fillId="0" borderId="10" xfId="1" applyFont="1" applyFill="1" applyBorder="1"/>
    <xf numFmtId="43" fontId="3" fillId="0" borderId="40" xfId="1" applyFont="1" applyFill="1" applyBorder="1"/>
    <xf numFmtId="43" fontId="4" fillId="0" borderId="42" xfId="1" applyFont="1" applyBorder="1"/>
    <xf numFmtId="43" fontId="3" fillId="0" borderId="8" xfId="1" applyFont="1" applyBorder="1" applyAlignment="1">
      <alignment horizontal="center"/>
    </xf>
    <xf numFmtId="43" fontId="3" fillId="0" borderId="35" xfId="1" applyFont="1" applyBorder="1" applyAlignment="1">
      <alignment horizontal="center"/>
    </xf>
    <xf numFmtId="43" fontId="3" fillId="0" borderId="12" xfId="1" applyFont="1" applyFill="1" applyBorder="1"/>
    <xf numFmtId="43" fontId="3" fillId="0" borderId="19" xfId="1" applyFont="1" applyFill="1" applyBorder="1"/>
    <xf numFmtId="43" fontId="3" fillId="0" borderId="16" xfId="1" applyFont="1" applyFill="1" applyBorder="1"/>
    <xf numFmtId="43" fontId="3" fillId="0" borderId="15" xfId="1" applyFont="1" applyFill="1" applyBorder="1"/>
    <xf numFmtId="43" fontId="3" fillId="0" borderId="17" xfId="1" applyFont="1" applyFill="1" applyBorder="1"/>
    <xf numFmtId="43" fontId="3" fillId="0" borderId="22" xfId="1" applyFont="1" applyBorder="1" applyAlignment="1">
      <alignment horizontal="center"/>
    </xf>
    <xf numFmtId="43" fontId="3" fillId="4" borderId="0" xfId="1" applyFont="1" applyFill="1"/>
    <xf numFmtId="43" fontId="3" fillId="0" borderId="0" xfId="1" applyFont="1" applyFill="1" applyBorder="1"/>
    <xf numFmtId="165" fontId="8" fillId="0" borderId="0" xfId="0" applyFont="1"/>
    <xf numFmtId="165" fontId="0" fillId="0" borderId="33" xfId="0" applyBorder="1"/>
    <xf numFmtId="14" fontId="0" fillId="0" borderId="0" xfId="0" applyNumberFormat="1" applyAlignment="1">
      <alignment horizontal="center"/>
    </xf>
    <xf numFmtId="41" fontId="3" fillId="0" borderId="24" xfId="0" applyNumberFormat="1" applyFont="1" applyBorder="1"/>
    <xf numFmtId="41" fontId="3" fillId="0" borderId="43" xfId="0" applyNumberFormat="1" applyFont="1" applyBorder="1"/>
    <xf numFmtId="43" fontId="0" fillId="0" borderId="0" xfId="1" applyFont="1" applyFill="1"/>
    <xf numFmtId="41" fontId="3" fillId="0" borderId="15" xfId="1" applyNumberFormat="1" applyFont="1" applyFill="1" applyBorder="1"/>
    <xf numFmtId="165" fontId="2" fillId="0" borderId="20" xfId="0" applyFont="1" applyBorder="1"/>
    <xf numFmtId="165" fontId="2" fillId="0" borderId="38" xfId="0" applyFont="1" applyBorder="1"/>
    <xf numFmtId="14" fontId="3" fillId="0" borderId="36" xfId="1" applyNumberFormat="1" applyFont="1" applyBorder="1" applyAlignment="1">
      <alignment horizontal="center"/>
    </xf>
    <xf numFmtId="165" fontId="2" fillId="0" borderId="0" xfId="0" applyFont="1" applyAlignment="1">
      <alignment horizontal="center"/>
    </xf>
    <xf numFmtId="41" fontId="2" fillId="0" borderId="0" xfId="0" applyNumberFormat="1" applyFont="1" applyAlignment="1">
      <alignment horizontal="center"/>
    </xf>
    <xf numFmtId="41" fontId="2" fillId="0" borderId="0" xfId="0" applyNumberFormat="1" applyFont="1"/>
    <xf numFmtId="165" fontId="2" fillId="0" borderId="40" xfId="0" applyFont="1" applyBorder="1"/>
    <xf numFmtId="165" fontId="14" fillId="0" borderId="0" xfId="0" applyFont="1" applyAlignment="1">
      <alignment horizontal="center"/>
    </xf>
    <xf numFmtId="41" fontId="4" fillId="0" borderId="3" xfId="0" applyNumberFormat="1" applyFont="1" applyBorder="1" applyAlignment="1">
      <alignment horizontal="center"/>
    </xf>
    <xf numFmtId="43" fontId="3" fillId="0" borderId="2" xfId="1" applyFont="1" applyBorder="1" applyAlignment="1">
      <alignment horizontal="center"/>
    </xf>
    <xf numFmtId="14" fontId="3" fillId="0" borderId="30" xfId="1" applyNumberFormat="1" applyFont="1" applyBorder="1" applyAlignment="1">
      <alignment horizontal="center"/>
    </xf>
    <xf numFmtId="43" fontId="3" fillId="0" borderId="30" xfId="1" applyFont="1" applyBorder="1" applyAlignment="1">
      <alignment horizontal="center"/>
    </xf>
    <xf numFmtId="165" fontId="2" fillId="0" borderId="47" xfId="0" applyFont="1" applyBorder="1"/>
    <xf numFmtId="165" fontId="2" fillId="0" borderId="18" xfId="0" applyFont="1" applyBorder="1"/>
    <xf numFmtId="165" fontId="2" fillId="0" borderId="0" xfId="0" applyFont="1" applyAlignment="1">
      <alignment horizontal="left"/>
    </xf>
    <xf numFmtId="41" fontId="0" fillId="0" borderId="54" xfId="1" applyNumberFormat="1" applyFont="1" applyBorder="1"/>
    <xf numFmtId="49" fontId="2" fillId="0" borderId="0" xfId="0" applyNumberFormat="1" applyFont="1"/>
    <xf numFmtId="41" fontId="4" fillId="0" borderId="0" xfId="1" applyNumberFormat="1" applyFont="1" applyFill="1"/>
    <xf numFmtId="43" fontId="3" fillId="0" borderId="12" xfId="1" quotePrefix="1" applyFont="1" applyBorder="1"/>
    <xf numFmtId="41" fontId="3" fillId="0" borderId="12" xfId="0" quotePrefix="1" applyNumberFormat="1" applyFont="1" applyBorder="1"/>
    <xf numFmtId="41" fontId="23" fillId="0" borderId="0" xfId="0" applyNumberFormat="1" applyFont="1"/>
    <xf numFmtId="165" fontId="2" fillId="4" borderId="0" xfId="0" applyFont="1" applyFill="1"/>
    <xf numFmtId="10" fontId="0" fillId="0" borderId="0" xfId="3" applyNumberFormat="1" applyFont="1"/>
    <xf numFmtId="165" fontId="28" fillId="0" borderId="0" xfId="2" applyAlignment="1" applyProtection="1"/>
    <xf numFmtId="43" fontId="25" fillId="0" borderId="0" xfId="1" applyFont="1" applyFill="1" applyBorder="1"/>
    <xf numFmtId="41" fontId="25" fillId="0" borderId="0" xfId="0" applyNumberFormat="1" applyFont="1"/>
    <xf numFmtId="41" fontId="4" fillId="0" borderId="11" xfId="1" applyNumberFormat="1" applyFont="1" applyFill="1" applyBorder="1"/>
    <xf numFmtId="165" fontId="24" fillId="0" borderId="0" xfId="0" applyFont="1"/>
    <xf numFmtId="43" fontId="24" fillId="0" borderId="0" xfId="1" applyFont="1"/>
    <xf numFmtId="41" fontId="24" fillId="0" borderId="0" xfId="0" applyNumberFormat="1" applyFont="1"/>
    <xf numFmtId="41" fontId="3" fillId="6" borderId="12" xfId="0" applyNumberFormat="1" applyFont="1" applyFill="1" applyBorder="1"/>
    <xf numFmtId="41" fontId="3" fillId="6" borderId="11" xfId="0" applyNumberFormat="1" applyFont="1" applyFill="1" applyBorder="1"/>
    <xf numFmtId="41" fontId="3" fillId="6" borderId="8" xfId="0" applyNumberFormat="1" applyFont="1" applyFill="1" applyBorder="1"/>
    <xf numFmtId="4" fontId="3" fillId="0" borderId="0" xfId="0" applyNumberFormat="1" applyFont="1"/>
    <xf numFmtId="41" fontId="3" fillId="0" borderId="0" xfId="1" quotePrefix="1" applyNumberFormat="1" applyFont="1"/>
    <xf numFmtId="43" fontId="4" fillId="0" borderId="0" xfId="1" applyFont="1" applyFill="1"/>
    <xf numFmtId="43" fontId="4" fillId="0" borderId="3" xfId="1" applyFont="1" applyFill="1" applyBorder="1" applyAlignment="1">
      <alignment horizontal="center"/>
    </xf>
    <xf numFmtId="43" fontId="4" fillId="0" borderId="37" xfId="1" applyFont="1" applyFill="1" applyBorder="1" applyAlignment="1">
      <alignment horizontal="center"/>
    </xf>
    <xf numFmtId="43" fontId="4" fillId="0" borderId="16" xfId="1" applyFont="1" applyFill="1" applyBorder="1" applyAlignment="1">
      <alignment horizontal="center"/>
    </xf>
    <xf numFmtId="43" fontId="4" fillId="0" borderId="38" xfId="1" applyFont="1" applyFill="1" applyBorder="1" applyAlignment="1">
      <alignment horizontal="center"/>
    </xf>
    <xf numFmtId="43" fontId="4" fillId="0" borderId="5" xfId="1" applyFont="1" applyFill="1" applyBorder="1" applyAlignment="1">
      <alignment horizontal="center"/>
    </xf>
    <xf numFmtId="14" fontId="4" fillId="0" borderId="30" xfId="1" applyNumberFormat="1" applyFont="1" applyFill="1" applyBorder="1" applyAlignment="1">
      <alignment horizontal="center"/>
    </xf>
    <xf numFmtId="43" fontId="3" fillId="0" borderId="33" xfId="1" applyFont="1" applyFill="1" applyBorder="1" applyAlignment="1">
      <alignment horizontal="center"/>
    </xf>
    <xf numFmtId="43" fontId="4" fillId="0" borderId="33" xfId="1" applyFont="1" applyFill="1" applyBorder="1" applyAlignment="1">
      <alignment horizontal="center"/>
    </xf>
    <xf numFmtId="43" fontId="3" fillId="0" borderId="24" xfId="1" applyFont="1" applyFill="1" applyBorder="1"/>
    <xf numFmtId="43" fontId="3" fillId="0" borderId="33" xfId="1" applyFont="1" applyFill="1" applyBorder="1"/>
    <xf numFmtId="43" fontId="3" fillId="0" borderId="43" xfId="1" applyFont="1" applyFill="1" applyBorder="1"/>
    <xf numFmtId="43" fontId="3" fillId="0" borderId="25" xfId="1" applyFont="1" applyFill="1" applyBorder="1"/>
    <xf numFmtId="41" fontId="3" fillId="0" borderId="25" xfId="0" applyNumberFormat="1" applyFont="1" applyBorder="1"/>
    <xf numFmtId="43" fontId="3" fillId="0" borderId="8" xfId="1" applyFont="1" applyFill="1" applyBorder="1" applyAlignment="1">
      <alignment horizontal="center"/>
    </xf>
    <xf numFmtId="165" fontId="0" fillId="4" borderId="0" xfId="0" applyFill="1"/>
    <xf numFmtId="41" fontId="3" fillId="4" borderId="18" xfId="0" applyNumberFormat="1" applyFont="1" applyFill="1" applyBorder="1"/>
    <xf numFmtId="165" fontId="21" fillId="0" borderId="0" xfId="0" applyFont="1" applyAlignment="1">
      <alignment horizontal="center"/>
    </xf>
    <xf numFmtId="43" fontId="8" fillId="0" borderId="11" xfId="1" applyFont="1" applyFill="1" applyBorder="1"/>
    <xf numFmtId="165" fontId="2" fillId="0" borderId="11" xfId="0" applyFont="1" applyBorder="1"/>
    <xf numFmtId="165" fontId="3" fillId="0" borderId="41" xfId="0" applyFont="1" applyBorder="1"/>
    <xf numFmtId="165" fontId="3" fillId="0" borderId="0" xfId="1" applyNumberFormat="1" applyFont="1"/>
    <xf numFmtId="165" fontId="34" fillId="0" borderId="0" xfId="0" applyFont="1"/>
    <xf numFmtId="165" fontId="2" fillId="0" borderId="0" xfId="0" quotePrefix="1" applyFont="1"/>
    <xf numFmtId="43" fontId="4" fillId="0" borderId="11" xfId="1" quotePrefix="1" applyFont="1" applyBorder="1"/>
    <xf numFmtId="43" fontId="2" fillId="0" borderId="0" xfId="1" applyFont="1" applyFill="1"/>
    <xf numFmtId="43" fontId="3" fillId="0" borderId="11" xfId="1" applyFont="1" applyFill="1" applyBorder="1" applyAlignment="1">
      <alignment horizontal="left"/>
    </xf>
    <xf numFmtId="165" fontId="33" fillId="0" borderId="20" xfId="0" applyFont="1" applyBorder="1"/>
    <xf numFmtId="164" fontId="33" fillId="0" borderId="0" xfId="0" applyNumberFormat="1" applyFont="1"/>
    <xf numFmtId="164" fontId="0" fillId="0" borderId="0" xfId="0" applyNumberFormat="1"/>
    <xf numFmtId="165" fontId="24" fillId="4" borderId="0" xfId="0" applyFont="1" applyFill="1"/>
    <xf numFmtId="43" fontId="24" fillId="4" borderId="0" xfId="1" applyFont="1" applyFill="1"/>
    <xf numFmtId="43" fontId="8" fillId="0" borderId="0" xfId="1" applyFont="1" applyFill="1"/>
    <xf numFmtId="165" fontId="22" fillId="0" borderId="0" xfId="0" applyFont="1"/>
    <xf numFmtId="43" fontId="4" fillId="0" borderId="0" xfId="1" applyFont="1" applyAlignment="1">
      <alignment horizontal="right"/>
    </xf>
    <xf numFmtId="43" fontId="3" fillId="0" borderId="23" xfId="1" applyFont="1" applyBorder="1"/>
    <xf numFmtId="43" fontId="3" fillId="0" borderId="23" xfId="1" applyFont="1" applyFill="1" applyBorder="1" applyAlignment="1">
      <alignment horizontal="center"/>
    </xf>
    <xf numFmtId="43" fontId="3" fillId="0" borderId="11" xfId="1" applyFont="1" applyFill="1" applyBorder="1" applyAlignment="1">
      <alignment horizontal="center"/>
    </xf>
    <xf numFmtId="43" fontId="3" fillId="0" borderId="5" xfId="1" applyFont="1" applyFill="1" applyBorder="1" applyAlignment="1">
      <alignment horizontal="center"/>
    </xf>
    <xf numFmtId="43" fontId="3" fillId="0" borderId="10" xfId="1" applyFont="1" applyFill="1" applyBorder="1" applyAlignment="1">
      <alignment horizontal="center"/>
    </xf>
    <xf numFmtId="10" fontId="3" fillId="0" borderId="0" xfId="1" applyNumberFormat="1" applyFont="1" applyBorder="1"/>
    <xf numFmtId="41" fontId="3" fillId="0" borderId="12" xfId="1" applyNumberFormat="1" applyFont="1" applyFill="1" applyBorder="1"/>
    <xf numFmtId="14" fontId="2" fillId="0" borderId="0" xfId="0" applyNumberFormat="1" applyFont="1" applyAlignment="1">
      <alignment horizontal="center"/>
    </xf>
    <xf numFmtId="9" fontId="0" fillId="0" borderId="0" xfId="0" applyNumberFormat="1" applyAlignment="1">
      <alignment horizontal="center"/>
    </xf>
    <xf numFmtId="41" fontId="0" fillId="0" borderId="28" xfId="0" applyNumberFormat="1" applyBorder="1" applyAlignment="1">
      <alignment horizontal="center"/>
    </xf>
    <xf numFmtId="9" fontId="0" fillId="0" borderId="28" xfId="0" applyNumberFormat="1" applyBorder="1" applyAlignment="1">
      <alignment horizontal="center"/>
    </xf>
    <xf numFmtId="42" fontId="0" fillId="0" borderId="0" xfId="0" applyNumberFormat="1"/>
    <xf numFmtId="165" fontId="4" fillId="8" borderId="2" xfId="0" applyFont="1" applyFill="1" applyBorder="1"/>
    <xf numFmtId="43" fontId="4" fillId="8" borderId="31" xfId="1" applyFont="1" applyFill="1" applyBorder="1" applyAlignment="1">
      <alignment horizontal="center"/>
    </xf>
    <xf numFmtId="43" fontId="4" fillId="8" borderId="3" xfId="1" applyFont="1" applyFill="1" applyBorder="1" applyAlignment="1">
      <alignment horizontal="center"/>
    </xf>
    <xf numFmtId="165" fontId="4" fillId="8" borderId="3" xfId="0" applyFont="1" applyFill="1" applyBorder="1" applyAlignment="1">
      <alignment horizontal="center"/>
    </xf>
    <xf numFmtId="43" fontId="4" fillId="8" borderId="37" xfId="1" applyFont="1" applyFill="1" applyBorder="1" applyAlignment="1">
      <alignment horizontal="center"/>
    </xf>
    <xf numFmtId="165" fontId="4" fillId="8" borderId="37" xfId="0" applyFont="1" applyFill="1" applyBorder="1" applyAlignment="1">
      <alignment horizontal="center"/>
    </xf>
    <xf numFmtId="165" fontId="4" fillId="8" borderId="31" xfId="0" applyFont="1" applyFill="1" applyBorder="1" applyAlignment="1">
      <alignment horizontal="center"/>
    </xf>
    <xf numFmtId="165" fontId="4" fillId="8" borderId="30" xfId="0" applyFont="1" applyFill="1" applyBorder="1"/>
    <xf numFmtId="43" fontId="4" fillId="8" borderId="5" xfId="1" applyFont="1" applyFill="1" applyBorder="1" applyAlignment="1">
      <alignment horizontal="center"/>
    </xf>
    <xf numFmtId="165" fontId="4" fillId="8" borderId="5" xfId="0" applyFont="1" applyFill="1" applyBorder="1" applyAlignment="1">
      <alignment horizontal="center"/>
    </xf>
    <xf numFmtId="165" fontId="4" fillId="8" borderId="30" xfId="0" applyFont="1" applyFill="1" applyBorder="1" applyAlignment="1">
      <alignment horizontal="center"/>
    </xf>
    <xf numFmtId="14" fontId="4" fillId="8" borderId="30" xfId="1" applyNumberFormat="1" applyFont="1" applyFill="1" applyBorder="1" applyAlignment="1">
      <alignment horizontal="center"/>
    </xf>
    <xf numFmtId="165" fontId="4" fillId="8" borderId="21" xfId="0" applyFont="1" applyFill="1" applyBorder="1" applyAlignment="1">
      <alignment horizontal="center"/>
    </xf>
    <xf numFmtId="165" fontId="3" fillId="8" borderId="22" xfId="0" applyFont="1" applyFill="1" applyBorder="1" applyAlignment="1">
      <alignment horizontal="center"/>
    </xf>
    <xf numFmtId="43" fontId="3" fillId="8" borderId="23" xfId="1" applyFont="1" applyFill="1" applyBorder="1" applyAlignment="1">
      <alignment horizontal="center"/>
    </xf>
    <xf numFmtId="41" fontId="3" fillId="8" borderId="23" xfId="0" applyNumberFormat="1" applyFont="1" applyFill="1" applyBorder="1" applyAlignment="1">
      <alignment horizontal="center"/>
    </xf>
    <xf numFmtId="43" fontId="3" fillId="8" borderId="8" xfId="1" applyFont="1" applyFill="1" applyBorder="1"/>
    <xf numFmtId="41" fontId="3" fillId="8" borderId="8" xfId="0" applyNumberFormat="1" applyFont="1" applyFill="1" applyBorder="1"/>
    <xf numFmtId="41" fontId="3" fillId="8" borderId="10" xfId="0" applyNumberFormat="1" applyFont="1" applyFill="1" applyBorder="1"/>
    <xf numFmtId="41" fontId="3" fillId="8" borderId="24" xfId="0" applyNumberFormat="1" applyFont="1" applyFill="1" applyBorder="1"/>
    <xf numFmtId="165" fontId="3" fillId="8" borderId="10" xfId="0" applyFont="1" applyFill="1" applyBorder="1"/>
    <xf numFmtId="165" fontId="3" fillId="8" borderId="24" xfId="0" applyFont="1" applyFill="1" applyBorder="1"/>
    <xf numFmtId="43" fontId="3" fillId="8" borderId="12" xfId="1" applyFont="1" applyFill="1" applyBorder="1"/>
    <xf numFmtId="41" fontId="3" fillId="8" borderId="11" xfId="0" applyNumberFormat="1" applyFont="1" applyFill="1" applyBorder="1"/>
    <xf numFmtId="43" fontId="3" fillId="8" borderId="11" xfId="1" applyFont="1" applyFill="1" applyBorder="1"/>
    <xf numFmtId="10" fontId="3" fillId="8" borderId="33" xfId="1" applyNumberFormat="1" applyFont="1" applyFill="1" applyBorder="1"/>
    <xf numFmtId="43" fontId="3" fillId="8" borderId="18" xfId="1" applyFont="1" applyFill="1" applyBorder="1"/>
    <xf numFmtId="165" fontId="3" fillId="8" borderId="7" xfId="0" applyFont="1" applyFill="1" applyBorder="1"/>
    <xf numFmtId="43" fontId="3" fillId="8" borderId="16" xfId="1" applyFont="1" applyFill="1" applyBorder="1"/>
    <xf numFmtId="43" fontId="3" fillId="8" borderId="7" xfId="1" applyFont="1" applyFill="1" applyBorder="1"/>
    <xf numFmtId="41" fontId="3" fillId="8" borderId="7" xfId="0" applyNumberFormat="1" applyFont="1" applyFill="1" applyBorder="1"/>
    <xf numFmtId="43" fontId="3" fillId="8" borderId="10" xfId="1" applyFont="1" applyFill="1" applyBorder="1"/>
    <xf numFmtId="41" fontId="3" fillId="8" borderId="12" xfId="0" applyNumberFormat="1" applyFont="1" applyFill="1" applyBorder="1"/>
    <xf numFmtId="165" fontId="3" fillId="8" borderId="41" xfId="0" applyFont="1" applyFill="1" applyBorder="1"/>
    <xf numFmtId="165" fontId="4" fillId="8" borderId="7" xfId="0" applyFont="1" applyFill="1" applyBorder="1" applyAlignment="1">
      <alignment horizontal="center"/>
    </xf>
    <xf numFmtId="43" fontId="4" fillId="8" borderId="8" xfId="1" applyFont="1" applyFill="1" applyBorder="1" applyAlignment="1">
      <alignment horizontal="center"/>
    </xf>
    <xf numFmtId="43" fontId="3" fillId="8" borderId="8" xfId="1" applyFont="1" applyFill="1" applyBorder="1" applyAlignment="1">
      <alignment horizontal="center"/>
    </xf>
    <xf numFmtId="165" fontId="3" fillId="8" borderId="8" xfId="0" applyFont="1" applyFill="1" applyBorder="1" applyAlignment="1">
      <alignment horizontal="center"/>
    </xf>
    <xf numFmtId="43" fontId="3" fillId="8" borderId="16" xfId="1" applyFont="1" applyFill="1" applyBorder="1" applyAlignment="1">
      <alignment horizontal="center"/>
    </xf>
    <xf numFmtId="165" fontId="3" fillId="8" borderId="0" xfId="0" applyFont="1" applyFill="1"/>
    <xf numFmtId="165" fontId="3" fillId="8" borderId="23" xfId="0" applyFont="1" applyFill="1" applyBorder="1"/>
    <xf numFmtId="165" fontId="3" fillId="8" borderId="16" xfId="0" applyFont="1" applyFill="1" applyBorder="1" applyAlignment="1">
      <alignment horizontal="center"/>
    </xf>
    <xf numFmtId="43" fontId="3" fillId="8" borderId="19" xfId="1" applyFont="1" applyFill="1" applyBorder="1"/>
    <xf numFmtId="41" fontId="3" fillId="8" borderId="8" xfId="1" applyNumberFormat="1" applyFont="1" applyFill="1" applyBorder="1"/>
    <xf numFmtId="41" fontId="3" fillId="8" borderId="11" xfId="1" applyNumberFormat="1" applyFont="1" applyFill="1" applyBorder="1"/>
    <xf numFmtId="43" fontId="0" fillId="8" borderId="11" xfId="1" applyFont="1" applyFill="1" applyBorder="1"/>
    <xf numFmtId="41" fontId="3" fillId="8" borderId="23" xfId="0" applyNumberFormat="1" applyFont="1" applyFill="1" applyBorder="1"/>
    <xf numFmtId="41" fontId="3" fillId="8" borderId="33" xfId="0" applyNumberFormat="1" applyFont="1" applyFill="1" applyBorder="1"/>
    <xf numFmtId="165" fontId="3" fillId="8" borderId="11" xfId="0" applyFont="1" applyFill="1" applyBorder="1"/>
    <xf numFmtId="43" fontId="3" fillId="8" borderId="0" xfId="1" applyFont="1" applyFill="1"/>
    <xf numFmtId="41" fontId="3" fillId="8" borderId="0" xfId="0" applyNumberFormat="1" applyFont="1" applyFill="1"/>
    <xf numFmtId="165" fontId="3" fillId="8" borderId="8" xfId="0" applyFont="1" applyFill="1" applyBorder="1"/>
    <xf numFmtId="41" fontId="3" fillId="8" borderId="43" xfId="0" applyNumberFormat="1" applyFont="1" applyFill="1" applyBorder="1"/>
    <xf numFmtId="41" fontId="3" fillId="8" borderId="42" xfId="0" applyNumberFormat="1" applyFont="1" applyFill="1" applyBorder="1"/>
    <xf numFmtId="43" fontId="4" fillId="8" borderId="30" xfId="1" applyFont="1" applyFill="1" applyBorder="1" applyAlignment="1">
      <alignment horizontal="center"/>
    </xf>
    <xf numFmtId="41" fontId="3" fillId="8" borderId="55" xfId="0" applyNumberFormat="1" applyFont="1" applyFill="1" applyBorder="1"/>
    <xf numFmtId="41" fontId="3" fillId="8" borderId="22" xfId="0" applyNumberFormat="1" applyFont="1" applyFill="1" applyBorder="1"/>
    <xf numFmtId="41" fontId="3" fillId="8" borderId="40" xfId="0" applyNumberFormat="1" applyFont="1" applyFill="1" applyBorder="1"/>
    <xf numFmtId="41" fontId="3" fillId="8" borderId="44" xfId="0" applyNumberFormat="1" applyFont="1" applyFill="1" applyBorder="1"/>
    <xf numFmtId="43" fontId="3" fillId="8" borderId="33" xfId="1" applyFont="1" applyFill="1" applyBorder="1"/>
    <xf numFmtId="43" fontId="3" fillId="8" borderId="23" xfId="1" applyFont="1" applyFill="1" applyBorder="1"/>
    <xf numFmtId="41" fontId="3" fillId="8" borderId="37" xfId="0" applyNumberFormat="1" applyFont="1" applyFill="1" applyBorder="1"/>
    <xf numFmtId="43" fontId="3" fillId="8" borderId="24" xfId="1" applyFont="1" applyFill="1" applyBorder="1"/>
    <xf numFmtId="43" fontId="3" fillId="8" borderId="44" xfId="1" applyFont="1" applyFill="1" applyBorder="1"/>
    <xf numFmtId="43" fontId="3" fillId="8" borderId="43" xfId="1" applyFont="1" applyFill="1" applyBorder="1"/>
    <xf numFmtId="41" fontId="3" fillId="8" borderId="24" xfId="1" applyNumberFormat="1" applyFont="1" applyFill="1" applyBorder="1"/>
    <xf numFmtId="165" fontId="4" fillId="8" borderId="38" xfId="0" applyFont="1" applyFill="1" applyBorder="1" applyAlignment="1">
      <alignment horizontal="center"/>
    </xf>
    <xf numFmtId="165" fontId="4" fillId="8" borderId="16" xfId="0" applyFont="1" applyFill="1" applyBorder="1" applyAlignment="1">
      <alignment horizontal="center"/>
    </xf>
    <xf numFmtId="14" fontId="4" fillId="8" borderId="38" xfId="1" applyNumberFormat="1" applyFont="1" applyFill="1" applyBorder="1" applyAlignment="1">
      <alignment horizontal="center"/>
    </xf>
    <xf numFmtId="165" fontId="4" fillId="8" borderId="20" xfId="0" applyFont="1" applyFill="1" applyBorder="1" applyAlignment="1">
      <alignment horizontal="center"/>
    </xf>
    <xf numFmtId="41" fontId="3" fillId="8" borderId="11" xfId="0" applyNumberFormat="1" applyFont="1" applyFill="1" applyBorder="1" applyAlignment="1">
      <alignment horizontal="center"/>
    </xf>
    <xf numFmtId="43" fontId="3" fillId="8" borderId="11" xfId="1" applyFont="1" applyFill="1" applyBorder="1" applyAlignment="1">
      <alignment horizontal="center"/>
    </xf>
    <xf numFmtId="43" fontId="4" fillId="8" borderId="11" xfId="1" applyFont="1" applyFill="1" applyBorder="1" applyAlignment="1">
      <alignment horizontal="center"/>
    </xf>
    <xf numFmtId="43" fontId="3" fillId="8" borderId="11" xfId="1" quotePrefix="1" applyFont="1" applyFill="1" applyBorder="1"/>
    <xf numFmtId="43" fontId="4" fillId="8" borderId="11" xfId="1" quotePrefix="1" applyFont="1" applyFill="1" applyBorder="1"/>
    <xf numFmtId="41" fontId="3" fillId="8" borderId="24" xfId="0" quotePrefix="1" applyNumberFormat="1" applyFont="1" applyFill="1" applyBorder="1"/>
    <xf numFmtId="43" fontId="3" fillId="8" borderId="12" xfId="1" quotePrefix="1" applyFont="1" applyFill="1" applyBorder="1"/>
    <xf numFmtId="165" fontId="4" fillId="8" borderId="55" xfId="0" applyFont="1" applyFill="1" applyBorder="1" applyAlignment="1">
      <alignment horizontal="center"/>
    </xf>
    <xf numFmtId="165" fontId="4" fillId="8" borderId="22" xfId="0" applyFont="1" applyFill="1" applyBorder="1" applyAlignment="1">
      <alignment horizontal="center"/>
    </xf>
    <xf numFmtId="165" fontId="4" fillId="8" borderId="38" xfId="0" applyFont="1" applyFill="1" applyBorder="1"/>
    <xf numFmtId="43" fontId="4" fillId="8" borderId="38" xfId="1" applyFont="1" applyFill="1" applyBorder="1" applyAlignment="1">
      <alignment horizontal="center"/>
    </xf>
    <xf numFmtId="165" fontId="4" fillId="8" borderId="11" xfId="0" applyFont="1" applyFill="1" applyBorder="1" applyAlignment="1">
      <alignment horizontal="center"/>
    </xf>
    <xf numFmtId="165" fontId="3" fillId="8" borderId="11" xfId="0" applyFont="1" applyFill="1" applyBorder="1" applyAlignment="1">
      <alignment horizontal="center"/>
    </xf>
    <xf numFmtId="165" fontId="4" fillId="9" borderId="4" xfId="0" applyFont="1" applyFill="1" applyBorder="1"/>
    <xf numFmtId="165" fontId="4" fillId="9" borderId="30" xfId="0" applyFont="1" applyFill="1" applyBorder="1"/>
    <xf numFmtId="165" fontId="4" fillId="9" borderId="5" xfId="0" applyFont="1" applyFill="1" applyBorder="1" applyAlignment="1">
      <alignment horizontal="center"/>
    </xf>
    <xf numFmtId="165" fontId="3" fillId="9" borderId="6" xfId="0" applyFont="1" applyFill="1" applyBorder="1"/>
    <xf numFmtId="165" fontId="3" fillId="9" borderId="7" xfId="0" applyFont="1" applyFill="1" applyBorder="1"/>
    <xf numFmtId="41" fontId="3" fillId="9" borderId="8" xfId="0" applyNumberFormat="1" applyFont="1" applyFill="1" applyBorder="1"/>
    <xf numFmtId="165" fontId="3" fillId="9" borderId="9" xfId="0" applyFont="1" applyFill="1" applyBorder="1"/>
    <xf numFmtId="165" fontId="3" fillId="9" borderId="10" xfId="0" applyFont="1" applyFill="1" applyBorder="1"/>
    <xf numFmtId="41" fontId="3" fillId="9" borderId="11" xfId="0" applyNumberFormat="1" applyFont="1" applyFill="1" applyBorder="1"/>
    <xf numFmtId="165" fontId="3" fillId="9" borderId="8" xfId="0" applyFont="1" applyFill="1" applyBorder="1"/>
    <xf numFmtId="165" fontId="3" fillId="9" borderId="11" xfId="0" applyFont="1" applyFill="1" applyBorder="1"/>
    <xf numFmtId="41" fontId="3" fillId="9" borderId="12" xfId="0" applyNumberFormat="1" applyFont="1" applyFill="1" applyBorder="1"/>
    <xf numFmtId="41" fontId="4" fillId="9" borderId="11" xfId="0" applyNumberFormat="1" applyFont="1" applyFill="1" applyBorder="1"/>
    <xf numFmtId="165" fontId="3" fillId="10" borderId="7" xfId="0" applyFont="1" applyFill="1" applyBorder="1"/>
    <xf numFmtId="41" fontId="3" fillId="10" borderId="8" xfId="0" applyNumberFormat="1" applyFont="1" applyFill="1" applyBorder="1"/>
    <xf numFmtId="165" fontId="3" fillId="10" borderId="9" xfId="0" applyFont="1" applyFill="1" applyBorder="1"/>
    <xf numFmtId="165" fontId="3" fillId="10" borderId="10" xfId="0" applyFont="1" applyFill="1" applyBorder="1"/>
    <xf numFmtId="41" fontId="3" fillId="10" borderId="11" xfId="0" applyNumberFormat="1" applyFont="1" applyFill="1" applyBorder="1"/>
    <xf numFmtId="165" fontId="3" fillId="10" borderId="8" xfId="0" applyFont="1" applyFill="1" applyBorder="1"/>
    <xf numFmtId="165" fontId="3" fillId="10" borderId="11" xfId="0" applyFont="1" applyFill="1" applyBorder="1"/>
    <xf numFmtId="41" fontId="3" fillId="10" borderId="12" xfId="0" applyNumberFormat="1" applyFont="1" applyFill="1" applyBorder="1"/>
    <xf numFmtId="41" fontId="4" fillId="10" borderId="11" xfId="0" applyNumberFormat="1" applyFont="1" applyFill="1" applyBorder="1"/>
    <xf numFmtId="165" fontId="4" fillId="6" borderId="4" xfId="0" applyFont="1" applyFill="1" applyBorder="1"/>
    <xf numFmtId="165" fontId="3" fillId="6" borderId="7" xfId="0" applyFont="1" applyFill="1" applyBorder="1"/>
    <xf numFmtId="165" fontId="3" fillId="6" borderId="9" xfId="0" applyFont="1" applyFill="1" applyBorder="1"/>
    <xf numFmtId="165" fontId="3" fillId="6" borderId="10" xfId="0" applyFont="1" applyFill="1" applyBorder="1"/>
    <xf numFmtId="165" fontId="3" fillId="6" borderId="8" xfId="0" applyFont="1" applyFill="1" applyBorder="1"/>
    <xf numFmtId="165" fontId="3" fillId="6" borderId="11" xfId="0" applyFont="1" applyFill="1" applyBorder="1"/>
    <xf numFmtId="41" fontId="4" fillId="6" borderId="11" xfId="0" applyNumberFormat="1" applyFont="1" applyFill="1" applyBorder="1"/>
    <xf numFmtId="41" fontId="3" fillId="6" borderId="17" xfId="0" applyNumberFormat="1" applyFont="1" applyFill="1" applyBorder="1"/>
    <xf numFmtId="165" fontId="4" fillId="10" borderId="6" xfId="0" applyFont="1" applyFill="1" applyBorder="1"/>
    <xf numFmtId="165" fontId="3" fillId="11" borderId="6" xfId="0" applyFont="1" applyFill="1" applyBorder="1"/>
    <xf numFmtId="165" fontId="3" fillId="11" borderId="7" xfId="0" applyFont="1" applyFill="1" applyBorder="1"/>
    <xf numFmtId="41" fontId="3" fillId="11" borderId="8" xfId="0" applyNumberFormat="1" applyFont="1" applyFill="1" applyBorder="1"/>
    <xf numFmtId="165" fontId="4" fillId="0" borderId="6" xfId="0" applyFont="1" applyBorder="1"/>
    <xf numFmtId="41" fontId="3" fillId="0" borderId="56" xfId="0" applyNumberFormat="1" applyFont="1" applyBorder="1"/>
    <xf numFmtId="41" fontId="3" fillId="4" borderId="16" xfId="0" applyNumberFormat="1" applyFont="1" applyFill="1" applyBorder="1"/>
    <xf numFmtId="41" fontId="3" fillId="0" borderId="58" xfId="0" applyNumberFormat="1" applyFont="1" applyBorder="1"/>
    <xf numFmtId="41" fontId="3" fillId="0" borderId="57" xfId="0" applyNumberFormat="1" applyFont="1" applyBorder="1"/>
    <xf numFmtId="165" fontId="3" fillId="0" borderId="18" xfId="0" applyFont="1" applyBorder="1"/>
    <xf numFmtId="43" fontId="3" fillId="0" borderId="18" xfId="0" applyNumberFormat="1" applyFont="1" applyBorder="1"/>
    <xf numFmtId="164" fontId="34" fillId="0" borderId="11" xfId="0" applyNumberFormat="1" applyFont="1" applyBorder="1"/>
    <xf numFmtId="164" fontId="34" fillId="0" borderId="8" xfId="0" applyNumberFormat="1" applyFont="1" applyBorder="1"/>
    <xf numFmtId="164" fontId="34" fillId="0" borderId="19" xfId="0" applyNumberFormat="1" applyFont="1" applyBorder="1"/>
    <xf numFmtId="41" fontId="3" fillId="8" borderId="10" xfId="0" quotePrefix="1" applyNumberFormat="1" applyFont="1" applyFill="1" applyBorder="1" applyAlignment="1">
      <alignment horizontal="left"/>
    </xf>
    <xf numFmtId="41" fontId="3" fillId="8" borderId="10" xfId="0" applyNumberFormat="1" applyFont="1" applyFill="1" applyBorder="1" applyAlignment="1">
      <alignment horizontal="left"/>
    </xf>
    <xf numFmtId="8" fontId="3" fillId="0" borderId="0" xfId="0" applyNumberFormat="1" applyFont="1"/>
    <xf numFmtId="165" fontId="27" fillId="0" borderId="0" xfId="0" applyFont="1" applyAlignment="1">
      <alignment vertical="center"/>
    </xf>
    <xf numFmtId="165" fontId="3" fillId="10" borderId="0" xfId="0" applyFont="1" applyFill="1"/>
    <xf numFmtId="165" fontId="3" fillId="6" borderId="0" xfId="0" applyFont="1" applyFill="1"/>
    <xf numFmtId="165" fontId="3" fillId="13" borderId="0" xfId="0" applyFont="1" applyFill="1"/>
    <xf numFmtId="165" fontId="12" fillId="0" borderId="0" xfId="0" applyFont="1"/>
    <xf numFmtId="41" fontId="2" fillId="0" borderId="26" xfId="0" applyNumberFormat="1" applyFont="1" applyBorder="1" applyAlignment="1">
      <alignment horizontal="center"/>
    </xf>
    <xf numFmtId="165" fontId="25" fillId="0" borderId="0" xfId="0" applyFont="1"/>
    <xf numFmtId="41" fontId="25" fillId="0" borderId="0" xfId="0" applyNumberFormat="1" applyFont="1" applyAlignment="1">
      <alignment horizontal="center"/>
    </xf>
    <xf numFmtId="10" fontId="25" fillId="0" borderId="0" xfId="0" applyNumberFormat="1" applyFont="1"/>
    <xf numFmtId="41" fontId="25" fillId="0" borderId="28" xfId="0" applyNumberFormat="1" applyFont="1" applyBorder="1"/>
    <xf numFmtId="41" fontId="25" fillId="0" borderId="27" xfId="0" applyNumberFormat="1" applyFont="1" applyBorder="1"/>
    <xf numFmtId="41" fontId="3" fillId="0" borderId="16" xfId="1" applyNumberFormat="1" applyFont="1" applyFill="1" applyBorder="1"/>
    <xf numFmtId="165" fontId="37" fillId="0" borderId="0" xfId="0" applyFont="1"/>
    <xf numFmtId="43" fontId="25" fillId="0" borderId="0" xfId="1" applyFont="1"/>
    <xf numFmtId="165" fontId="13" fillId="0" borderId="0" xfId="0" applyFont="1"/>
    <xf numFmtId="165" fontId="25" fillId="0" borderId="40" xfId="0" applyFont="1" applyBorder="1"/>
    <xf numFmtId="165" fontId="25" fillId="0" borderId="26" xfId="0" applyFont="1" applyBorder="1"/>
    <xf numFmtId="43" fontId="25" fillId="0" borderId="26" xfId="1" applyFont="1" applyBorder="1"/>
    <xf numFmtId="165" fontId="25" fillId="0" borderId="44" xfId="0" applyFont="1" applyBorder="1"/>
    <xf numFmtId="165" fontId="25" fillId="0" borderId="20" xfId="0" applyFont="1" applyBorder="1"/>
    <xf numFmtId="43" fontId="25" fillId="0" borderId="0" xfId="1" applyFont="1" applyBorder="1"/>
    <xf numFmtId="165" fontId="25" fillId="0" borderId="38" xfId="0" applyFont="1" applyBorder="1"/>
    <xf numFmtId="43" fontId="25" fillId="0" borderId="28" xfId="1" applyFont="1" applyFill="1" applyBorder="1"/>
    <xf numFmtId="43" fontId="25" fillId="0" borderId="28" xfId="1" applyFont="1" applyBorder="1"/>
    <xf numFmtId="165" fontId="25" fillId="0" borderId="7" xfId="0" applyFont="1" applyBorder="1"/>
    <xf numFmtId="165" fontId="25" fillId="0" borderId="28" xfId="0" applyFont="1" applyBorder="1"/>
    <xf numFmtId="165" fontId="25" fillId="0" borderId="33" xfId="0" applyFont="1" applyBorder="1"/>
    <xf numFmtId="43" fontId="25" fillId="0" borderId="0" xfId="0" applyNumberFormat="1" applyFont="1"/>
    <xf numFmtId="9" fontId="25" fillId="0" borderId="0" xfId="0" applyNumberFormat="1" applyFont="1"/>
    <xf numFmtId="16" fontId="25" fillId="0" borderId="0" xfId="0" applyNumberFormat="1" applyFont="1"/>
    <xf numFmtId="43" fontId="13" fillId="0" borderId="0" xfId="1" applyFont="1" applyBorder="1"/>
    <xf numFmtId="43" fontId="13" fillId="0" borderId="28" xfId="1" applyFont="1" applyBorder="1"/>
    <xf numFmtId="43" fontId="25" fillId="0" borderId="28" xfId="0" applyNumberFormat="1" applyFont="1" applyBorder="1"/>
    <xf numFmtId="10" fontId="25" fillId="0" borderId="0" xfId="1" applyNumberFormat="1" applyFont="1" applyBorder="1"/>
    <xf numFmtId="9" fontId="25" fillId="0" borderId="0" xfId="1" applyNumberFormat="1" applyFont="1" applyBorder="1"/>
    <xf numFmtId="9" fontId="25" fillId="0" borderId="28" xfId="1" applyNumberFormat="1" applyFont="1" applyBorder="1"/>
    <xf numFmtId="14" fontId="25" fillId="0" borderId="0" xfId="0" applyNumberFormat="1" applyFont="1" applyAlignment="1">
      <alignment horizontal="center"/>
    </xf>
    <xf numFmtId="165" fontId="38" fillId="0" borderId="0" xfId="0" applyFont="1"/>
    <xf numFmtId="10" fontId="25" fillId="0" borderId="0" xfId="0" applyNumberFormat="1" applyFont="1" applyAlignment="1">
      <alignment horizontal="left"/>
    </xf>
    <xf numFmtId="41" fontId="25" fillId="0" borderId="26" xfId="0" applyNumberFormat="1" applyFont="1" applyBorder="1"/>
    <xf numFmtId="10" fontId="25" fillId="0" borderId="0" xfId="3" applyNumberFormat="1" applyFont="1" applyFill="1" applyBorder="1"/>
    <xf numFmtId="41" fontId="25" fillId="0" borderId="0" xfId="3" applyNumberFormat="1" applyFont="1"/>
    <xf numFmtId="9" fontId="25" fillId="0" borderId="0" xfId="0" applyNumberFormat="1" applyFont="1" applyAlignment="1">
      <alignment horizontal="left"/>
    </xf>
    <xf numFmtId="3" fontId="37" fillId="0" borderId="0" xfId="0" applyNumberFormat="1" applyFont="1"/>
    <xf numFmtId="3" fontId="25" fillId="0" borderId="0" xfId="0" applyNumberFormat="1" applyFont="1"/>
    <xf numFmtId="165" fontId="4" fillId="0" borderId="37" xfId="0" applyFont="1" applyBorder="1"/>
    <xf numFmtId="41" fontId="3" fillId="8" borderId="33" xfId="1" applyNumberFormat="1" applyFont="1" applyFill="1" applyBorder="1"/>
    <xf numFmtId="41" fontId="3" fillId="8" borderId="12" xfId="1" applyNumberFormat="1" applyFont="1" applyFill="1" applyBorder="1"/>
    <xf numFmtId="41" fontId="3" fillId="8" borderId="8" xfId="1" applyNumberFormat="1" applyFont="1" applyFill="1" applyBorder="1" applyAlignment="1">
      <alignment horizontal="center"/>
    </xf>
    <xf numFmtId="41" fontId="3" fillId="8" borderId="16" xfId="1" applyNumberFormat="1" applyFont="1" applyFill="1" applyBorder="1" applyAlignment="1">
      <alignment horizontal="center"/>
    </xf>
    <xf numFmtId="41" fontId="3" fillId="8" borderId="18" xfId="1" applyNumberFormat="1" applyFont="1" applyFill="1" applyBorder="1"/>
    <xf numFmtId="41" fontId="0" fillId="14" borderId="54" xfId="1" applyNumberFormat="1" applyFont="1" applyFill="1" applyBorder="1"/>
    <xf numFmtId="43" fontId="2" fillId="0" borderId="54" xfId="1" applyFont="1" applyFill="1" applyBorder="1"/>
    <xf numFmtId="41" fontId="25" fillId="0" borderId="44" xfId="0" applyNumberFormat="1" applyFont="1" applyBorder="1"/>
    <xf numFmtId="41" fontId="25" fillId="0" borderId="38" xfId="0" applyNumberFormat="1" applyFont="1" applyBorder="1"/>
    <xf numFmtId="41" fontId="25" fillId="0" borderId="33" xfId="0" applyNumberFormat="1" applyFont="1" applyBorder="1"/>
    <xf numFmtId="41" fontId="25" fillId="0" borderId="18" xfId="0" applyNumberFormat="1" applyFont="1" applyBorder="1"/>
    <xf numFmtId="41" fontId="25" fillId="0" borderId="8" xfId="0" applyNumberFormat="1" applyFont="1" applyBorder="1"/>
    <xf numFmtId="41" fontId="25" fillId="0" borderId="16" xfId="0" applyNumberFormat="1" applyFont="1" applyBorder="1"/>
    <xf numFmtId="167" fontId="3" fillId="0" borderId="15" xfId="1" applyNumberFormat="1" applyFont="1" applyBorder="1"/>
    <xf numFmtId="167" fontId="3" fillId="8" borderId="11" xfId="1" applyNumberFormat="1" applyFont="1" applyFill="1" applyBorder="1"/>
    <xf numFmtId="166" fontId="3" fillId="0" borderId="15" xfId="1" applyNumberFormat="1" applyFont="1" applyBorder="1"/>
    <xf numFmtId="41" fontId="36" fillId="0" borderId="18" xfId="0" applyNumberFormat="1" applyFont="1" applyBorder="1"/>
    <xf numFmtId="43" fontId="8" fillId="0" borderId="0" xfId="1" applyFont="1"/>
    <xf numFmtId="14" fontId="3" fillId="0" borderId="16" xfId="0" applyNumberFormat="1" applyFont="1" applyBorder="1"/>
    <xf numFmtId="9" fontId="4" fillId="0" borderId="18" xfId="3" applyFont="1" applyFill="1" applyBorder="1"/>
    <xf numFmtId="165" fontId="26" fillId="0" borderId="0" xfId="0" applyFont="1"/>
    <xf numFmtId="165" fontId="26" fillId="0" borderId="0" xfId="0" applyFont="1" applyAlignment="1">
      <alignment horizontal="center"/>
    </xf>
    <xf numFmtId="3" fontId="37" fillId="0" borderId="0" xfId="0" applyNumberFormat="1" applyFont="1" applyAlignment="1">
      <alignment horizontal="center"/>
    </xf>
    <xf numFmtId="10" fontId="3" fillId="0" borderId="0" xfId="0" applyNumberFormat="1" applyFont="1"/>
    <xf numFmtId="165" fontId="24" fillId="0" borderId="0" xfId="0" applyFont="1" applyAlignment="1">
      <alignment horizontal="left" vertical="center" wrapText="1"/>
    </xf>
    <xf numFmtId="165" fontId="4" fillId="8" borderId="2" xfId="0" applyFont="1" applyFill="1" applyBorder="1" applyAlignment="1">
      <alignment horizontal="center"/>
    </xf>
    <xf numFmtId="165" fontId="4" fillId="8" borderId="29" xfId="0" applyFont="1" applyFill="1" applyBorder="1" applyAlignment="1">
      <alignment horizontal="center"/>
    </xf>
    <xf numFmtId="41" fontId="3" fillId="8" borderId="59" xfId="0" applyNumberFormat="1" applyFont="1" applyFill="1" applyBorder="1"/>
    <xf numFmtId="41" fontId="3" fillId="8" borderId="41" xfId="0" applyNumberFormat="1" applyFont="1" applyFill="1" applyBorder="1"/>
    <xf numFmtId="41" fontId="3" fillId="8" borderId="41" xfId="1" applyNumberFormat="1" applyFont="1" applyFill="1" applyBorder="1"/>
    <xf numFmtId="167" fontId="24" fillId="0" borderId="0" xfId="1" applyNumberFormat="1" applyFont="1"/>
    <xf numFmtId="167" fontId="24" fillId="0" borderId="0" xfId="0" applyNumberFormat="1" applyFont="1"/>
    <xf numFmtId="43" fontId="1" fillId="0" borderId="38" xfId="1" applyFont="1" applyFill="1" applyBorder="1"/>
    <xf numFmtId="43" fontId="1" fillId="0" borderId="33" xfId="1" applyFont="1" applyFill="1" applyBorder="1"/>
    <xf numFmtId="165" fontId="14" fillId="0" borderId="44" xfId="0" applyFont="1" applyBorder="1" applyAlignment="1">
      <alignment horizontal="center"/>
    </xf>
    <xf numFmtId="165" fontId="14" fillId="0" borderId="38" xfId="0" applyFont="1" applyBorder="1" applyAlignment="1">
      <alignment horizontal="center"/>
    </xf>
    <xf numFmtId="167" fontId="0" fillId="0" borderId="54" xfId="1" applyNumberFormat="1" applyFont="1" applyBorder="1"/>
    <xf numFmtId="43" fontId="2" fillId="14" borderId="54" xfId="1" applyFont="1" applyFill="1" applyBorder="1"/>
    <xf numFmtId="43" fontId="0" fillId="0" borderId="54" xfId="1" applyFont="1" applyFill="1" applyBorder="1"/>
    <xf numFmtId="167" fontId="0" fillId="0" borderId="54" xfId="1" applyNumberFormat="1" applyFont="1" applyFill="1" applyBorder="1"/>
    <xf numFmtId="43" fontId="3" fillId="0" borderId="11" xfId="1" applyFont="1" applyFill="1" applyBorder="1" applyAlignment="1">
      <alignment horizontal="right"/>
    </xf>
    <xf numFmtId="41" fontId="25" fillId="0" borderId="0" xfId="3" applyNumberFormat="1" applyFont="1" applyBorder="1"/>
    <xf numFmtId="43" fontId="0" fillId="0" borderId="20" xfId="1" applyFont="1" applyBorder="1"/>
    <xf numFmtId="43" fontId="3" fillId="0" borderId="44" xfId="1" applyFont="1" applyFill="1" applyBorder="1"/>
    <xf numFmtId="43" fontId="34" fillId="0" borderId="11" xfId="1" applyFont="1" applyBorder="1"/>
    <xf numFmtId="43" fontId="34" fillId="0" borderId="8" xfId="1" applyFont="1" applyBorder="1"/>
    <xf numFmtId="43" fontId="34" fillId="0" borderId="19" xfId="1" applyFont="1" applyBorder="1"/>
    <xf numFmtId="43" fontId="3" fillId="0" borderId="38" xfId="1" applyFont="1" applyBorder="1"/>
    <xf numFmtId="43" fontId="3" fillId="0" borderId="60" xfId="1" applyFont="1" applyBorder="1"/>
    <xf numFmtId="43" fontId="3" fillId="0" borderId="24" xfId="1" quotePrefix="1" applyFont="1" applyBorder="1"/>
    <xf numFmtId="43" fontId="3" fillId="0" borderId="43" xfId="1" quotePrefix="1" applyFont="1" applyBorder="1"/>
    <xf numFmtId="43" fontId="11" fillId="0" borderId="33" xfId="1" applyFont="1" applyBorder="1" applyAlignment="1">
      <alignment horizontal="center"/>
    </xf>
    <xf numFmtId="43" fontId="3" fillId="0" borderId="25" xfId="1" applyFont="1" applyBorder="1"/>
    <xf numFmtId="43" fontId="4" fillId="8" borderId="2" xfId="1" applyFont="1" applyFill="1" applyBorder="1" applyAlignment="1">
      <alignment horizontal="center"/>
    </xf>
    <xf numFmtId="43" fontId="3" fillId="0" borderId="61" xfId="1" applyFont="1" applyFill="1" applyBorder="1"/>
    <xf numFmtId="43" fontId="3" fillId="0" borderId="60" xfId="1" applyFont="1" applyFill="1" applyBorder="1"/>
    <xf numFmtId="43" fontId="3" fillId="0" borderId="61" xfId="1" applyFont="1" applyBorder="1"/>
    <xf numFmtId="43" fontId="3" fillId="0" borderId="38" xfId="1" applyFont="1" applyBorder="1" applyAlignment="1">
      <alignment horizontal="center"/>
    </xf>
    <xf numFmtId="165" fontId="4" fillId="0" borderId="15" xfId="0" applyFont="1" applyBorder="1"/>
    <xf numFmtId="165" fontId="3" fillId="0" borderId="38" xfId="0" applyFont="1" applyBorder="1"/>
    <xf numFmtId="165" fontId="4" fillId="8" borderId="37" xfId="0" applyFont="1" applyFill="1" applyBorder="1"/>
    <xf numFmtId="43" fontId="4" fillId="0" borderId="42" xfId="1" applyFont="1" applyFill="1" applyBorder="1"/>
    <xf numFmtId="41" fontId="2" fillId="0" borderId="0" xfId="0" applyNumberFormat="1" applyFont="1" applyAlignment="1">
      <alignment wrapText="1"/>
    </xf>
    <xf numFmtId="41" fontId="2" fillId="0" borderId="43" xfId="0" applyNumberFormat="1" applyFont="1" applyBorder="1"/>
    <xf numFmtId="43" fontId="0" fillId="4" borderId="0" xfId="1" applyFont="1" applyFill="1"/>
    <xf numFmtId="43" fontId="3" fillId="8" borderId="0" xfId="1" applyFont="1" applyFill="1" applyBorder="1"/>
    <xf numFmtId="41" fontId="3" fillId="4" borderId="11" xfId="0" applyNumberFormat="1" applyFont="1" applyFill="1" applyBorder="1"/>
    <xf numFmtId="167" fontId="0" fillId="0" borderId="0" xfId="0" applyNumberFormat="1"/>
    <xf numFmtId="167" fontId="0" fillId="0" borderId="0" xfId="1" applyNumberFormat="1" applyFont="1"/>
    <xf numFmtId="165" fontId="3" fillId="4" borderId="11" xfId="0" applyFont="1" applyFill="1" applyBorder="1"/>
    <xf numFmtId="41" fontId="3" fillId="8" borderId="16" xfId="0" applyNumberFormat="1" applyFont="1" applyFill="1" applyBorder="1"/>
    <xf numFmtId="43" fontId="0" fillId="0" borderId="28" xfId="1" applyFont="1" applyBorder="1"/>
    <xf numFmtId="167" fontId="3" fillId="0" borderId="0" xfId="1" applyNumberFormat="1" applyFont="1"/>
    <xf numFmtId="10" fontId="3" fillId="0" borderId="0" xfId="1" applyNumberFormat="1" applyFont="1" applyFill="1" applyBorder="1"/>
    <xf numFmtId="167" fontId="3" fillId="8" borderId="8" xfId="1" applyNumberFormat="1" applyFont="1" applyFill="1" applyBorder="1"/>
    <xf numFmtId="165" fontId="41" fillId="0" borderId="0" xfId="0" applyFont="1"/>
    <xf numFmtId="10" fontId="3" fillId="0" borderId="28" xfId="0" applyNumberFormat="1" applyFont="1" applyBorder="1"/>
    <xf numFmtId="165" fontId="3" fillId="4" borderId="9" xfId="0" applyFont="1" applyFill="1" applyBorder="1"/>
    <xf numFmtId="41" fontId="41" fillId="0" borderId="0" xfId="0" applyNumberFormat="1" applyFont="1"/>
    <xf numFmtId="9" fontId="0" fillId="0" borderId="0" xfId="3" applyFont="1"/>
    <xf numFmtId="9" fontId="3" fillId="0" borderId="0" xfId="3" applyFont="1"/>
    <xf numFmtId="165" fontId="43" fillId="0" borderId="0" xfId="0" applyFont="1"/>
    <xf numFmtId="165" fontId="44" fillId="0" borderId="0" xfId="0" applyFont="1"/>
    <xf numFmtId="41" fontId="11" fillId="0" borderId="12" xfId="0" applyNumberFormat="1" applyFont="1" applyBorder="1"/>
    <xf numFmtId="43" fontId="3" fillId="0" borderId="40" xfId="1" applyFont="1" applyFill="1" applyBorder="1" applyAlignment="1">
      <alignment horizontal="center"/>
    </xf>
    <xf numFmtId="43" fontId="3" fillId="0" borderId="0" xfId="1" applyFont="1" applyFill="1" applyBorder="1" applyAlignment="1">
      <alignment horizontal="center"/>
    </xf>
    <xf numFmtId="43" fontId="3" fillId="0" borderId="0" xfId="1" applyFont="1" applyFill="1" applyBorder="1" applyAlignment="1">
      <alignment horizontal="left"/>
    </xf>
    <xf numFmtId="43" fontId="4" fillId="0" borderId="0" xfId="1" applyFont="1" applyFill="1" applyBorder="1" applyAlignment="1">
      <alignment horizontal="center"/>
    </xf>
    <xf numFmtId="41" fontId="41" fillId="0" borderId="0" xfId="1" applyNumberFormat="1" applyFont="1"/>
    <xf numFmtId="41" fontId="41" fillId="0" borderId="0" xfId="1" applyNumberFormat="1" applyFont="1" applyFill="1"/>
    <xf numFmtId="41" fontId="41" fillId="0" borderId="0" xfId="1" applyNumberFormat="1" applyFont="1" applyFill="1" applyBorder="1"/>
    <xf numFmtId="165" fontId="45" fillId="0" borderId="0" xfId="2" applyFont="1" applyAlignment="1" applyProtection="1"/>
    <xf numFmtId="165" fontId="46" fillId="0" borderId="0" xfId="0" applyFont="1"/>
    <xf numFmtId="165" fontId="46" fillId="0" borderId="0" xfId="0" applyFont="1" applyAlignment="1">
      <alignment horizontal="center"/>
    </xf>
    <xf numFmtId="41" fontId="46" fillId="0" borderId="0" xfId="1" applyNumberFormat="1" applyFont="1" applyAlignment="1">
      <alignment horizontal="center"/>
    </xf>
    <xf numFmtId="41" fontId="46" fillId="0" borderId="0" xfId="0" applyNumberFormat="1" applyFont="1" applyAlignment="1">
      <alignment horizontal="center"/>
    </xf>
    <xf numFmtId="41" fontId="46" fillId="0" borderId="0" xfId="0" applyNumberFormat="1" applyFont="1"/>
    <xf numFmtId="41" fontId="46" fillId="0" borderId="0" xfId="1" applyNumberFormat="1" applyFont="1"/>
    <xf numFmtId="41" fontId="46" fillId="0" borderId="28" xfId="1" applyNumberFormat="1" applyFont="1" applyBorder="1"/>
    <xf numFmtId="41" fontId="46" fillId="0" borderId="28" xfId="0" applyNumberFormat="1" applyFont="1" applyBorder="1"/>
    <xf numFmtId="41" fontId="46" fillId="0" borderId="0" xfId="1" applyNumberFormat="1" applyFont="1" applyFill="1"/>
    <xf numFmtId="41" fontId="47" fillId="0" borderId="0" xfId="1" applyNumberFormat="1" applyFont="1"/>
    <xf numFmtId="41" fontId="47" fillId="0" borderId="0" xfId="0" applyNumberFormat="1" applyFont="1"/>
    <xf numFmtId="165" fontId="47" fillId="0" borderId="0" xfId="0" applyFont="1"/>
    <xf numFmtId="41" fontId="46" fillId="0" borderId="0" xfId="2" applyNumberFormat="1" applyFont="1" applyAlignment="1" applyProtection="1"/>
    <xf numFmtId="41" fontId="46" fillId="0" borderId="0" xfId="1" applyNumberFormat="1" applyFont="1" applyFill="1" applyAlignment="1">
      <alignment horizontal="center"/>
    </xf>
    <xf numFmtId="41" fontId="47" fillId="0" borderId="0" xfId="1" applyNumberFormat="1" applyFont="1" applyFill="1"/>
    <xf numFmtId="165" fontId="49" fillId="0" borderId="0" xfId="0" applyFont="1"/>
    <xf numFmtId="41" fontId="46" fillId="0" borderId="29" xfId="1" applyNumberFormat="1" applyFont="1" applyBorder="1"/>
    <xf numFmtId="41" fontId="46" fillId="0" borderId="0" xfId="1" applyNumberFormat="1" applyFont="1" applyFill="1" applyBorder="1"/>
    <xf numFmtId="165" fontId="50" fillId="0" borderId="0" xfId="0" applyFont="1"/>
    <xf numFmtId="167" fontId="46" fillId="0" borderId="0" xfId="1" applyNumberFormat="1" applyFont="1" applyAlignment="1">
      <alignment horizontal="center"/>
    </xf>
    <xf numFmtId="167" fontId="46" fillId="0" borderId="0" xfId="1" applyNumberFormat="1" applyFont="1"/>
    <xf numFmtId="167" fontId="45" fillId="0" borderId="0" xfId="1" applyNumberFormat="1" applyFont="1" applyAlignment="1" applyProtection="1"/>
    <xf numFmtId="167" fontId="46" fillId="0" borderId="28" xfId="1" applyNumberFormat="1" applyFont="1" applyBorder="1"/>
    <xf numFmtId="167" fontId="46" fillId="0" borderId="0" xfId="1" applyNumberFormat="1" applyFont="1" applyFill="1"/>
    <xf numFmtId="167" fontId="46" fillId="0" borderId="29" xfId="1" applyNumberFormat="1" applyFont="1" applyBorder="1"/>
    <xf numFmtId="167" fontId="46" fillId="0" borderId="0" xfId="1" applyNumberFormat="1" applyFont="1" applyFill="1" applyBorder="1"/>
    <xf numFmtId="165" fontId="4" fillId="4" borderId="37" xfId="0" applyFont="1" applyFill="1" applyBorder="1"/>
    <xf numFmtId="165" fontId="3" fillId="4" borderId="8" xfId="0" applyFont="1" applyFill="1" applyBorder="1"/>
    <xf numFmtId="43" fontId="3" fillId="4" borderId="38" xfId="1" applyFont="1" applyFill="1" applyBorder="1"/>
    <xf numFmtId="43" fontId="3" fillId="4" borderId="11" xfId="1" applyFont="1" applyFill="1" applyBorder="1"/>
    <xf numFmtId="43" fontId="3" fillId="4" borderId="16" xfId="1" applyFont="1" applyFill="1" applyBorder="1"/>
    <xf numFmtId="43" fontId="3" fillId="4" borderId="24" xfId="1" applyFont="1" applyFill="1" applyBorder="1"/>
    <xf numFmtId="43" fontId="3" fillId="4" borderId="44" xfId="1" applyFont="1" applyFill="1" applyBorder="1"/>
    <xf numFmtId="43" fontId="3" fillId="4" borderId="18" xfId="1" applyFont="1" applyFill="1" applyBorder="1"/>
    <xf numFmtId="165" fontId="3" fillId="4" borderId="10" xfId="0" applyFont="1" applyFill="1" applyBorder="1"/>
    <xf numFmtId="165" fontId="3" fillId="4" borderId="7" xfId="0" applyFont="1" applyFill="1" applyBorder="1"/>
    <xf numFmtId="10" fontId="3" fillId="0" borderId="0" xfId="1" applyNumberFormat="1" applyFont="1"/>
    <xf numFmtId="165" fontId="53" fillId="0" borderId="0" xfId="2" applyFont="1" applyAlignment="1" applyProtection="1"/>
    <xf numFmtId="165" fontId="3" fillId="0" borderId="8" xfId="0" applyFont="1" applyBorder="1" applyAlignment="1">
      <alignment horizontal="left"/>
    </xf>
    <xf numFmtId="167" fontId="25" fillId="0" borderId="0" xfId="1" applyNumberFormat="1" applyFont="1" applyBorder="1"/>
    <xf numFmtId="167" fontId="54" fillId="0" borderId="0" xfId="1" applyNumberFormat="1" applyFont="1" applyBorder="1"/>
    <xf numFmtId="9" fontId="3" fillId="0" borderId="11" xfId="3" applyFont="1" applyFill="1" applyBorder="1"/>
    <xf numFmtId="43" fontId="41" fillId="0" borderId="11" xfId="1" applyFont="1" applyFill="1" applyBorder="1"/>
    <xf numFmtId="43" fontId="3" fillId="8" borderId="18" xfId="1" quotePrefix="1" applyFont="1" applyFill="1" applyBorder="1"/>
    <xf numFmtId="165" fontId="4" fillId="0" borderId="20" xfId="0" applyFont="1" applyBorder="1"/>
    <xf numFmtId="43" fontId="3" fillId="0" borderId="5" xfId="1" applyFont="1" applyBorder="1"/>
    <xf numFmtId="41" fontId="3" fillId="0" borderId="5" xfId="0" applyNumberFormat="1" applyFont="1" applyBorder="1"/>
    <xf numFmtId="41" fontId="3" fillId="8" borderId="40" xfId="0" applyNumberFormat="1" applyFont="1" applyFill="1" applyBorder="1" applyAlignment="1">
      <alignment horizontal="left"/>
    </xf>
    <xf numFmtId="10" fontId="3" fillId="8" borderId="11" xfId="1" applyNumberFormat="1" applyFont="1" applyFill="1" applyBorder="1"/>
    <xf numFmtId="41" fontId="25" fillId="0" borderId="0" xfId="3" applyNumberFormat="1" applyFont="1" applyFill="1" applyBorder="1"/>
    <xf numFmtId="10" fontId="25" fillId="0" borderId="0" xfId="3" applyNumberFormat="1" applyFont="1" applyBorder="1"/>
    <xf numFmtId="41" fontId="0" fillId="4" borderId="28" xfId="0" applyNumberFormat="1" applyFill="1" applyBorder="1"/>
    <xf numFmtId="10" fontId="0" fillId="4" borderId="0" xfId="0" applyNumberFormat="1" applyFill="1"/>
    <xf numFmtId="39" fontId="3" fillId="0" borderId="0" xfId="0" applyNumberFormat="1" applyFont="1"/>
    <xf numFmtId="10" fontId="3" fillId="0" borderId="0" xfId="3" applyNumberFormat="1" applyFont="1"/>
    <xf numFmtId="165" fontId="3" fillId="15" borderId="0" xfId="0" applyFont="1" applyFill="1"/>
    <xf numFmtId="165" fontId="3" fillId="0" borderId="28" xfId="0" applyFont="1" applyBorder="1"/>
    <xf numFmtId="165" fontId="3" fillId="0" borderId="0" xfId="0" quotePrefix="1" applyFont="1"/>
    <xf numFmtId="165" fontId="57" fillId="0" borderId="0" xfId="0" applyFont="1"/>
    <xf numFmtId="165" fontId="3" fillId="0" borderId="40" xfId="0" applyFont="1" applyBorder="1"/>
    <xf numFmtId="165" fontId="3" fillId="0" borderId="26" xfId="0" applyFont="1" applyBorder="1"/>
    <xf numFmtId="165" fontId="3" fillId="0" borderId="44" xfId="0" applyFont="1" applyBorder="1"/>
    <xf numFmtId="165" fontId="3" fillId="0" borderId="20" xfId="0" applyFont="1" applyBorder="1"/>
    <xf numFmtId="165" fontId="3" fillId="0" borderId="33" xfId="0" applyFont="1" applyBorder="1"/>
    <xf numFmtId="167" fontId="3" fillId="4" borderId="63" xfId="1" applyNumberFormat="1" applyFont="1" applyFill="1" applyBorder="1"/>
    <xf numFmtId="41" fontId="3" fillId="16" borderId="0" xfId="0" applyNumberFormat="1" applyFont="1" applyFill="1"/>
    <xf numFmtId="41" fontId="3" fillId="16" borderId="28" xfId="0" applyNumberFormat="1" applyFont="1" applyFill="1" applyBorder="1"/>
    <xf numFmtId="167" fontId="3" fillId="0" borderId="0" xfId="1" applyNumberFormat="1" applyFont="1" applyFill="1"/>
    <xf numFmtId="167" fontId="4" fillId="4" borderId="63" xfId="1" applyNumberFormat="1" applyFont="1" applyFill="1" applyBorder="1"/>
    <xf numFmtId="167" fontId="58" fillId="4" borderId="63" xfId="1" applyNumberFormat="1" applyFont="1" applyFill="1" applyBorder="1"/>
    <xf numFmtId="167" fontId="3" fillId="0" borderId="0" xfId="1" applyNumberFormat="1" applyFont="1" applyBorder="1"/>
    <xf numFmtId="167" fontId="3" fillId="0" borderId="0" xfId="1" applyNumberFormat="1" applyFont="1" applyFill="1" applyBorder="1"/>
    <xf numFmtId="0" fontId="28" fillId="0" borderId="0" xfId="1" applyNumberFormat="1" applyFont="1" applyAlignment="1" applyProtection="1"/>
    <xf numFmtId="0" fontId="5" fillId="0" borderId="0" xfId="1" applyNumberFormat="1" applyFont="1"/>
    <xf numFmtId="0" fontId="3" fillId="0" borderId="0" xfId="1" applyNumberFormat="1" applyFont="1"/>
    <xf numFmtId="0" fontId="4" fillId="0" borderId="1" xfId="1" applyNumberFormat="1" applyFont="1" applyBorder="1"/>
    <xf numFmtId="0" fontId="4" fillId="0" borderId="32" xfId="1" applyNumberFormat="1" applyFont="1" applyBorder="1"/>
    <xf numFmtId="0" fontId="4" fillId="0" borderId="4" xfId="1" applyNumberFormat="1" applyFont="1" applyBorder="1"/>
    <xf numFmtId="0" fontId="3" fillId="0" borderId="6" xfId="1" applyNumberFormat="1" applyFont="1" applyBorder="1"/>
    <xf numFmtId="0" fontId="3" fillId="0" borderId="9" xfId="1" applyNumberFormat="1" applyFont="1" applyBorder="1"/>
    <xf numFmtId="0" fontId="3" fillId="0" borderId="13" xfId="1" applyNumberFormat="1" applyFont="1" applyBorder="1"/>
    <xf numFmtId="0" fontId="3" fillId="0" borderId="0" xfId="1" applyNumberFormat="1" applyFont="1" applyBorder="1"/>
    <xf numFmtId="0" fontId="4" fillId="8" borderId="1" xfId="1" applyNumberFormat="1" applyFont="1" applyFill="1" applyBorder="1"/>
    <xf numFmtId="0" fontId="0" fillId="0" borderId="0" xfId="1" applyNumberFormat="1" applyFont="1"/>
    <xf numFmtId="0" fontId="28" fillId="0" borderId="0" xfId="2" applyNumberFormat="1" applyAlignment="1" applyProtection="1"/>
    <xf numFmtId="0" fontId="5" fillId="0" borderId="0" xfId="0" applyNumberFormat="1" applyFont="1"/>
    <xf numFmtId="0" fontId="3" fillId="0" borderId="0" xfId="0" applyNumberFormat="1" applyFont="1"/>
    <xf numFmtId="0" fontId="4" fillId="0" borderId="1" xfId="0" applyNumberFormat="1" applyFont="1" applyBorder="1"/>
    <xf numFmtId="0" fontId="4" fillId="0" borderId="32" xfId="0" applyNumberFormat="1" applyFont="1" applyBorder="1"/>
    <xf numFmtId="0" fontId="4" fillId="0" borderId="4" xfId="0" applyNumberFormat="1" applyFont="1" applyBorder="1"/>
    <xf numFmtId="0" fontId="4" fillId="0" borderId="6" xfId="0" applyNumberFormat="1" applyFont="1" applyBorder="1" applyAlignment="1">
      <alignment horizontal="center"/>
    </xf>
    <xf numFmtId="0" fontId="3" fillId="0" borderId="9" xfId="0" applyNumberFormat="1" applyFont="1" applyBorder="1"/>
    <xf numFmtId="0" fontId="3" fillId="0" borderId="13" xfId="0" applyNumberFormat="1" applyFont="1" applyBorder="1"/>
    <xf numFmtId="0" fontId="3" fillId="0" borderId="35" xfId="0" applyNumberFormat="1" applyFont="1" applyBorder="1" applyAlignment="1">
      <alignment horizontal="center"/>
    </xf>
    <xf numFmtId="0" fontId="3" fillId="0" borderId="36" xfId="0" applyNumberFormat="1" applyFont="1" applyBorder="1" applyAlignment="1">
      <alignment horizontal="center"/>
    </xf>
    <xf numFmtId="0" fontId="0" fillId="0" borderId="0" xfId="0" applyNumberFormat="1"/>
    <xf numFmtId="0" fontId="3" fillId="0" borderId="0" xfId="0" applyNumberFormat="1" applyFont="1" applyAlignment="1">
      <alignment horizontal="left" indent="5"/>
    </xf>
    <xf numFmtId="0" fontId="18" fillId="0" borderId="0" xfId="0" applyNumberFormat="1" applyFont="1"/>
    <xf numFmtId="0" fontId="3" fillId="0" borderId="20" xfId="0" applyNumberFormat="1" applyFont="1" applyBorder="1" applyAlignment="1">
      <alignment horizontal="center"/>
    </xf>
    <xf numFmtId="0" fontId="3" fillId="0" borderId="10" xfId="0" applyNumberFormat="1" applyFont="1" applyBorder="1"/>
    <xf numFmtId="0" fontId="3" fillId="0" borderId="21" xfId="0" applyNumberFormat="1" applyFont="1" applyBorder="1"/>
    <xf numFmtId="0" fontId="4" fillId="8" borderId="1" xfId="0" applyNumberFormat="1" applyFont="1" applyFill="1" applyBorder="1"/>
    <xf numFmtId="0" fontId="4" fillId="8" borderId="4" xfId="0" applyNumberFormat="1" applyFont="1" applyFill="1" applyBorder="1"/>
    <xf numFmtId="0" fontId="3" fillId="8" borderId="20" xfId="0" applyNumberFormat="1" applyFont="1" applyFill="1" applyBorder="1" applyAlignment="1">
      <alignment horizontal="center"/>
    </xf>
    <xf numFmtId="0" fontId="3" fillId="8" borderId="10" xfId="0" applyNumberFormat="1" applyFont="1" applyFill="1" applyBorder="1"/>
    <xf numFmtId="0" fontId="28" fillId="7" borderId="0" xfId="2" applyNumberFormat="1" applyFill="1" applyAlignment="1" applyProtection="1"/>
    <xf numFmtId="0" fontId="4" fillId="8" borderId="6" xfId="0" applyNumberFormat="1" applyFont="1" applyFill="1" applyBorder="1" applyAlignment="1">
      <alignment horizontal="center"/>
    </xf>
    <xf numFmtId="0" fontId="3" fillId="8" borderId="9" xfId="0" applyNumberFormat="1" applyFont="1" applyFill="1" applyBorder="1"/>
    <xf numFmtId="0" fontId="3" fillId="0" borderId="6" xfId="0" applyNumberFormat="1" applyFont="1" applyBorder="1"/>
    <xf numFmtId="0" fontId="3" fillId="8" borderId="6" xfId="0" applyNumberFormat="1" applyFont="1" applyFill="1" applyBorder="1"/>
    <xf numFmtId="0" fontId="3" fillId="0" borderId="11" xfId="0" applyNumberFormat="1" applyFont="1" applyBorder="1"/>
    <xf numFmtId="0" fontId="3" fillId="0" borderId="62" xfId="0" applyNumberFormat="1" applyFont="1" applyBorder="1"/>
    <xf numFmtId="0" fontId="3" fillId="0" borderId="24" xfId="0" applyNumberFormat="1" applyFont="1" applyBorder="1"/>
    <xf numFmtId="0" fontId="3" fillId="8" borderId="11" xfId="0" applyNumberFormat="1" applyFont="1" applyFill="1" applyBorder="1"/>
    <xf numFmtId="0" fontId="3" fillId="0" borderId="6" xfId="0" applyNumberFormat="1" applyFont="1" applyBorder="1" applyAlignment="1">
      <alignment horizontal="right"/>
    </xf>
    <xf numFmtId="0" fontId="3" fillId="0" borderId="8" xfId="0" applyNumberFormat="1" applyFont="1" applyBorder="1"/>
    <xf numFmtId="0" fontId="35" fillId="0" borderId="0" xfId="0" applyNumberFormat="1" applyFont="1" applyAlignment="1">
      <alignment horizontal="center"/>
    </xf>
    <xf numFmtId="0" fontId="4" fillId="0" borderId="9" xfId="0" applyNumberFormat="1" applyFont="1" applyBorder="1"/>
    <xf numFmtId="0" fontId="3" fillId="4" borderId="9" xfId="0" applyNumberFormat="1" applyFont="1" applyFill="1" applyBorder="1"/>
    <xf numFmtId="0" fontId="3" fillId="4" borderId="6" xfId="0" applyNumberFormat="1" applyFont="1" applyFill="1" applyBorder="1"/>
    <xf numFmtId="0" fontId="3" fillId="0" borderId="39" xfId="0" applyNumberFormat="1" applyFont="1" applyBorder="1"/>
    <xf numFmtId="0" fontId="3" fillId="8" borderId="0" xfId="0" applyNumberFormat="1" applyFont="1" applyFill="1"/>
    <xf numFmtId="0" fontId="32" fillId="0" borderId="0" xfId="0" applyNumberFormat="1" applyFont="1"/>
    <xf numFmtId="0" fontId="27" fillId="0" borderId="0" xfId="0" applyNumberFormat="1" applyFont="1"/>
    <xf numFmtId="0" fontId="31" fillId="0" borderId="0" xfId="0" applyNumberFormat="1" applyFont="1"/>
    <xf numFmtId="0" fontId="24" fillId="0" borderId="0" xfId="0" applyNumberFormat="1" applyFont="1"/>
    <xf numFmtId="0" fontId="25" fillId="0" borderId="0" xfId="0" applyNumberFormat="1" applyFont="1"/>
    <xf numFmtId="0" fontId="2" fillId="0" borderId="0" xfId="0" applyNumberFormat="1" applyFont="1"/>
    <xf numFmtId="0" fontId="3" fillId="0" borderId="0" xfId="0" applyNumberFormat="1" applyFont="1" applyAlignment="1">
      <alignment horizontal="right"/>
    </xf>
    <xf numFmtId="0" fontId="3" fillId="0" borderId="22" xfId="0" applyNumberFormat="1" applyFont="1" applyBorder="1"/>
    <xf numFmtId="0" fontId="39" fillId="0" borderId="0" xfId="0" applyNumberFormat="1" applyFont="1"/>
    <xf numFmtId="0" fontId="3" fillId="0" borderId="32" xfId="0" applyNumberFormat="1" applyFont="1" applyBorder="1"/>
    <xf numFmtId="0" fontId="3" fillId="8" borderId="32" xfId="0" applyNumberFormat="1" applyFont="1" applyFill="1" applyBorder="1"/>
    <xf numFmtId="0" fontId="24" fillId="12" borderId="0" xfId="0" applyNumberFormat="1" applyFont="1" applyFill="1" applyAlignment="1">
      <alignment vertical="center"/>
    </xf>
    <xf numFmtId="0" fontId="18" fillId="0" borderId="0" xfId="0" applyNumberFormat="1" applyFont="1" applyAlignment="1">
      <alignment horizontal="left" indent="1"/>
    </xf>
    <xf numFmtId="0" fontId="27" fillId="0" borderId="0" xfId="0" applyNumberFormat="1" applyFont="1" applyAlignment="1">
      <alignment vertical="center"/>
    </xf>
    <xf numFmtId="0" fontId="3" fillId="0" borderId="35" xfId="0" applyNumberFormat="1" applyFont="1" applyBorder="1"/>
    <xf numFmtId="0" fontId="3" fillId="0" borderId="36" xfId="0" applyNumberFormat="1" applyFont="1" applyBorder="1"/>
    <xf numFmtId="14" fontId="3" fillId="0" borderId="35" xfId="0" applyNumberFormat="1" applyFont="1" applyBorder="1" applyAlignment="1">
      <alignment horizontal="center"/>
    </xf>
    <xf numFmtId="0" fontId="0" fillId="0" borderId="0" xfId="0" applyNumberFormat="1" applyAlignment="1">
      <alignment horizontal="center"/>
    </xf>
    <xf numFmtId="0" fontId="2" fillId="0" borderId="0" xfId="0" applyNumberFormat="1" applyFont="1" applyAlignment="1">
      <alignment horizontal="center"/>
    </xf>
    <xf numFmtId="14" fontId="3" fillId="0" borderId="0" xfId="1" applyNumberFormat="1" applyFont="1" applyFill="1" applyBorder="1"/>
    <xf numFmtId="14" fontId="24" fillId="4" borderId="0" xfId="0" applyNumberFormat="1" applyFont="1" applyFill="1"/>
    <xf numFmtId="14" fontId="24" fillId="0" borderId="0" xfId="0" applyNumberFormat="1" applyFont="1"/>
    <xf numFmtId="41" fontId="0" fillId="0" borderId="11" xfId="0" applyNumberFormat="1" applyBorder="1"/>
    <xf numFmtId="0" fontId="45" fillId="0" borderId="0" xfId="2" applyNumberFormat="1" applyFont="1" applyAlignment="1" applyProtection="1"/>
    <xf numFmtId="0" fontId="46" fillId="0" borderId="0" xfId="0" applyNumberFormat="1" applyFont="1"/>
    <xf numFmtId="0" fontId="45" fillId="0" borderId="0" xfId="2" quotePrefix="1" applyNumberFormat="1" applyFont="1" applyAlignment="1" applyProtection="1"/>
    <xf numFmtId="0" fontId="48" fillId="0" borderId="0" xfId="0" applyNumberFormat="1" applyFont="1"/>
    <xf numFmtId="0" fontId="46" fillId="0" borderId="0" xfId="1" applyNumberFormat="1" applyFont="1"/>
    <xf numFmtId="16" fontId="26" fillId="0" borderId="0" xfId="0" applyNumberFormat="1" applyFont="1"/>
    <xf numFmtId="14" fontId="3" fillId="0" borderId="0" xfId="0" applyNumberFormat="1" applyFont="1" applyAlignment="1">
      <alignment horizontal="left"/>
    </xf>
    <xf numFmtId="14" fontId="3" fillId="0" borderId="0" xfId="0" applyNumberFormat="1" applyFont="1" applyAlignment="1">
      <alignment horizontal="right"/>
    </xf>
    <xf numFmtId="0" fontId="0" fillId="0" borderId="0" xfId="0" applyNumberFormat="1" applyAlignment="1">
      <alignment horizontal="right"/>
    </xf>
    <xf numFmtId="41" fontId="43" fillId="0" borderId="0" xfId="0" applyNumberFormat="1" applyFont="1"/>
    <xf numFmtId="41" fontId="43" fillId="0" borderId="0" xfId="1" applyNumberFormat="1" applyFont="1" applyAlignment="1">
      <alignment horizontal="center"/>
    </xf>
    <xf numFmtId="41" fontId="43" fillId="0" borderId="0" xfId="1" applyNumberFormat="1" applyFont="1" applyFill="1" applyAlignment="1">
      <alignment horizontal="center"/>
    </xf>
    <xf numFmtId="41" fontId="43" fillId="0" borderId="0" xfId="0" applyNumberFormat="1" applyFont="1" applyAlignment="1">
      <alignment horizontal="center"/>
    </xf>
    <xf numFmtId="41" fontId="43" fillId="0" borderId="0" xfId="1" applyNumberFormat="1" applyFont="1"/>
    <xf numFmtId="41" fontId="44" fillId="0" borderId="0" xfId="1" applyNumberFormat="1" applyFont="1"/>
    <xf numFmtId="41" fontId="43" fillId="0" borderId="0" xfId="1" applyNumberFormat="1" applyFont="1" applyFill="1"/>
    <xf numFmtId="41" fontId="43" fillId="0" borderId="41" xfId="0" applyNumberFormat="1" applyFont="1" applyBorder="1"/>
    <xf numFmtId="41" fontId="43" fillId="0" borderId="41" xfId="1" applyNumberFormat="1" applyFont="1" applyBorder="1"/>
    <xf numFmtId="41" fontId="43" fillId="0" borderId="41" xfId="1" applyNumberFormat="1" applyFont="1" applyFill="1" applyBorder="1"/>
    <xf numFmtId="169" fontId="0" fillId="0" borderId="0" xfId="0" applyNumberFormat="1"/>
    <xf numFmtId="0" fontId="26" fillId="0" borderId="0" xfId="0" applyNumberFormat="1" applyFont="1"/>
    <xf numFmtId="0" fontId="4" fillId="0" borderId="0" xfId="0" applyNumberFormat="1" applyFont="1"/>
    <xf numFmtId="0" fontId="19" fillId="0" borderId="0" xfId="0" applyNumberFormat="1" applyFont="1"/>
    <xf numFmtId="10" fontId="46" fillId="0" borderId="0" xfId="3" applyNumberFormat="1" applyFont="1"/>
    <xf numFmtId="168" fontId="0" fillId="0" borderId="0" xfId="3" applyNumberFormat="1" applyFont="1"/>
    <xf numFmtId="165" fontId="60" fillId="0" borderId="0" xfId="0" applyFont="1"/>
    <xf numFmtId="165" fontId="61" fillId="0" borderId="0" xfId="0" applyFont="1"/>
    <xf numFmtId="9" fontId="60" fillId="0" borderId="0" xfId="3" applyFont="1"/>
    <xf numFmtId="168" fontId="60" fillId="0" borderId="0" xfId="3" applyNumberFormat="1" applyFont="1"/>
    <xf numFmtId="168" fontId="25" fillId="0" borderId="0" xfId="0" applyNumberFormat="1" applyFont="1"/>
    <xf numFmtId="168" fontId="13" fillId="0" borderId="0" xfId="0" applyNumberFormat="1" applyFont="1"/>
    <xf numFmtId="165" fontId="62" fillId="0" borderId="0" xfId="0" applyFont="1"/>
    <xf numFmtId="41" fontId="44" fillId="0" borderId="0" xfId="1" applyNumberFormat="1" applyFont="1" applyFill="1"/>
    <xf numFmtId="165" fontId="25" fillId="4" borderId="0" xfId="0" applyFont="1" applyFill="1" applyAlignment="1">
      <alignment horizontal="right"/>
    </xf>
    <xf numFmtId="14" fontId="3" fillId="0" borderId="0" xfId="1" applyNumberFormat="1" applyFont="1"/>
    <xf numFmtId="0" fontId="59" fillId="0" borderId="0" xfId="1" applyNumberFormat="1" applyFont="1" applyFill="1"/>
    <xf numFmtId="167" fontId="3" fillId="0" borderId="16" xfId="1" applyNumberFormat="1" applyFont="1" applyBorder="1"/>
    <xf numFmtId="0" fontId="0" fillId="0" borderId="0" xfId="0" applyNumberFormat="1" applyAlignment="1">
      <alignment horizontal="center" vertical="center"/>
    </xf>
    <xf numFmtId="0" fontId="2" fillId="0" borderId="38" xfId="0" applyNumberFormat="1" applyFont="1" applyBorder="1" applyAlignment="1">
      <alignment horizontal="center"/>
    </xf>
    <xf numFmtId="0" fontId="29" fillId="0" borderId="0" xfId="0" applyNumberFormat="1" applyFont="1" applyAlignment="1">
      <alignment horizontal="center"/>
    </xf>
    <xf numFmtId="0" fontId="29" fillId="0" borderId="38" xfId="0" applyNumberFormat="1" applyFont="1" applyBorder="1" applyAlignment="1">
      <alignment horizontal="center"/>
    </xf>
    <xf numFmtId="0" fontId="0" fillId="0" borderId="38" xfId="0" applyNumberFormat="1" applyBorder="1" applyAlignment="1">
      <alignment horizontal="center" vertical="center"/>
    </xf>
    <xf numFmtId="165" fontId="0" fillId="4" borderId="0" xfId="0" quotePrefix="1" applyFill="1"/>
    <xf numFmtId="44" fontId="0" fillId="0" borderId="0" xfId="1" applyNumberFormat="1" applyFont="1"/>
    <xf numFmtId="165" fontId="2" fillId="4" borderId="0" xfId="0" applyFont="1" applyFill="1" applyAlignment="1">
      <alignment horizontal="left"/>
    </xf>
    <xf numFmtId="43" fontId="3" fillId="0" borderId="11" xfId="1" quotePrefix="1" applyFont="1" applyFill="1" applyBorder="1"/>
    <xf numFmtId="43" fontId="3" fillId="0" borderId="12" xfId="1" quotePrefix="1" applyFont="1" applyFill="1" applyBorder="1"/>
    <xf numFmtId="43" fontId="4" fillId="0" borderId="40" xfId="1" applyFont="1" applyFill="1" applyBorder="1"/>
    <xf numFmtId="41" fontId="4" fillId="0" borderId="40" xfId="0" applyNumberFormat="1" applyFont="1" applyBorder="1"/>
    <xf numFmtId="41" fontId="4" fillId="0" borderId="18" xfId="0" applyNumberFormat="1" applyFont="1" applyBorder="1"/>
    <xf numFmtId="43" fontId="3" fillId="0" borderId="64" xfId="1" applyFont="1" applyFill="1" applyBorder="1"/>
    <xf numFmtId="41" fontId="3" fillId="0" borderId="64" xfId="0" applyNumberFormat="1" applyFont="1" applyBorder="1"/>
    <xf numFmtId="43" fontId="3" fillId="0" borderId="64" xfId="1" applyFont="1" applyBorder="1"/>
    <xf numFmtId="43" fontId="4" fillId="0" borderId="18" xfId="1" applyFont="1" applyBorder="1"/>
    <xf numFmtId="14" fontId="41" fillId="0" borderId="8" xfId="0" applyNumberFormat="1" applyFont="1" applyBorder="1"/>
    <xf numFmtId="14" fontId="41" fillId="0" borderId="11" xfId="0" applyNumberFormat="1" applyFont="1" applyBorder="1"/>
    <xf numFmtId="14" fontId="41" fillId="5" borderId="11" xfId="0" applyNumberFormat="1" applyFont="1" applyFill="1" applyBorder="1"/>
    <xf numFmtId="14" fontId="41" fillId="5" borderId="8" xfId="0" applyNumberFormat="1" applyFont="1" applyFill="1" applyBorder="1"/>
    <xf numFmtId="14" fontId="41" fillId="0" borderId="16" xfId="0" applyNumberFormat="1" applyFont="1" applyBorder="1"/>
    <xf numFmtId="14" fontId="41" fillId="0" borderId="0" xfId="0" applyNumberFormat="1" applyFont="1"/>
    <xf numFmtId="14" fontId="41" fillId="0" borderId="18" xfId="0" applyNumberFormat="1" applyFont="1" applyBorder="1"/>
    <xf numFmtId="43" fontId="0" fillId="0" borderId="18" xfId="1" applyFont="1" applyBorder="1"/>
    <xf numFmtId="14" fontId="41" fillId="0" borderId="0" xfId="0" applyNumberFormat="1" applyFont="1" applyAlignment="1">
      <alignment horizontal="left"/>
    </xf>
    <xf numFmtId="49" fontId="41" fillId="0" borderId="0" xfId="0" applyNumberFormat="1" applyFont="1"/>
    <xf numFmtId="169" fontId="0" fillId="0" borderId="0" xfId="0" applyNumberFormat="1" applyAlignment="1">
      <alignment horizontal="left"/>
    </xf>
    <xf numFmtId="14" fontId="41" fillId="0" borderId="11" xfId="0" applyNumberFormat="1" applyFont="1" applyBorder="1" applyAlignment="1">
      <alignment horizontal="left"/>
    </xf>
    <xf numFmtId="49" fontId="41" fillId="0" borderId="11" xfId="0" applyNumberFormat="1" applyFont="1" applyBorder="1"/>
    <xf numFmtId="169" fontId="3" fillId="0" borderId="0" xfId="0" applyNumberFormat="1" applyFont="1" applyAlignment="1">
      <alignment horizontal="left"/>
    </xf>
    <xf numFmtId="169" fontId="0" fillId="0" borderId="0" xfId="1" applyNumberFormat="1" applyFont="1" applyAlignment="1">
      <alignment horizontal="left"/>
    </xf>
    <xf numFmtId="169" fontId="3" fillId="0" borderId="0" xfId="1" applyNumberFormat="1" applyFont="1" applyAlignment="1">
      <alignment horizontal="left"/>
    </xf>
    <xf numFmtId="0" fontId="4" fillId="8" borderId="32" xfId="1" applyNumberFormat="1" applyFont="1" applyFill="1" applyBorder="1"/>
    <xf numFmtId="43" fontId="4" fillId="8" borderId="16" xfId="1" applyFont="1" applyFill="1" applyBorder="1" applyAlignment="1">
      <alignment horizontal="center"/>
    </xf>
    <xf numFmtId="0" fontId="3" fillId="8" borderId="11" xfId="1" applyNumberFormat="1" applyFont="1" applyFill="1" applyBorder="1"/>
    <xf numFmtId="165" fontId="3" fillId="8" borderId="38" xfId="0" applyFont="1" applyFill="1" applyBorder="1" applyAlignment="1">
      <alignment horizontal="center"/>
    </xf>
    <xf numFmtId="14" fontId="4" fillId="8" borderId="5" xfId="1" applyNumberFormat="1" applyFont="1" applyFill="1" applyBorder="1" applyAlignment="1">
      <alignment horizontal="center"/>
    </xf>
    <xf numFmtId="168" fontId="0" fillId="12" borderId="0" xfId="3" applyNumberFormat="1" applyFont="1" applyFill="1"/>
    <xf numFmtId="167" fontId="0" fillId="4" borderId="0" xfId="1" applyNumberFormat="1" applyFont="1" applyFill="1"/>
    <xf numFmtId="167" fontId="3" fillId="0" borderId="16" xfId="1" applyNumberFormat="1" applyFont="1" applyFill="1" applyBorder="1"/>
    <xf numFmtId="43" fontId="43" fillId="0" borderId="11" xfId="1" applyFont="1" applyBorder="1"/>
    <xf numFmtId="43" fontId="41" fillId="0" borderId="0" xfId="1" applyFont="1"/>
    <xf numFmtId="14" fontId="56" fillId="0" borderId="0" xfId="2" applyNumberFormat="1" applyFont="1" applyAlignment="1" applyProtection="1"/>
    <xf numFmtId="0" fontId="41" fillId="0" borderId="0" xfId="0" applyNumberFormat="1" applyFont="1"/>
    <xf numFmtId="16" fontId="41" fillId="0" borderId="0" xfId="0" applyNumberFormat="1" applyFont="1"/>
    <xf numFmtId="10" fontId="41" fillId="0" borderId="0" xfId="0" applyNumberFormat="1" applyFont="1"/>
    <xf numFmtId="14" fontId="41" fillId="0" borderId="0" xfId="0" applyNumberFormat="1" applyFont="1" applyAlignment="1">
      <alignment horizontal="right"/>
    </xf>
    <xf numFmtId="41" fontId="41" fillId="0" borderId="0" xfId="1" applyNumberFormat="1" applyFont="1" applyBorder="1"/>
    <xf numFmtId="41" fontId="64" fillId="0" borderId="0" xfId="0" applyNumberFormat="1" applyFont="1"/>
    <xf numFmtId="41" fontId="3" fillId="0" borderId="65" xfId="0" applyNumberFormat="1" applyFont="1" applyBorder="1"/>
    <xf numFmtId="43" fontId="3" fillId="0" borderId="65" xfId="1" applyFont="1" applyBorder="1"/>
    <xf numFmtId="167" fontId="0" fillId="0" borderId="0" xfId="1" applyNumberFormat="1" applyFont="1" applyFill="1"/>
    <xf numFmtId="167" fontId="34" fillId="0" borderId="0" xfId="1" applyNumberFormat="1" applyFont="1" applyBorder="1" applyAlignment="1" applyProtection="1"/>
    <xf numFmtId="167" fontId="34" fillId="0" borderId="0" xfId="1" applyNumberFormat="1" applyFont="1"/>
    <xf numFmtId="43" fontId="34" fillId="0" borderId="0" xfId="1" applyFont="1" applyBorder="1" applyAlignment="1" applyProtection="1"/>
    <xf numFmtId="165" fontId="66" fillId="0" borderId="0" xfId="0" applyFont="1"/>
    <xf numFmtId="41" fontId="41" fillId="0" borderId="11" xfId="0" applyNumberFormat="1" applyFont="1" applyBorder="1"/>
    <xf numFmtId="43" fontId="41" fillId="0" borderId="11" xfId="1" applyFont="1" applyBorder="1"/>
    <xf numFmtId="165" fontId="41" fillId="0" borderId="11" xfId="0" applyFont="1" applyBorder="1"/>
    <xf numFmtId="43" fontId="41" fillId="0" borderId="18" xfId="1" applyFont="1" applyBorder="1"/>
    <xf numFmtId="43" fontId="41" fillId="0" borderId="0" xfId="0" applyNumberFormat="1" applyFont="1"/>
    <xf numFmtId="165" fontId="34" fillId="18" borderId="20" xfId="0" applyFont="1" applyFill="1" applyBorder="1" applyAlignment="1">
      <alignment horizontal="left"/>
    </xf>
    <xf numFmtId="164" fontId="34" fillId="18" borderId="10" xfId="0" applyNumberFormat="1" applyFont="1" applyFill="1" applyBorder="1"/>
    <xf numFmtId="165" fontId="34" fillId="18" borderId="10" xfId="0" applyFont="1" applyFill="1" applyBorder="1"/>
    <xf numFmtId="165" fontId="34" fillId="18" borderId="11" xfId="0" applyFont="1" applyFill="1" applyBorder="1"/>
    <xf numFmtId="167" fontId="25" fillId="0" borderId="0" xfId="1" applyNumberFormat="1" applyFont="1"/>
    <xf numFmtId="43" fontId="46" fillId="0" borderId="0" xfId="1" applyFont="1"/>
    <xf numFmtId="171" fontId="46" fillId="0" borderId="0" xfId="1" applyNumberFormat="1" applyFont="1"/>
    <xf numFmtId="43" fontId="46" fillId="0" borderId="0" xfId="1" applyFont="1" applyFill="1" applyBorder="1"/>
    <xf numFmtId="174" fontId="0" fillId="0" borderId="0" xfId="3" applyNumberFormat="1" applyFont="1"/>
    <xf numFmtId="41" fontId="0" fillId="0" borderId="0" xfId="3" applyNumberFormat="1" applyFont="1"/>
    <xf numFmtId="172" fontId="46" fillId="0" borderId="0" xfId="3" applyNumberFormat="1" applyFont="1" applyBorder="1"/>
    <xf numFmtId="43" fontId="46" fillId="0" borderId="0" xfId="1" applyFont="1" applyBorder="1"/>
    <xf numFmtId="173" fontId="46" fillId="0" borderId="0" xfId="1" applyNumberFormat="1" applyFont="1" applyBorder="1"/>
    <xf numFmtId="171" fontId="46" fillId="0" borderId="0" xfId="1" applyNumberFormat="1" applyFont="1" applyBorder="1"/>
    <xf numFmtId="167" fontId="50" fillId="0" borderId="0" xfId="1" applyNumberFormat="1" applyFont="1" applyFill="1" applyBorder="1"/>
    <xf numFmtId="165" fontId="46" fillId="0" borderId="0" xfId="0" applyFont="1" applyAlignment="1">
      <alignment horizontal="left" vertical="center" wrapText="1"/>
    </xf>
    <xf numFmtId="165" fontId="0" fillId="0" borderId="0" xfId="0" applyAlignment="1">
      <alignment vertical="center"/>
    </xf>
    <xf numFmtId="167" fontId="68" fillId="0" borderId="0" xfId="1" applyNumberFormat="1" applyFont="1" applyFill="1" applyBorder="1" applyAlignment="1">
      <alignment vertical="center"/>
    </xf>
    <xf numFmtId="41" fontId="46" fillId="0" borderId="0" xfId="1" applyNumberFormat="1" applyFont="1" applyFill="1" applyAlignment="1">
      <alignment vertical="center"/>
    </xf>
    <xf numFmtId="41" fontId="46" fillId="0" borderId="0" xfId="1" applyNumberFormat="1" applyFont="1" applyFill="1" applyBorder="1" applyAlignment="1">
      <alignment vertical="center"/>
    </xf>
    <xf numFmtId="41" fontId="68" fillId="0" borderId="0" xfId="0" applyNumberFormat="1" applyFont="1" applyAlignment="1">
      <alignment vertical="center"/>
    </xf>
    <xf numFmtId="165" fontId="67" fillId="0" borderId="0" xfId="4" applyFont="1"/>
    <xf numFmtId="165" fontId="60" fillId="0" borderId="0" xfId="4" applyFont="1"/>
    <xf numFmtId="43" fontId="60" fillId="0" borderId="0" xfId="1" applyFont="1"/>
    <xf numFmtId="171" fontId="60" fillId="0" borderId="0" xfId="1" applyNumberFormat="1" applyFont="1"/>
    <xf numFmtId="165" fontId="69" fillId="0" borderId="0" xfId="4" applyFont="1"/>
    <xf numFmtId="41" fontId="60" fillId="0" borderId="40" xfId="4" applyNumberFormat="1" applyFont="1" applyBorder="1"/>
    <xf numFmtId="41" fontId="60" fillId="0" borderId="26" xfId="1" applyNumberFormat="1" applyFont="1" applyFill="1" applyBorder="1"/>
    <xf numFmtId="41" fontId="60" fillId="0" borderId="26" xfId="4" applyNumberFormat="1" applyFont="1" applyBorder="1"/>
    <xf numFmtId="41" fontId="60" fillId="0" borderId="44" xfId="4" applyNumberFormat="1" applyFont="1" applyBorder="1"/>
    <xf numFmtId="41" fontId="60" fillId="0" borderId="20" xfId="4" applyNumberFormat="1" applyFont="1" applyBorder="1"/>
    <xf numFmtId="41" fontId="60" fillId="0" borderId="0" xfId="1" applyNumberFormat="1" applyFont="1" applyFill="1" applyBorder="1"/>
    <xf numFmtId="41" fontId="60" fillId="0" borderId="0" xfId="4" applyNumberFormat="1" applyFont="1"/>
    <xf numFmtId="41" fontId="60" fillId="0" borderId="38" xfId="4" applyNumberFormat="1" applyFont="1" applyBorder="1"/>
    <xf numFmtId="41" fontId="60" fillId="0" borderId="7" xfId="4" applyNumberFormat="1" applyFont="1" applyBorder="1"/>
    <xf numFmtId="41" fontId="60" fillId="0" borderId="28" xfId="1" applyNumberFormat="1" applyFont="1" applyFill="1" applyBorder="1"/>
    <xf numFmtId="41" fontId="60" fillId="0" borderId="33" xfId="4" applyNumberFormat="1" applyFont="1" applyBorder="1"/>
    <xf numFmtId="165" fontId="69" fillId="0" borderId="40" xfId="4" applyFont="1" applyBorder="1"/>
    <xf numFmtId="165" fontId="60" fillId="0" borderId="26" xfId="4" applyFont="1" applyBorder="1"/>
    <xf numFmtId="43" fontId="60" fillId="0" borderId="26" xfId="1" applyFont="1" applyBorder="1"/>
    <xf numFmtId="171" fontId="60" fillId="0" borderId="44" xfId="1" applyNumberFormat="1" applyFont="1" applyBorder="1"/>
    <xf numFmtId="165" fontId="69" fillId="0" borderId="20" xfId="4" applyFont="1" applyBorder="1"/>
    <xf numFmtId="43" fontId="60" fillId="0" borderId="0" xfId="1" applyFont="1" applyBorder="1"/>
    <xf numFmtId="171" fontId="60" fillId="0" borderId="38" xfId="1" applyNumberFormat="1" applyFont="1" applyBorder="1"/>
    <xf numFmtId="165" fontId="60" fillId="0" borderId="20" xfId="4" applyFont="1" applyBorder="1"/>
    <xf numFmtId="168" fontId="60" fillId="0" borderId="0" xfId="3" applyNumberFormat="1" applyFont="1" applyBorder="1"/>
    <xf numFmtId="43" fontId="60" fillId="0" borderId="38" xfId="1" applyFont="1" applyBorder="1"/>
    <xf numFmtId="173" fontId="60" fillId="4" borderId="38" xfId="1" applyNumberFormat="1" applyFont="1" applyFill="1" applyBorder="1"/>
    <xf numFmtId="173" fontId="60" fillId="0" borderId="38" xfId="1" applyNumberFormat="1" applyFont="1" applyBorder="1"/>
    <xf numFmtId="165" fontId="60" fillId="0" borderId="38" xfId="4" applyFont="1" applyBorder="1"/>
    <xf numFmtId="165" fontId="60" fillId="0" borderId="0" xfId="4" applyFont="1" applyAlignment="1">
      <alignment horizontal="center"/>
    </xf>
    <xf numFmtId="165" fontId="60" fillId="0" borderId="0" xfId="4" quotePrefix="1" applyFont="1" applyAlignment="1">
      <alignment horizontal="center"/>
    </xf>
    <xf numFmtId="165" fontId="60" fillId="0" borderId="28" xfId="4" applyFont="1" applyBorder="1"/>
    <xf numFmtId="173" fontId="60" fillId="4" borderId="28" xfId="1" applyNumberFormat="1" applyFont="1" applyFill="1" applyBorder="1"/>
    <xf numFmtId="165" fontId="60" fillId="12" borderId="7" xfId="4" applyFont="1" applyFill="1" applyBorder="1" applyAlignment="1">
      <alignment horizontal="left"/>
    </xf>
    <xf numFmtId="43" fontId="60" fillId="12" borderId="0" xfId="1" applyFont="1" applyFill="1" applyBorder="1"/>
    <xf numFmtId="165" fontId="69" fillId="0" borderId="38" xfId="4" applyFont="1" applyBorder="1" applyAlignment="1">
      <alignment horizontal="center"/>
    </xf>
    <xf numFmtId="170" fontId="69" fillId="0" borderId="33" xfId="4" applyNumberFormat="1" applyFont="1" applyBorder="1"/>
    <xf numFmtId="165" fontId="4" fillId="8" borderId="59" xfId="0" applyFont="1" applyFill="1" applyBorder="1" applyAlignment="1">
      <alignment horizontal="center"/>
    </xf>
    <xf numFmtId="41" fontId="3" fillId="8" borderId="28" xfId="0" applyNumberFormat="1" applyFont="1" applyFill="1" applyBorder="1"/>
    <xf numFmtId="41" fontId="4" fillId="8" borderId="28" xfId="0" applyNumberFormat="1" applyFont="1" applyFill="1" applyBorder="1"/>
    <xf numFmtId="165" fontId="4" fillId="8" borderId="0" xfId="0" applyFont="1" applyFill="1" applyAlignment="1">
      <alignment horizontal="center"/>
    </xf>
    <xf numFmtId="41" fontId="3" fillId="8" borderId="41" xfId="0" applyNumberFormat="1" applyFont="1" applyFill="1" applyBorder="1" applyAlignment="1">
      <alignment horizontal="left"/>
    </xf>
    <xf numFmtId="41" fontId="3" fillId="8" borderId="41" xfId="0" quotePrefix="1" applyNumberFormat="1" applyFont="1" applyFill="1" applyBorder="1" applyAlignment="1">
      <alignment horizontal="left"/>
    </xf>
    <xf numFmtId="41" fontId="3" fillId="8" borderId="26" xfId="0" applyNumberFormat="1" applyFont="1" applyFill="1" applyBorder="1" applyAlignment="1">
      <alignment horizontal="left"/>
    </xf>
    <xf numFmtId="165" fontId="34" fillId="18" borderId="0" xfId="0" applyFont="1" applyFill="1" applyAlignment="1">
      <alignment horizontal="left"/>
    </xf>
    <xf numFmtId="164" fontId="34" fillId="18" borderId="41" xfId="0" applyNumberFormat="1" applyFont="1" applyFill="1" applyBorder="1"/>
    <xf numFmtId="165" fontId="34" fillId="18" borderId="41" xfId="0" applyFont="1" applyFill="1" applyBorder="1"/>
    <xf numFmtId="165" fontId="34" fillId="18" borderId="26" xfId="0" applyFont="1" applyFill="1" applyBorder="1"/>
    <xf numFmtId="41" fontId="3" fillId="8" borderId="26" xfId="0" applyNumberFormat="1" applyFont="1" applyFill="1" applyBorder="1"/>
    <xf numFmtId="41" fontId="3" fillId="8" borderId="45" xfId="0" applyNumberFormat="1" applyFont="1" applyFill="1" applyBorder="1"/>
    <xf numFmtId="165" fontId="67" fillId="0" borderId="0" xfId="0" applyFont="1" applyAlignment="1">
      <alignment vertical="center"/>
    </xf>
    <xf numFmtId="167" fontId="67" fillId="0" borderId="0" xfId="1" applyNumberFormat="1" applyFont="1" applyFill="1" applyBorder="1" applyAlignment="1">
      <alignment horizontal="center" vertical="center"/>
    </xf>
    <xf numFmtId="167" fontId="67" fillId="0" borderId="0" xfId="1" applyNumberFormat="1" applyFont="1" applyFill="1" applyBorder="1" applyAlignment="1">
      <alignment vertical="center"/>
    </xf>
    <xf numFmtId="14" fontId="41" fillId="4" borderId="0" xfId="0" applyNumberFormat="1" applyFont="1" applyFill="1"/>
    <xf numFmtId="165" fontId="46" fillId="0" borderId="0" xfId="0" applyFont="1" applyAlignment="1">
      <alignment vertical="center"/>
    </xf>
    <xf numFmtId="165" fontId="67" fillId="0" borderId="0" xfId="0" applyFont="1" applyAlignment="1">
      <alignment horizontal="center" vertical="center"/>
    </xf>
    <xf numFmtId="165" fontId="68" fillId="0" borderId="0" xfId="0" applyFont="1" applyAlignment="1">
      <alignment horizontal="right" vertical="center"/>
    </xf>
    <xf numFmtId="165" fontId="68" fillId="0" borderId="0" xfId="0" applyFont="1" applyAlignment="1">
      <alignment vertical="center"/>
    </xf>
    <xf numFmtId="14" fontId="25" fillId="0" borderId="20" xfId="0" applyNumberFormat="1" applyFont="1" applyBorder="1"/>
    <xf numFmtId="167" fontId="3" fillId="17" borderId="0" xfId="1" applyNumberFormat="1" applyFont="1" applyFill="1"/>
    <xf numFmtId="167" fontId="3" fillId="17" borderId="0" xfId="1" applyNumberFormat="1" applyFont="1" applyFill="1" applyBorder="1"/>
    <xf numFmtId="167" fontId="26" fillId="17" borderId="0" xfId="1" applyNumberFormat="1" applyFont="1" applyFill="1" applyBorder="1"/>
    <xf numFmtId="0" fontId="0" fillId="0" borderId="28" xfId="0" applyNumberFormat="1" applyBorder="1" applyAlignment="1">
      <alignment horizontal="center"/>
    </xf>
    <xf numFmtId="165" fontId="46" fillId="0" borderId="0" xfId="0" applyFont="1" applyAlignment="1">
      <alignment wrapText="1"/>
    </xf>
    <xf numFmtId="165" fontId="46" fillId="0" borderId="0" xfId="0" applyFont="1" applyAlignment="1">
      <alignment vertical="center" wrapText="1"/>
    </xf>
    <xf numFmtId="165" fontId="70" fillId="0" borderId="0" xfId="0" applyFont="1"/>
    <xf numFmtId="165" fontId="71" fillId="0" borderId="0" xfId="0" applyFont="1"/>
    <xf numFmtId="10" fontId="70" fillId="0" borderId="0" xfId="0" applyNumberFormat="1" applyFont="1" applyAlignment="1">
      <alignment horizontal="left"/>
    </xf>
    <xf numFmtId="41" fontId="70" fillId="0" borderId="0" xfId="0" applyNumberFormat="1" applyFont="1"/>
    <xf numFmtId="41" fontId="72" fillId="0" borderId="0" xfId="0" applyNumberFormat="1" applyFont="1"/>
    <xf numFmtId="41" fontId="70" fillId="0" borderId="0" xfId="0" applyNumberFormat="1" applyFont="1" applyAlignment="1">
      <alignment horizontal="center"/>
    </xf>
    <xf numFmtId="41" fontId="73" fillId="0" borderId="0" xfId="0" applyNumberFormat="1" applyFont="1"/>
    <xf numFmtId="165" fontId="74" fillId="0" borderId="0" xfId="0" applyFont="1"/>
    <xf numFmtId="41" fontId="74" fillId="0" borderId="45" xfId="0" applyNumberFormat="1" applyFont="1" applyBorder="1"/>
    <xf numFmtId="14" fontId="4" fillId="0" borderId="20" xfId="0" applyNumberFormat="1" applyFont="1" applyBorder="1" applyAlignment="1">
      <alignment horizontal="center"/>
    </xf>
    <xf numFmtId="10" fontId="43" fillId="0" borderId="0" xfId="3" applyNumberFormat="1" applyFont="1"/>
    <xf numFmtId="167" fontId="41" fillId="0" borderId="11" xfId="1" applyNumberFormat="1" applyFont="1" applyBorder="1"/>
    <xf numFmtId="9" fontId="0" fillId="0" borderId="26" xfId="3" applyFont="1" applyFill="1" applyBorder="1"/>
    <xf numFmtId="43" fontId="0" fillId="19" borderId="0" xfId="1" applyFont="1" applyFill="1"/>
    <xf numFmtId="41" fontId="3" fillId="4" borderId="8" xfId="0" applyNumberFormat="1" applyFont="1" applyFill="1" applyBorder="1"/>
    <xf numFmtId="43" fontId="4" fillId="0" borderId="11" xfId="1" applyFont="1" applyFill="1" applyBorder="1"/>
    <xf numFmtId="43" fontId="43" fillId="0" borderId="11" xfId="1" applyFont="1" applyFill="1" applyBorder="1"/>
    <xf numFmtId="165" fontId="76" fillId="0" borderId="0" xfId="0" applyFont="1"/>
    <xf numFmtId="165" fontId="76" fillId="0" borderId="11" xfId="0" applyFont="1" applyBorder="1"/>
    <xf numFmtId="165" fontId="51" fillId="0" borderId="0" xfId="0" applyFont="1"/>
    <xf numFmtId="167" fontId="46" fillId="0" borderId="0" xfId="0" applyNumberFormat="1" applyFont="1"/>
    <xf numFmtId="41" fontId="25" fillId="0" borderId="40" xfId="0" applyNumberFormat="1" applyFont="1" applyBorder="1"/>
    <xf numFmtId="41" fontId="25" fillId="0" borderId="7" xfId="0" applyNumberFormat="1" applyFont="1" applyBorder="1"/>
    <xf numFmtId="41" fontId="25" fillId="0" borderId="20" xfId="0" applyNumberFormat="1" applyFont="1" applyBorder="1"/>
    <xf numFmtId="165" fontId="25" fillId="0" borderId="0" xfId="0" applyFont="1" applyAlignment="1">
      <alignment horizontal="center"/>
    </xf>
    <xf numFmtId="165" fontId="52" fillId="0" borderId="0" xfId="0" applyFont="1"/>
    <xf numFmtId="167" fontId="25" fillId="0" borderId="0" xfId="0" applyNumberFormat="1" applyFont="1"/>
    <xf numFmtId="41" fontId="54" fillId="0" borderId="0" xfId="0" applyNumberFormat="1" applyFont="1"/>
    <xf numFmtId="168" fontId="25" fillId="0" borderId="0" xfId="3" applyNumberFormat="1" applyFont="1" applyBorder="1"/>
    <xf numFmtId="41" fontId="3" fillId="12" borderId="18" xfId="0" applyNumberFormat="1" applyFont="1" applyFill="1" applyBorder="1"/>
    <xf numFmtId="43" fontId="0" fillId="0" borderId="0" xfId="1" applyFont="1" applyAlignment="1"/>
    <xf numFmtId="14" fontId="0" fillId="0" borderId="0" xfId="0" applyNumberFormat="1" applyAlignment="1">
      <alignment horizontal="left"/>
    </xf>
    <xf numFmtId="0" fontId="0" fillId="0" borderId="0" xfId="0" applyNumberFormat="1" applyAlignment="1">
      <alignment horizontal="left"/>
    </xf>
    <xf numFmtId="167" fontId="3" fillId="0" borderId="16" xfId="1" applyNumberFormat="1" applyFont="1" applyBorder="1" applyAlignment="1">
      <alignment horizontal="center"/>
    </xf>
    <xf numFmtId="43" fontId="2" fillId="0" borderId="0" xfId="1" applyFont="1" applyBorder="1"/>
    <xf numFmtId="43" fontId="2" fillId="8" borderId="0" xfId="1" applyFont="1" applyFill="1"/>
    <xf numFmtId="14" fontId="2" fillId="0" borderId="11" xfId="0" applyNumberFormat="1" applyFont="1" applyBorder="1"/>
    <xf numFmtId="14" fontId="2" fillId="5" borderId="11" xfId="0" applyNumberFormat="1" applyFont="1" applyFill="1" applyBorder="1"/>
    <xf numFmtId="14" fontId="2" fillId="5" borderId="8" xfId="0" applyNumberFormat="1" applyFont="1" applyFill="1" applyBorder="1"/>
    <xf numFmtId="43" fontId="2" fillId="0" borderId="18" xfId="1" applyFont="1" applyBorder="1"/>
    <xf numFmtId="43" fontId="2" fillId="0" borderId="11" xfId="1" applyFont="1" applyBorder="1"/>
    <xf numFmtId="43" fontId="2" fillId="0" borderId="0" xfId="1" applyFont="1" applyFill="1" applyBorder="1"/>
    <xf numFmtId="41" fontId="2" fillId="0" borderId="12" xfId="1" applyNumberFormat="1" applyFont="1" applyBorder="1"/>
    <xf numFmtId="43" fontId="2" fillId="0" borderId="0" xfId="0" applyNumberFormat="1" applyFont="1"/>
    <xf numFmtId="43" fontId="2" fillId="8" borderId="11" xfId="1" applyFont="1" applyFill="1" applyBorder="1"/>
    <xf numFmtId="43" fontId="2" fillId="0" borderId="11" xfId="1" applyFont="1" applyFill="1" applyBorder="1"/>
    <xf numFmtId="43" fontId="1" fillId="0" borderId="0" xfId="1" applyFont="1" applyFill="1" applyBorder="1"/>
    <xf numFmtId="43" fontId="1" fillId="0" borderId="28" xfId="1" applyFont="1" applyFill="1" applyBorder="1"/>
    <xf numFmtId="165" fontId="2" fillId="3" borderId="0" xfId="0" applyFont="1" applyFill="1" applyAlignment="1">
      <alignment horizontal="center"/>
    </xf>
    <xf numFmtId="165" fontId="2" fillId="3" borderId="54" xfId="0" applyFont="1" applyFill="1" applyBorder="1"/>
    <xf numFmtId="14" fontId="41" fillId="0" borderId="0" xfId="1" applyNumberFormat="1" applyFont="1" applyFill="1"/>
    <xf numFmtId="165" fontId="75" fillId="0" borderId="0" xfId="0" applyFont="1"/>
    <xf numFmtId="167" fontId="41" fillId="0" borderId="0" xfId="1" applyNumberFormat="1" applyFont="1" applyFill="1"/>
    <xf numFmtId="43" fontId="34" fillId="0" borderId="16" xfId="1" applyFont="1" applyBorder="1"/>
    <xf numFmtId="167" fontId="4" fillId="0" borderId="0" xfId="1" applyNumberFormat="1" applyFont="1"/>
    <xf numFmtId="10" fontId="4" fillId="0" borderId="0" xfId="3" applyNumberFormat="1" applyFont="1"/>
    <xf numFmtId="41" fontId="0" fillId="4" borderId="0" xfId="0" applyNumberFormat="1" applyFill="1"/>
    <xf numFmtId="43" fontId="25" fillId="0" borderId="0" xfId="1" quotePrefix="1" applyFont="1" applyFill="1" applyBorder="1"/>
    <xf numFmtId="43" fontId="25" fillId="4" borderId="0" xfId="1" applyFont="1" applyFill="1" applyBorder="1"/>
    <xf numFmtId="41" fontId="25" fillId="4" borderId="0" xfId="0" applyNumberFormat="1" applyFont="1" applyFill="1"/>
    <xf numFmtId="10" fontId="25" fillId="0" borderId="0" xfId="0" applyNumberFormat="1" applyFont="1" applyAlignment="1">
      <alignment horizontal="center"/>
    </xf>
    <xf numFmtId="165" fontId="77" fillId="0" borderId="0" xfId="0" applyFont="1" applyAlignment="1">
      <alignment horizontal="left" vertical="center" indent="2"/>
    </xf>
    <xf numFmtId="165" fontId="36" fillId="0" borderId="0" xfId="0" applyFont="1"/>
    <xf numFmtId="49" fontId="36" fillId="0" borderId="0" xfId="0" applyNumberFormat="1" applyFont="1"/>
    <xf numFmtId="16" fontId="3" fillId="0" borderId="0" xfId="1" quotePrefix="1" applyNumberFormat="1" applyFont="1" applyFill="1"/>
    <xf numFmtId="41" fontId="44" fillId="4" borderId="0" xfId="1" applyNumberFormat="1" applyFont="1" applyFill="1"/>
    <xf numFmtId="10" fontId="3" fillId="8" borderId="28" xfId="1" applyNumberFormat="1" applyFont="1" applyFill="1" applyBorder="1"/>
    <xf numFmtId="41" fontId="3" fillId="8" borderId="7" xfId="0" quotePrefix="1" applyNumberFormat="1" applyFont="1" applyFill="1" applyBorder="1" applyAlignment="1">
      <alignment horizontal="left"/>
    </xf>
    <xf numFmtId="41" fontId="3" fillId="8" borderId="28" xfId="0" quotePrefix="1" applyNumberFormat="1" applyFont="1" applyFill="1" applyBorder="1" applyAlignment="1">
      <alignment horizontal="left"/>
    </xf>
    <xf numFmtId="41" fontId="3" fillId="8" borderId="33" xfId="0" quotePrefix="1" applyNumberFormat="1" applyFont="1" applyFill="1" applyBorder="1"/>
    <xf numFmtId="167" fontId="25" fillId="0" borderId="0" xfId="1" applyNumberFormat="1" applyFont="1" applyFill="1" applyBorder="1"/>
    <xf numFmtId="165" fontId="24" fillId="9" borderId="0" xfId="0" applyFont="1" applyFill="1"/>
    <xf numFmtId="43" fontId="24" fillId="9" borderId="0" xfId="1" applyFont="1" applyFill="1"/>
    <xf numFmtId="9" fontId="25" fillId="0" borderId="0" xfId="3" applyFont="1"/>
    <xf numFmtId="0" fontId="3" fillId="0" borderId="62" xfId="0" applyNumberFormat="1" applyFont="1" applyBorder="1" applyAlignment="1">
      <alignment horizontal="center"/>
    </xf>
    <xf numFmtId="0" fontId="8" fillId="4" borderId="0" xfId="0" applyNumberFormat="1" applyFont="1" applyFill="1"/>
    <xf numFmtId="165" fontId="4" fillId="4" borderId="0" xfId="0" applyFont="1" applyFill="1"/>
    <xf numFmtId="10" fontId="25" fillId="0" borderId="0" xfId="3" applyNumberFormat="1" applyFont="1"/>
    <xf numFmtId="165" fontId="60" fillId="0" borderId="0" xfId="0" applyFont="1" applyAlignment="1">
      <alignment horizontal="center"/>
    </xf>
    <xf numFmtId="43" fontId="0" fillId="4" borderId="11" xfId="1" applyFont="1" applyFill="1" applyBorder="1"/>
    <xf numFmtId="0" fontId="60" fillId="0" borderId="0" xfId="0" applyNumberFormat="1" applyFont="1"/>
    <xf numFmtId="41" fontId="60" fillId="0" borderId="0" xfId="0" applyNumberFormat="1" applyFont="1"/>
    <xf numFmtId="41" fontId="60" fillId="0" borderId="0" xfId="0" applyNumberFormat="1" applyFont="1" applyAlignment="1">
      <alignment horizontal="center"/>
    </xf>
    <xf numFmtId="10" fontId="60" fillId="0" borderId="0" xfId="0" applyNumberFormat="1" applyFont="1"/>
    <xf numFmtId="41" fontId="60" fillId="0" borderId="28" xfId="0" applyNumberFormat="1" applyFont="1" applyBorder="1"/>
    <xf numFmtId="10" fontId="60" fillId="0" borderId="28" xfId="0" applyNumberFormat="1" applyFont="1" applyBorder="1"/>
    <xf numFmtId="41" fontId="60" fillId="0" borderId="27" xfId="0" applyNumberFormat="1" applyFont="1" applyBorder="1"/>
    <xf numFmtId="10" fontId="60" fillId="0" borderId="27" xfId="0" applyNumberFormat="1" applyFont="1" applyBorder="1"/>
    <xf numFmtId="168" fontId="60" fillId="0" borderId="0" xfId="0" applyNumberFormat="1" applyFont="1"/>
    <xf numFmtId="165" fontId="27" fillId="0" borderId="0" xfId="0" applyFont="1"/>
    <xf numFmtId="41" fontId="27" fillId="0" borderId="0" xfId="0" applyNumberFormat="1" applyFont="1"/>
    <xf numFmtId="41" fontId="27" fillId="0" borderId="0" xfId="0" applyNumberFormat="1" applyFont="1" applyAlignment="1">
      <alignment horizontal="center"/>
    </xf>
    <xf numFmtId="165" fontId="27" fillId="0" borderId="0" xfId="0" applyFont="1" applyAlignment="1">
      <alignment horizontal="center"/>
    </xf>
    <xf numFmtId="10" fontId="27" fillId="0" borderId="0" xfId="0" applyNumberFormat="1" applyFont="1"/>
    <xf numFmtId="41" fontId="27" fillId="0" borderId="28" xfId="0" applyNumberFormat="1" applyFont="1" applyBorder="1"/>
    <xf numFmtId="10" fontId="27" fillId="0" borderId="28" xfId="0" applyNumberFormat="1" applyFont="1" applyBorder="1"/>
    <xf numFmtId="167" fontId="27" fillId="0" borderId="0" xfId="0" applyNumberFormat="1" applyFont="1"/>
    <xf numFmtId="41" fontId="27" fillId="0" borderId="27" xfId="0" applyNumberFormat="1" applyFont="1" applyBorder="1"/>
    <xf numFmtId="10" fontId="27" fillId="0" borderId="27" xfId="0" applyNumberFormat="1" applyFont="1" applyBorder="1"/>
    <xf numFmtId="43" fontId="3" fillId="0" borderId="41" xfId="1" applyFont="1" applyFill="1" applyBorder="1"/>
    <xf numFmtId="43" fontId="3" fillId="0" borderId="45" xfId="1" applyFont="1" applyFill="1" applyBorder="1"/>
    <xf numFmtId="16" fontId="3" fillId="4" borderId="0" xfId="0" applyNumberFormat="1" applyFont="1" applyFill="1"/>
    <xf numFmtId="165" fontId="3" fillId="4" borderId="0" xfId="0" applyFont="1" applyFill="1"/>
    <xf numFmtId="165" fontId="3" fillId="0" borderId="20" xfId="0" applyFont="1" applyBorder="1" applyAlignment="1">
      <alignment horizontal="center"/>
    </xf>
    <xf numFmtId="165" fontId="4" fillId="0" borderId="21" xfId="0" applyFont="1" applyBorder="1" applyAlignment="1">
      <alignment horizontal="center"/>
    </xf>
    <xf numFmtId="41" fontId="4" fillId="0" borderId="21" xfId="0" applyNumberFormat="1" applyFont="1" applyBorder="1" applyAlignment="1">
      <alignment horizontal="center"/>
    </xf>
    <xf numFmtId="167" fontId="3" fillId="0" borderId="18" xfId="1" applyNumberFormat="1" applyFont="1" applyBorder="1"/>
    <xf numFmtId="167" fontId="3" fillId="0" borderId="17" xfId="1" applyNumberFormat="1" applyFont="1" applyBorder="1"/>
    <xf numFmtId="167" fontId="3" fillId="0" borderId="11" xfId="1" applyNumberFormat="1" applyFont="1" applyBorder="1"/>
    <xf numFmtId="14" fontId="4" fillId="0" borderId="5" xfId="1" applyNumberFormat="1" applyFont="1" applyFill="1" applyBorder="1" applyAlignment="1">
      <alignment horizontal="center"/>
    </xf>
    <xf numFmtId="41" fontId="13" fillId="0" borderId="38" xfId="0" applyNumberFormat="1" applyFont="1" applyBorder="1"/>
    <xf numFmtId="165" fontId="3" fillId="0" borderId="66" xfId="0" applyFont="1" applyBorder="1"/>
    <xf numFmtId="43" fontId="3" fillId="0" borderId="67" xfId="1" applyFont="1" applyBorder="1"/>
    <xf numFmtId="43" fontId="3" fillId="0" borderId="66" xfId="1" applyFont="1" applyBorder="1"/>
    <xf numFmtId="41" fontId="3" fillId="0" borderId="66" xfId="0" applyNumberFormat="1" applyFont="1" applyBorder="1"/>
    <xf numFmtId="165" fontId="3" fillId="0" borderId="68" xfId="0" applyFont="1" applyBorder="1"/>
    <xf numFmtId="43" fontId="3" fillId="0" borderId="69" xfId="1" applyFont="1" applyBorder="1"/>
    <xf numFmtId="43" fontId="3" fillId="0" borderId="68" xfId="1" applyFont="1" applyBorder="1"/>
    <xf numFmtId="41" fontId="3" fillId="0" borderId="68" xfId="0" applyNumberFormat="1" applyFont="1" applyBorder="1"/>
    <xf numFmtId="165" fontId="3" fillId="0" borderId="70" xfId="0" applyFont="1" applyBorder="1"/>
    <xf numFmtId="43" fontId="3" fillId="0" borderId="71" xfId="1" applyFont="1" applyBorder="1"/>
    <xf numFmtId="43" fontId="3" fillId="0" borderId="70" xfId="1" applyFont="1" applyBorder="1"/>
    <xf numFmtId="41" fontId="3" fillId="0" borderId="70" xfId="0" applyNumberFormat="1" applyFont="1" applyBorder="1"/>
    <xf numFmtId="43" fontId="3" fillId="0" borderId="45" xfId="1" applyFont="1" applyBorder="1"/>
    <xf numFmtId="43" fontId="4" fillId="0" borderId="40" xfId="1" applyFont="1" applyBorder="1"/>
    <xf numFmtId="165" fontId="2" fillId="4" borderId="0" xfId="0" quotePrefix="1" applyFont="1" applyFill="1"/>
    <xf numFmtId="0" fontId="2" fillId="14" borderId="0" xfId="0" applyNumberFormat="1" applyFont="1" applyFill="1" applyAlignment="1">
      <alignment horizontal="center"/>
    </xf>
    <xf numFmtId="43" fontId="0" fillId="14" borderId="54" xfId="1" applyFont="1" applyFill="1" applyBorder="1"/>
    <xf numFmtId="43" fontId="76" fillId="0" borderId="11" xfId="1" applyFont="1" applyFill="1" applyBorder="1"/>
    <xf numFmtId="165" fontId="3" fillId="0" borderId="16" xfId="0" applyFont="1" applyBorder="1"/>
    <xf numFmtId="14" fontId="3" fillId="0" borderId="62" xfId="1" applyNumberFormat="1" applyFont="1" applyBorder="1" applyAlignment="1">
      <alignment horizontal="center"/>
    </xf>
    <xf numFmtId="0" fontId="3" fillId="0" borderId="0" xfId="0" applyNumberFormat="1" applyFont="1" applyAlignment="1">
      <alignment horizontal="center"/>
    </xf>
    <xf numFmtId="14" fontId="3" fillId="0" borderId="0" xfId="1" applyNumberFormat="1" applyFont="1" applyBorder="1" applyAlignment="1">
      <alignment horizontal="center"/>
    </xf>
    <xf numFmtId="43" fontId="4" fillId="0" borderId="0" xfId="1" applyFont="1" applyBorder="1"/>
    <xf numFmtId="14" fontId="0" fillId="0" borderId="0" xfId="1" applyNumberFormat="1" applyFont="1" applyBorder="1"/>
    <xf numFmtId="41" fontId="4" fillId="5" borderId="16" xfId="1" applyNumberFormat="1" applyFont="1" applyFill="1" applyBorder="1"/>
    <xf numFmtId="0" fontId="0" fillId="5" borderId="0" xfId="0" applyNumberFormat="1" applyFill="1"/>
    <xf numFmtId="165" fontId="4" fillId="0" borderId="35" xfId="0" applyFont="1" applyBorder="1"/>
    <xf numFmtId="41" fontId="3" fillId="4" borderId="24" xfId="0" applyNumberFormat="1" applyFont="1" applyFill="1" applyBorder="1"/>
    <xf numFmtId="43" fontId="13" fillId="0" borderId="0" xfId="0" applyNumberFormat="1" applyFont="1"/>
    <xf numFmtId="165" fontId="63" fillId="4" borderId="0" xfId="0" applyFont="1" applyFill="1"/>
    <xf numFmtId="0" fontId="3" fillId="4" borderId="0" xfId="0" applyNumberFormat="1" applyFont="1" applyFill="1"/>
    <xf numFmtId="175" fontId="3" fillId="0" borderId="0" xfId="1" applyNumberFormat="1" applyFont="1"/>
    <xf numFmtId="0" fontId="3" fillId="8" borderId="6" xfId="0" applyNumberFormat="1" applyFont="1" applyFill="1" applyBorder="1" applyAlignment="1">
      <alignment horizontal="right"/>
    </xf>
    <xf numFmtId="165" fontId="3" fillId="8" borderId="8" xfId="0" applyFont="1" applyFill="1" applyBorder="1" applyAlignment="1">
      <alignment horizontal="left"/>
    </xf>
    <xf numFmtId="43" fontId="0" fillId="0" borderId="0" xfId="1" applyFont="1" applyAlignment="1">
      <alignment horizontal="right"/>
    </xf>
    <xf numFmtId="41" fontId="25" fillId="20" borderId="0" xfId="0" applyNumberFormat="1" applyFont="1" applyFill="1"/>
    <xf numFmtId="10" fontId="25" fillId="20" borderId="0" xfId="3" applyNumberFormat="1" applyFont="1" applyFill="1"/>
    <xf numFmtId="10" fontId="46" fillId="0" borderId="0" xfId="3" applyNumberFormat="1" applyFont="1" applyBorder="1"/>
    <xf numFmtId="10" fontId="0" fillId="4" borderId="0" xfId="3" applyNumberFormat="1" applyFont="1" applyFill="1"/>
    <xf numFmtId="10" fontId="8" fillId="4" borderId="0" xfId="0" applyNumberFormat="1" applyFont="1" applyFill="1"/>
    <xf numFmtId="10" fontId="25" fillId="4" borderId="0" xfId="3" applyNumberFormat="1" applyFont="1" applyFill="1"/>
    <xf numFmtId="9" fontId="0" fillId="4" borderId="28" xfId="0" applyNumberFormat="1" applyFill="1" applyBorder="1" applyAlignment="1">
      <alignment horizontal="center"/>
    </xf>
    <xf numFmtId="0" fontId="0" fillId="4" borderId="0" xfId="0" applyNumberFormat="1" applyFill="1"/>
    <xf numFmtId="41" fontId="0" fillId="4" borderId="20" xfId="0" applyNumberFormat="1" applyFill="1" applyBorder="1"/>
    <xf numFmtId="0" fontId="46" fillId="4" borderId="0" xfId="0" applyNumberFormat="1" applyFont="1" applyFill="1"/>
    <xf numFmtId="165" fontId="46" fillId="4" borderId="0" xfId="0" applyFont="1" applyFill="1"/>
    <xf numFmtId="41" fontId="46" fillId="4" borderId="0" xfId="1" applyNumberFormat="1" applyFont="1" applyFill="1"/>
    <xf numFmtId="168" fontId="46" fillId="4" borderId="0" xfId="3" applyNumberFormat="1" applyFont="1" applyFill="1"/>
    <xf numFmtId="41" fontId="46" fillId="4" borderId="0" xfId="0" applyNumberFormat="1" applyFont="1" applyFill="1"/>
    <xf numFmtId="165" fontId="41" fillId="4" borderId="0" xfId="0" applyFont="1" applyFill="1"/>
    <xf numFmtId="14" fontId="78" fillId="12" borderId="0" xfId="0" applyNumberFormat="1" applyFont="1" applyFill="1" applyAlignment="1">
      <alignment horizontal="center"/>
    </xf>
    <xf numFmtId="165" fontId="0" fillId="12" borderId="0" xfId="0" applyFill="1" applyAlignment="1">
      <alignment horizontal="center"/>
    </xf>
    <xf numFmtId="167" fontId="0" fillId="12" borderId="0" xfId="1" applyNumberFormat="1" applyFont="1" applyFill="1"/>
    <xf numFmtId="167" fontId="0" fillId="0" borderId="72" xfId="1" applyNumberFormat="1" applyFont="1" applyBorder="1"/>
    <xf numFmtId="167" fontId="0" fillId="0" borderId="0" xfId="1" applyNumberFormat="1" applyFont="1" applyBorder="1"/>
    <xf numFmtId="167" fontId="0" fillId="12" borderId="28" xfId="1" applyNumberFormat="1" applyFont="1" applyFill="1" applyBorder="1"/>
    <xf numFmtId="167" fontId="0" fillId="0" borderId="28" xfId="1" applyNumberFormat="1" applyFont="1" applyBorder="1"/>
    <xf numFmtId="165" fontId="0" fillId="12" borderId="0" xfId="0" applyFill="1"/>
    <xf numFmtId="165" fontId="0" fillId="0" borderId="72" xfId="0" applyBorder="1"/>
    <xf numFmtId="9" fontId="0" fillId="12" borderId="0" xfId="3" applyFont="1" applyFill="1"/>
    <xf numFmtId="167" fontId="78" fillId="12" borderId="0" xfId="1" applyNumberFormat="1" applyFont="1" applyFill="1"/>
    <xf numFmtId="167" fontId="78" fillId="0" borderId="0" xfId="1" applyNumberFormat="1" applyFont="1" applyFill="1"/>
    <xf numFmtId="167" fontId="78" fillId="0" borderId="72" xfId="1" applyNumberFormat="1" applyFont="1" applyFill="1" applyBorder="1"/>
    <xf numFmtId="167" fontId="78" fillId="0" borderId="0" xfId="1" applyNumberFormat="1" applyFont="1" applyFill="1" applyBorder="1"/>
    <xf numFmtId="10" fontId="0" fillId="12" borderId="0" xfId="0" applyNumberFormat="1" applyFill="1"/>
    <xf numFmtId="10" fontId="0" fillId="0" borderId="72" xfId="0" applyNumberFormat="1" applyBorder="1"/>
    <xf numFmtId="167" fontId="0" fillId="12" borderId="26" xfId="1" applyNumberFormat="1" applyFont="1" applyFill="1" applyBorder="1"/>
    <xf numFmtId="167" fontId="0" fillId="0" borderId="26" xfId="1" applyNumberFormat="1" applyFont="1" applyBorder="1"/>
    <xf numFmtId="167" fontId="0" fillId="12" borderId="0" xfId="1" applyNumberFormat="1" applyFont="1" applyFill="1" applyBorder="1"/>
    <xf numFmtId="167" fontId="0" fillId="0" borderId="38" xfId="1" applyNumberFormat="1" applyFont="1" applyBorder="1"/>
    <xf numFmtId="43" fontId="0" fillId="12" borderId="0" xfId="1" applyFont="1" applyFill="1" applyBorder="1"/>
    <xf numFmtId="43" fontId="0" fillId="0" borderId="72" xfId="1" applyFont="1" applyBorder="1"/>
    <xf numFmtId="43" fontId="0" fillId="0" borderId="38" xfId="1" applyFont="1" applyBorder="1"/>
    <xf numFmtId="165" fontId="78" fillId="0" borderId="7" xfId="0" applyFont="1" applyBorder="1"/>
    <xf numFmtId="165" fontId="78" fillId="12" borderId="28" xfId="0" applyFont="1" applyFill="1" applyBorder="1"/>
    <xf numFmtId="165" fontId="78" fillId="0" borderId="28" xfId="0" applyFont="1" applyBorder="1"/>
    <xf numFmtId="43" fontId="0" fillId="0" borderId="73" xfId="1" applyFont="1" applyBorder="1"/>
    <xf numFmtId="43" fontId="0" fillId="0" borderId="33" xfId="1" applyFont="1" applyBorder="1"/>
    <xf numFmtId="176" fontId="78" fillId="0" borderId="0" xfId="0" applyNumberFormat="1" applyFont="1" applyAlignment="1">
      <alignment horizontal="center"/>
    </xf>
    <xf numFmtId="9" fontId="0" fillId="0" borderId="0" xfId="3" applyFont="1" applyFill="1"/>
    <xf numFmtId="167" fontId="0" fillId="0" borderId="0" xfId="1" applyNumberFormat="1" applyFont="1" applyFill="1" applyBorder="1"/>
    <xf numFmtId="43" fontId="0" fillId="0" borderId="28" xfId="1" applyFont="1" applyFill="1" applyBorder="1"/>
    <xf numFmtId="167" fontId="79" fillId="12" borderId="0" xfId="1" applyNumberFormat="1" applyFont="1" applyFill="1" applyBorder="1"/>
    <xf numFmtId="167" fontId="79" fillId="0" borderId="0" xfId="1" applyNumberFormat="1" applyFont="1" applyBorder="1"/>
    <xf numFmtId="167" fontId="79" fillId="0" borderId="72" xfId="1" applyNumberFormat="1" applyFont="1" applyBorder="1"/>
    <xf numFmtId="167" fontId="79" fillId="0" borderId="0" xfId="1" applyNumberFormat="1" applyFont="1" applyFill="1" applyBorder="1"/>
    <xf numFmtId="167" fontId="79" fillId="0" borderId="38" xfId="1" applyNumberFormat="1" applyFont="1" applyBorder="1"/>
    <xf numFmtId="167" fontId="79" fillId="4" borderId="0" xfId="1" applyNumberFormat="1" applyFont="1" applyFill="1" applyBorder="1"/>
    <xf numFmtId="43" fontId="70" fillId="0" borderId="0" xfId="1" applyFont="1"/>
    <xf numFmtId="43" fontId="74" fillId="0" borderId="0" xfId="1" applyFont="1" applyBorder="1" applyAlignment="1">
      <alignment horizontal="center"/>
    </xf>
    <xf numFmtId="43" fontId="70" fillId="0" borderId="28" xfId="1" applyFont="1" applyBorder="1"/>
    <xf numFmtId="43" fontId="70" fillId="0" borderId="0" xfId="1" applyFont="1" applyBorder="1"/>
    <xf numFmtId="167" fontId="74" fillId="0" borderId="0" xfId="1" applyNumberFormat="1" applyFont="1" applyBorder="1" applyAlignment="1">
      <alignment horizontal="center"/>
    </xf>
    <xf numFmtId="167" fontId="70" fillId="0" borderId="0" xfId="1" applyNumberFormat="1" applyFont="1"/>
    <xf numFmtId="167" fontId="70" fillId="0" borderId="28" xfId="1" applyNumberFormat="1" applyFont="1" applyBorder="1"/>
    <xf numFmtId="167" fontId="70" fillId="0" borderId="0" xfId="1" applyNumberFormat="1" applyFont="1" applyBorder="1"/>
    <xf numFmtId="165" fontId="74" fillId="17" borderId="0" xfId="0" applyFont="1" applyFill="1"/>
    <xf numFmtId="165" fontId="70" fillId="17" borderId="0" xfId="0" applyFont="1" applyFill="1"/>
    <xf numFmtId="43" fontId="70" fillId="17" borderId="0" xfId="1" applyFont="1" applyFill="1"/>
    <xf numFmtId="167" fontId="70" fillId="17" borderId="0" xfId="1" applyNumberFormat="1" applyFont="1" applyFill="1"/>
    <xf numFmtId="165" fontId="0" fillId="17" borderId="0" xfId="0" applyFill="1"/>
    <xf numFmtId="43" fontId="70" fillId="17" borderId="28" xfId="1" applyFont="1" applyFill="1" applyBorder="1"/>
    <xf numFmtId="167" fontId="70" fillId="17" borderId="28" xfId="1" applyNumberFormat="1" applyFont="1" applyFill="1" applyBorder="1"/>
    <xf numFmtId="165" fontId="74" fillId="21" borderId="0" xfId="0" applyFont="1" applyFill="1"/>
    <xf numFmtId="165" fontId="70" fillId="21" borderId="0" xfId="0" applyFont="1" applyFill="1"/>
    <xf numFmtId="43" fontId="70" fillId="21" borderId="0" xfId="1" applyFont="1" applyFill="1"/>
    <xf numFmtId="167" fontId="70" fillId="21" borderId="0" xfId="1" applyNumberFormat="1" applyFont="1" applyFill="1"/>
    <xf numFmtId="165" fontId="0" fillId="21" borderId="0" xfId="0" applyFill="1"/>
    <xf numFmtId="43" fontId="70" fillId="21" borderId="28" xfId="1" applyFont="1" applyFill="1" applyBorder="1"/>
    <xf numFmtId="167" fontId="70" fillId="21" borderId="28" xfId="1" applyNumberFormat="1" applyFont="1" applyFill="1" applyBorder="1"/>
    <xf numFmtId="10" fontId="70" fillId="0" borderId="0" xfId="3" applyNumberFormat="1" applyFont="1"/>
    <xf numFmtId="10" fontId="70" fillId="21" borderId="0" xfId="3" applyNumberFormat="1" applyFont="1" applyFill="1"/>
    <xf numFmtId="10" fontId="70" fillId="17" borderId="0" xfId="3" applyNumberFormat="1" applyFont="1" applyFill="1"/>
    <xf numFmtId="10" fontId="70" fillId="0" borderId="0" xfId="3" applyNumberFormat="1" applyFont="1" applyFill="1"/>
    <xf numFmtId="10" fontId="70" fillId="0" borderId="28" xfId="3" applyNumberFormat="1" applyFont="1" applyBorder="1"/>
    <xf numFmtId="10" fontId="70" fillId="21" borderId="28" xfId="3" applyNumberFormat="1" applyFont="1" applyFill="1" applyBorder="1"/>
    <xf numFmtId="10" fontId="70" fillId="17" borderId="28" xfId="3" applyNumberFormat="1" applyFont="1" applyFill="1" applyBorder="1"/>
    <xf numFmtId="165" fontId="74" fillId="17" borderId="28" xfId="0" applyFont="1" applyFill="1" applyBorder="1"/>
    <xf numFmtId="43" fontId="74" fillId="17" borderId="28" xfId="1" applyFont="1" applyFill="1" applyBorder="1"/>
    <xf numFmtId="10" fontId="74" fillId="17" borderId="28" xfId="3" applyNumberFormat="1" applyFont="1" applyFill="1" applyBorder="1"/>
    <xf numFmtId="167" fontId="74" fillId="17" borderId="28" xfId="1" applyNumberFormat="1" applyFont="1" applyFill="1" applyBorder="1"/>
    <xf numFmtId="165" fontId="8" fillId="17" borderId="28" xfId="0" applyFont="1" applyFill="1" applyBorder="1"/>
    <xf numFmtId="43" fontId="74" fillId="21" borderId="0" xfId="1" applyFont="1" applyFill="1"/>
    <xf numFmtId="10" fontId="74" fillId="21" borderId="0" xfId="3" applyNumberFormat="1" applyFont="1" applyFill="1"/>
    <xf numFmtId="167" fontId="74" fillId="21" borderId="0" xfId="1" applyNumberFormat="1" applyFont="1" applyFill="1"/>
    <xf numFmtId="165" fontId="8" fillId="21" borderId="0" xfId="0" applyFont="1" applyFill="1"/>
    <xf numFmtId="43" fontId="74" fillId="0" borderId="0" xfId="1" applyFont="1"/>
    <xf numFmtId="10" fontId="74" fillId="0" borderId="0" xfId="3" applyNumberFormat="1" applyFont="1"/>
    <xf numFmtId="167" fontId="74" fillId="0" borderId="0" xfId="1" applyNumberFormat="1" applyFont="1"/>
    <xf numFmtId="10" fontId="70" fillId="0" borderId="0" xfId="3" applyNumberFormat="1" applyFont="1" applyBorder="1"/>
    <xf numFmtId="10" fontId="25" fillId="0" borderId="0" xfId="3" applyNumberFormat="1" applyFont="1" applyFill="1"/>
    <xf numFmtId="165" fontId="70" fillId="0" borderId="40" xfId="0" applyFont="1" applyBorder="1"/>
    <xf numFmtId="165" fontId="70" fillId="0" borderId="26" xfId="0" applyFont="1" applyBorder="1"/>
    <xf numFmtId="167" fontId="70" fillId="0" borderId="26" xfId="1" applyNumberFormat="1" applyFont="1" applyBorder="1"/>
    <xf numFmtId="165" fontId="70" fillId="0" borderId="44" xfId="0" applyFont="1" applyBorder="1"/>
    <xf numFmtId="165" fontId="74" fillId="0" borderId="20" xfId="0" applyFont="1" applyBorder="1"/>
    <xf numFmtId="167" fontId="74" fillId="0" borderId="0" xfId="1" applyNumberFormat="1" applyFont="1" applyBorder="1"/>
    <xf numFmtId="165" fontId="70" fillId="0" borderId="38" xfId="0" applyFont="1" applyBorder="1"/>
    <xf numFmtId="165" fontId="70" fillId="0" borderId="20" xfId="0" applyFont="1" applyBorder="1"/>
    <xf numFmtId="165" fontId="70" fillId="0" borderId="7" xfId="0" applyFont="1" applyBorder="1"/>
    <xf numFmtId="165" fontId="70" fillId="0" borderId="28" xfId="0" applyFont="1" applyBorder="1"/>
    <xf numFmtId="165" fontId="70" fillId="0" borderId="33" xfId="0" applyFont="1" applyBorder="1"/>
    <xf numFmtId="43" fontId="74" fillId="20" borderId="0" xfId="1" applyFont="1" applyFill="1" applyBorder="1" applyAlignment="1">
      <alignment horizontal="center"/>
    </xf>
    <xf numFmtId="167" fontId="70" fillId="0" borderId="0" xfId="0" applyNumberFormat="1" applyFont="1"/>
    <xf numFmtId="41" fontId="25" fillId="10" borderId="0" xfId="0" applyNumberFormat="1" applyFont="1" applyFill="1" applyAlignment="1">
      <alignment horizontal="center"/>
    </xf>
    <xf numFmtId="41" fontId="25" fillId="10" borderId="0" xfId="0" applyNumberFormat="1" applyFont="1" applyFill="1"/>
    <xf numFmtId="41" fontId="25" fillId="10" borderId="28" xfId="0" applyNumberFormat="1" applyFont="1" applyFill="1" applyBorder="1"/>
    <xf numFmtId="41" fontId="25" fillId="10" borderId="26" xfId="0" applyNumberFormat="1" applyFont="1" applyFill="1" applyBorder="1"/>
    <xf numFmtId="41" fontId="25" fillId="10" borderId="27" xfId="0" applyNumberFormat="1" applyFont="1" applyFill="1" applyBorder="1"/>
    <xf numFmtId="41" fontId="25" fillId="10" borderId="0" xfId="3" applyNumberFormat="1" applyFont="1" applyFill="1" applyBorder="1"/>
    <xf numFmtId="41" fontId="25" fillId="10" borderId="0" xfId="3" applyNumberFormat="1" applyFont="1" applyFill="1"/>
    <xf numFmtId="165" fontId="25" fillId="10" borderId="0" xfId="0" applyFont="1" applyFill="1"/>
    <xf numFmtId="43" fontId="74" fillId="0" borderId="29" xfId="1" applyFont="1" applyBorder="1" applyAlignment="1">
      <alignment horizontal="center"/>
    </xf>
    <xf numFmtId="167" fontId="74" fillId="0" borderId="29" xfId="1" applyNumberFormat="1" applyFont="1" applyBorder="1" applyAlignment="1">
      <alignment horizontal="center"/>
    </xf>
    <xf numFmtId="43" fontId="74" fillId="20" borderId="29" xfId="1" applyFont="1" applyFill="1" applyBorder="1" applyAlignment="1">
      <alignment horizontal="center"/>
    </xf>
    <xf numFmtId="10" fontId="70" fillId="0" borderId="28" xfId="3" applyNumberFormat="1" applyFont="1" applyFill="1" applyBorder="1"/>
    <xf numFmtId="168" fontId="70" fillId="0" borderId="0" xfId="3" applyNumberFormat="1" applyFont="1"/>
    <xf numFmtId="167" fontId="70" fillId="17" borderId="0" xfId="1" applyNumberFormat="1" applyFont="1" applyFill="1" applyBorder="1"/>
    <xf numFmtId="165" fontId="74" fillId="0" borderId="0" xfId="0" applyFont="1" applyAlignment="1">
      <alignment horizontal="center"/>
    </xf>
    <xf numFmtId="41" fontId="74" fillId="0" borderId="0" xfId="1" applyNumberFormat="1" applyFont="1"/>
    <xf numFmtId="168" fontId="70" fillId="21" borderId="0" xfId="3" applyNumberFormat="1" applyFont="1" applyFill="1"/>
    <xf numFmtId="168" fontId="70" fillId="17" borderId="0" xfId="3" applyNumberFormat="1" applyFont="1" applyFill="1"/>
    <xf numFmtId="165" fontId="70" fillId="16" borderId="0" xfId="0" applyFont="1" applyFill="1"/>
    <xf numFmtId="43" fontId="70" fillId="16" borderId="0" xfId="1" applyFont="1" applyFill="1"/>
    <xf numFmtId="167" fontId="70" fillId="16" borderId="0" xfId="1" applyNumberFormat="1" applyFont="1" applyFill="1"/>
    <xf numFmtId="167" fontId="70" fillId="16" borderId="0" xfId="0" applyNumberFormat="1" applyFont="1" applyFill="1"/>
    <xf numFmtId="41" fontId="70" fillId="16" borderId="0" xfId="1" applyNumberFormat="1" applyFont="1" applyFill="1"/>
    <xf numFmtId="165" fontId="70" fillId="16" borderId="28" xfId="0" applyFont="1" applyFill="1" applyBorder="1"/>
    <xf numFmtId="43" fontId="70" fillId="16" borderId="28" xfId="1" applyFont="1" applyFill="1" applyBorder="1"/>
    <xf numFmtId="167" fontId="70" fillId="16" borderId="28" xfId="1" applyNumberFormat="1" applyFont="1" applyFill="1" applyBorder="1"/>
    <xf numFmtId="41" fontId="70" fillId="16" borderId="28" xfId="1" applyNumberFormat="1" applyFont="1" applyFill="1" applyBorder="1"/>
    <xf numFmtId="10" fontId="70" fillId="16" borderId="0" xfId="3" applyNumberFormat="1" applyFont="1" applyFill="1"/>
    <xf numFmtId="41" fontId="70" fillId="16" borderId="0" xfId="3" applyNumberFormat="1" applyFont="1" applyFill="1"/>
    <xf numFmtId="10" fontId="70" fillId="16" borderId="28" xfId="3" applyNumberFormat="1" applyFont="1" applyFill="1" applyBorder="1"/>
    <xf numFmtId="41" fontId="70" fillId="16" borderId="28" xfId="3" applyNumberFormat="1" applyFont="1" applyFill="1" applyBorder="1"/>
    <xf numFmtId="165" fontId="74" fillId="0" borderId="40" xfId="0" applyFont="1" applyBorder="1"/>
    <xf numFmtId="10" fontId="70" fillId="0" borderId="26" xfId="3" applyNumberFormat="1" applyFont="1" applyFill="1" applyBorder="1"/>
    <xf numFmtId="10" fontId="70" fillId="0" borderId="26" xfId="3" applyNumberFormat="1" applyFont="1" applyBorder="1"/>
    <xf numFmtId="43" fontId="70" fillId="0" borderId="26" xfId="1" applyFont="1" applyBorder="1"/>
    <xf numFmtId="167" fontId="70" fillId="0" borderId="26" xfId="0" applyNumberFormat="1" applyFont="1" applyBorder="1"/>
    <xf numFmtId="167" fontId="70" fillId="0" borderId="41" xfId="1" applyNumberFormat="1" applyFont="1" applyBorder="1"/>
    <xf numFmtId="167" fontId="70" fillId="0" borderId="24" xfId="1" applyNumberFormat="1" applyFont="1" applyBorder="1"/>
    <xf numFmtId="165" fontId="74" fillId="0" borderId="7" xfId="0" applyFont="1" applyBorder="1"/>
    <xf numFmtId="167" fontId="70" fillId="0" borderId="28" xfId="0" applyNumberFormat="1" applyFont="1" applyBorder="1"/>
    <xf numFmtId="167" fontId="70" fillId="0" borderId="33" xfId="1" applyNumberFormat="1" applyFont="1" applyBorder="1"/>
    <xf numFmtId="16" fontId="3" fillId="0" borderId="9" xfId="0" applyNumberFormat="1" applyFont="1" applyBorder="1"/>
    <xf numFmtId="41" fontId="3" fillId="8" borderId="10" xfId="0" applyNumberFormat="1" applyFont="1" applyFill="1" applyBorder="1" applyAlignment="1">
      <alignment wrapText="1"/>
    </xf>
    <xf numFmtId="165" fontId="0" fillId="8" borderId="0" xfId="0" applyFill="1"/>
    <xf numFmtId="0" fontId="3" fillId="0" borderId="9" xfId="0" applyNumberFormat="1" applyFont="1" applyBorder="1" applyAlignment="1">
      <alignment horizontal="right"/>
    </xf>
    <xf numFmtId="0" fontId="3" fillId="8" borderId="9" xfId="0" applyNumberFormat="1" applyFont="1" applyFill="1" applyBorder="1" applyAlignment="1">
      <alignment horizontal="right"/>
    </xf>
    <xf numFmtId="41" fontId="3" fillId="4" borderId="10" xfId="0" applyNumberFormat="1" applyFont="1" applyFill="1" applyBorder="1"/>
    <xf numFmtId="41" fontId="3" fillId="4" borderId="41" xfId="0" applyNumberFormat="1" applyFont="1" applyFill="1" applyBorder="1"/>
    <xf numFmtId="0" fontId="3" fillId="22" borderId="9" xfId="0" applyNumberFormat="1" applyFont="1" applyFill="1" applyBorder="1"/>
    <xf numFmtId="165" fontId="3" fillId="22" borderId="11" xfId="0" applyFont="1" applyFill="1" applyBorder="1"/>
    <xf numFmtId="165" fontId="3" fillId="22" borderId="41" xfId="0" applyFont="1" applyFill="1" applyBorder="1"/>
    <xf numFmtId="41" fontId="3" fillId="22" borderId="11" xfId="0" applyNumberFormat="1" applyFont="1" applyFill="1" applyBorder="1"/>
    <xf numFmtId="43" fontId="3" fillId="22" borderId="11" xfId="1" applyFont="1" applyFill="1" applyBorder="1"/>
    <xf numFmtId="0" fontId="3" fillId="12" borderId="9" xfId="0" applyNumberFormat="1" applyFont="1" applyFill="1" applyBorder="1"/>
    <xf numFmtId="165" fontId="3" fillId="12" borderId="11" xfId="0" applyFont="1" applyFill="1" applyBorder="1"/>
    <xf numFmtId="41" fontId="3" fillId="12" borderId="11" xfId="0" applyNumberFormat="1" applyFont="1" applyFill="1" applyBorder="1"/>
    <xf numFmtId="165" fontId="3" fillId="9" borderId="41" xfId="0" applyFont="1" applyFill="1" applyBorder="1"/>
    <xf numFmtId="0" fontId="3" fillId="9" borderId="9" xfId="0" applyNumberFormat="1" applyFont="1" applyFill="1" applyBorder="1"/>
    <xf numFmtId="0" fontId="3" fillId="23" borderId="9" xfId="0" applyNumberFormat="1" applyFont="1" applyFill="1" applyBorder="1"/>
    <xf numFmtId="165" fontId="3" fillId="23" borderId="11" xfId="0" applyFont="1" applyFill="1" applyBorder="1"/>
    <xf numFmtId="43" fontId="3" fillId="23" borderId="11" xfId="1" applyFont="1" applyFill="1" applyBorder="1"/>
    <xf numFmtId="165" fontId="0" fillId="23" borderId="0" xfId="0" applyFill="1"/>
    <xf numFmtId="41" fontId="3" fillId="23" borderId="11" xfId="0" applyNumberFormat="1" applyFont="1" applyFill="1" applyBorder="1"/>
    <xf numFmtId="41" fontId="3" fillId="23" borderId="8" xfId="1" applyNumberFormat="1" applyFont="1" applyFill="1" applyBorder="1"/>
    <xf numFmtId="41" fontId="3" fillId="24" borderId="11" xfId="0" applyNumberFormat="1" applyFont="1" applyFill="1" applyBorder="1"/>
    <xf numFmtId="41" fontId="3" fillId="24" borderId="8" xfId="1" applyNumberFormat="1" applyFont="1" applyFill="1" applyBorder="1"/>
    <xf numFmtId="41" fontId="3" fillId="9" borderId="8" xfId="1" applyNumberFormat="1" applyFont="1" applyFill="1" applyBorder="1"/>
    <xf numFmtId="41" fontId="3" fillId="23" borderId="24" xfId="0" applyNumberFormat="1" applyFont="1" applyFill="1" applyBorder="1"/>
    <xf numFmtId="41" fontId="3" fillId="8" borderId="40" xfId="0" applyNumberFormat="1" applyFont="1" applyFill="1" applyBorder="1" applyAlignment="1">
      <alignment vertical="center"/>
    </xf>
    <xf numFmtId="41" fontId="3" fillId="8" borderId="26" xfId="0" applyNumberFormat="1" applyFont="1" applyFill="1" applyBorder="1" applyAlignment="1">
      <alignment vertical="center"/>
    </xf>
    <xf numFmtId="41" fontId="3" fillId="8" borderId="44" xfId="0" applyNumberFormat="1" applyFont="1" applyFill="1" applyBorder="1" applyAlignment="1">
      <alignment vertical="center"/>
    </xf>
    <xf numFmtId="41" fontId="3" fillId="8" borderId="7" xfId="0" applyNumberFormat="1" applyFont="1" applyFill="1" applyBorder="1" applyAlignment="1">
      <alignment vertical="center"/>
    </xf>
    <xf numFmtId="41" fontId="3" fillId="8" borderId="28" xfId="0" applyNumberFormat="1" applyFont="1" applyFill="1" applyBorder="1" applyAlignment="1">
      <alignment vertical="center"/>
    </xf>
    <xf numFmtId="41" fontId="3" fillId="8" borderId="33" xfId="0" applyNumberFormat="1" applyFont="1" applyFill="1" applyBorder="1" applyAlignment="1">
      <alignment vertical="center"/>
    </xf>
    <xf numFmtId="41" fontId="4" fillId="8" borderId="10" xfId="0" applyNumberFormat="1" applyFont="1" applyFill="1" applyBorder="1" applyAlignment="1">
      <alignment horizontal="center"/>
    </xf>
    <xf numFmtId="41" fontId="4" fillId="8" borderId="41" xfId="0" applyNumberFormat="1" applyFont="1" applyFill="1" applyBorder="1" applyAlignment="1">
      <alignment horizontal="center"/>
    </xf>
    <xf numFmtId="41" fontId="4" fillId="8" borderId="24" xfId="0" applyNumberFormat="1" applyFont="1" applyFill="1" applyBorder="1" applyAlignment="1">
      <alignment horizontal="center"/>
    </xf>
    <xf numFmtId="165" fontId="16" fillId="0" borderId="46" xfId="0" applyFont="1" applyBorder="1"/>
    <xf numFmtId="165" fontId="2" fillId="0" borderId="48" xfId="0" applyFont="1" applyBorder="1"/>
    <xf numFmtId="165" fontId="2" fillId="0" borderId="49" xfId="0" applyFont="1" applyBorder="1"/>
    <xf numFmtId="165" fontId="2" fillId="0" borderId="50" xfId="0" applyFont="1" applyBorder="1"/>
    <xf numFmtId="167" fontId="2" fillId="0" borderId="0" xfId="1" applyNumberFormat="1" applyFont="1" applyBorder="1"/>
    <xf numFmtId="165" fontId="2" fillId="0" borderId="51" xfId="0" applyFont="1" applyBorder="1"/>
    <xf numFmtId="165" fontId="2" fillId="0" borderId="52" xfId="0" applyFont="1" applyBorder="1"/>
    <xf numFmtId="165" fontId="2" fillId="0" borderId="53" xfId="0" applyFont="1" applyBorder="1"/>
    <xf numFmtId="165" fontId="8" fillId="4" borderId="0" xfId="0" applyFont="1" applyFill="1"/>
    <xf numFmtId="165" fontId="80" fillId="4" borderId="0" xfId="0" applyFont="1" applyFill="1"/>
    <xf numFmtId="165" fontId="81" fillId="4" borderId="0" xfId="0" applyFont="1" applyFill="1"/>
    <xf numFmtId="165" fontId="21" fillId="0" borderId="46" xfId="0" applyFont="1" applyBorder="1"/>
    <xf numFmtId="165" fontId="8" fillId="0" borderId="49" xfId="0" applyFont="1" applyBorder="1"/>
    <xf numFmtId="43" fontId="2" fillId="0" borderId="0" xfId="1" applyFont="1" applyBorder="1" applyAlignment="1">
      <alignment horizontal="center"/>
    </xf>
    <xf numFmtId="165" fontId="2" fillId="4" borderId="0" xfId="0" applyFont="1" applyFill="1" applyAlignment="1">
      <alignment horizontal="center"/>
    </xf>
    <xf numFmtId="165" fontId="2" fillId="0" borderId="5" xfId="0" applyFont="1" applyBorder="1" applyAlignment="1">
      <alignment horizontal="center"/>
    </xf>
    <xf numFmtId="165" fontId="2" fillId="0" borderId="21" xfId="0" applyFont="1" applyBorder="1" applyAlignment="1">
      <alignment horizontal="center"/>
    </xf>
    <xf numFmtId="14" fontId="2" fillId="0" borderId="5" xfId="1" applyNumberFormat="1" applyFont="1" applyBorder="1" applyAlignment="1">
      <alignment horizontal="center"/>
    </xf>
    <xf numFmtId="165" fontId="2" fillId="4" borderId="21" xfId="0" applyFont="1" applyFill="1" applyBorder="1" applyAlignment="1">
      <alignment horizontal="center"/>
    </xf>
    <xf numFmtId="0" fontId="3" fillId="24" borderId="74" xfId="0" applyNumberFormat="1" applyFont="1" applyFill="1" applyBorder="1"/>
    <xf numFmtId="41" fontId="2" fillId="0" borderId="11" xfId="0" applyNumberFormat="1" applyFont="1" applyBorder="1"/>
    <xf numFmtId="41" fontId="2" fillId="4" borderId="11" xfId="0" applyNumberFormat="1" applyFont="1" applyFill="1" applyBorder="1"/>
    <xf numFmtId="165" fontId="2" fillId="0" borderId="41" xfId="0" applyFont="1" applyBorder="1"/>
    <xf numFmtId="167" fontId="2" fillId="0" borderId="28" xfId="0" applyNumberFormat="1" applyFont="1" applyBorder="1"/>
    <xf numFmtId="167" fontId="82" fillId="3" borderId="11" xfId="0" applyNumberFormat="1" applyFont="1" applyFill="1" applyBorder="1"/>
    <xf numFmtId="167" fontId="2" fillId="3" borderId="11" xfId="1" applyNumberFormat="1" applyFont="1" applyFill="1" applyBorder="1"/>
    <xf numFmtId="167" fontId="2" fillId="3" borderId="11" xfId="0" applyNumberFormat="1" applyFont="1" applyFill="1" applyBorder="1"/>
    <xf numFmtId="167" fontId="2" fillId="4" borderId="11" xfId="1" applyNumberFormat="1" applyFont="1" applyFill="1" applyBorder="1"/>
    <xf numFmtId="41" fontId="82" fillId="0" borderId="0" xfId="0" applyNumberFormat="1" applyFont="1"/>
    <xf numFmtId="14" fontId="2" fillId="0" borderId="0" xfId="0" applyNumberFormat="1" applyFont="1"/>
    <xf numFmtId="0" fontId="2" fillId="9" borderId="74" xfId="0" applyNumberFormat="1" applyFont="1" applyFill="1" applyBorder="1"/>
    <xf numFmtId="165" fontId="2" fillId="4" borderId="50" xfId="0" applyFont="1" applyFill="1" applyBorder="1"/>
    <xf numFmtId="0" fontId="2" fillId="12" borderId="74" xfId="0" applyNumberFormat="1" applyFont="1" applyFill="1" applyBorder="1"/>
    <xf numFmtId="41" fontId="2" fillId="4" borderId="75" xfId="0" applyNumberFormat="1" applyFont="1" applyFill="1" applyBorder="1"/>
    <xf numFmtId="165" fontId="2" fillId="4" borderId="53" xfId="0" applyFont="1" applyFill="1" applyBorder="1"/>
    <xf numFmtId="165" fontId="46" fillId="0" borderId="0" xfId="0" applyFont="1" applyAlignment="1">
      <alignment horizontal="left" vertical="center"/>
    </xf>
    <xf numFmtId="165" fontId="46" fillId="20" borderId="0" xfId="0" applyFont="1" applyFill="1"/>
    <xf numFmtId="165" fontId="43" fillId="0" borderId="0" xfId="0" applyFont="1" applyAlignment="1">
      <alignment horizontal="center"/>
    </xf>
    <xf numFmtId="10" fontId="43" fillId="0" borderId="41" xfId="1" applyNumberFormat="1" applyFont="1" applyBorder="1"/>
    <xf numFmtId="167" fontId="43" fillId="0" borderId="0" xfId="1" applyNumberFormat="1" applyFont="1"/>
    <xf numFmtId="43" fontId="9" fillId="4" borderId="0" xfId="1" applyFont="1" applyFill="1"/>
    <xf numFmtId="43" fontId="3" fillId="4" borderId="0" xfId="0" applyNumberFormat="1" applyFont="1" applyFill="1"/>
    <xf numFmtId="41" fontId="3" fillId="4" borderId="0" xfId="0" applyNumberFormat="1" applyFont="1" applyFill="1"/>
    <xf numFmtId="43" fontId="3" fillId="4" borderId="8" xfId="0" applyNumberFormat="1" applyFont="1" applyFill="1" applyBorder="1"/>
    <xf numFmtId="43" fontId="77" fillId="0" borderId="0" xfId="1" applyFont="1" applyFill="1"/>
    <xf numFmtId="9" fontId="3" fillId="4" borderId="11" xfId="3" applyFont="1" applyFill="1" applyBorder="1"/>
    <xf numFmtId="167" fontId="34" fillId="4" borderId="0" xfId="1" applyNumberFormat="1" applyFont="1" applyFill="1" applyBorder="1" applyAlignment="1" applyProtection="1"/>
    <xf numFmtId="165" fontId="34" fillId="4" borderId="0" xfId="0" applyFont="1" applyFill="1"/>
    <xf numFmtId="41" fontId="65" fillId="0" borderId="0" xfId="0" applyNumberFormat="1" applyFont="1"/>
    <xf numFmtId="10" fontId="41" fillId="0" borderId="0" xfId="3" applyNumberFormat="1" applyFont="1"/>
    <xf numFmtId="0" fontId="41" fillId="0" borderId="28" xfId="0" applyNumberFormat="1" applyFont="1" applyBorder="1"/>
    <xf numFmtId="165" fontId="3" fillId="20" borderId="0" xfId="0" applyFont="1" applyFill="1"/>
    <xf numFmtId="167" fontId="34" fillId="0" borderId="28" xfId="1" applyNumberFormat="1" applyFont="1" applyBorder="1"/>
    <xf numFmtId="0" fontId="24" fillId="4" borderId="0" xfId="0" applyNumberFormat="1" applyFont="1" applyFill="1"/>
    <xf numFmtId="0" fontId="24" fillId="4" borderId="0" xfId="1" applyNumberFormat="1" applyFont="1" applyFill="1"/>
    <xf numFmtId="165" fontId="24" fillId="20" borderId="0" xfId="0" applyFont="1" applyFill="1"/>
    <xf numFmtId="43" fontId="24" fillId="20" borderId="0" xfId="1" applyFont="1" applyFill="1"/>
    <xf numFmtId="167" fontId="3" fillId="4" borderId="0" xfId="1" applyNumberFormat="1" applyFont="1" applyFill="1"/>
    <xf numFmtId="164" fontId="34" fillId="4" borderId="11" xfId="0" applyNumberFormat="1" applyFont="1" applyFill="1" applyBorder="1"/>
    <xf numFmtId="164" fontId="34" fillId="4" borderId="8" xfId="0" applyNumberFormat="1" applyFont="1" applyFill="1" applyBorder="1"/>
    <xf numFmtId="164" fontId="34" fillId="4" borderId="19" xfId="0" applyNumberFormat="1" applyFont="1" applyFill="1" applyBorder="1"/>
    <xf numFmtId="41" fontId="0" fillId="19" borderId="0" xfId="0" applyNumberFormat="1" applyFill="1"/>
    <xf numFmtId="165" fontId="0" fillId="19" borderId="0" xfId="0" applyFill="1"/>
    <xf numFmtId="41" fontId="0" fillId="19" borderId="0" xfId="1" applyNumberFormat="1" applyFont="1" applyFill="1"/>
    <xf numFmtId="167" fontId="0" fillId="19" borderId="28" xfId="1" applyNumberFormat="1" applyFont="1" applyFill="1" applyBorder="1"/>
    <xf numFmtId="165" fontId="0" fillId="19" borderId="28" xfId="0" applyFill="1" applyBorder="1"/>
    <xf numFmtId="165" fontId="0" fillId="19" borderId="0" xfId="1" applyNumberFormat="1" applyFont="1" applyFill="1"/>
    <xf numFmtId="165" fontId="24" fillId="0" borderId="0" xfId="0" applyFont="1" applyAlignment="1">
      <alignment horizontal="left" vertical="center" wrapText="1"/>
    </xf>
    <xf numFmtId="165" fontId="70" fillId="0" borderId="0" xfId="0" applyFont="1" applyAlignment="1">
      <alignment horizontal="left" wrapText="1"/>
    </xf>
    <xf numFmtId="165" fontId="69" fillId="0" borderId="0" xfId="0" applyFont="1" applyAlignment="1">
      <alignment horizontal="center"/>
    </xf>
    <xf numFmtId="165" fontId="14" fillId="0" borderId="28" xfId="0" applyFont="1" applyBorder="1" applyAlignment="1">
      <alignment horizontal="center"/>
    </xf>
    <xf numFmtId="165" fontId="14" fillId="0" borderId="0" xfId="0" applyFont="1" applyAlignment="1">
      <alignment horizontal="center"/>
    </xf>
    <xf numFmtId="165" fontId="14" fillId="4" borderId="0" xfId="0" applyFont="1" applyFill="1" applyAlignment="1">
      <alignment horizontal="center"/>
    </xf>
    <xf numFmtId="165" fontId="47" fillId="0" borderId="0" xfId="0" applyFont="1" applyAlignment="1">
      <alignment horizontal="center" vertical="center"/>
    </xf>
    <xf numFmtId="165" fontId="67" fillId="0" borderId="0" xfId="0" applyFont="1" applyAlignment="1">
      <alignment horizontal="center" vertical="center"/>
    </xf>
    <xf numFmtId="43" fontId="34" fillId="18" borderId="10" xfId="1" applyFont="1" applyFill="1" applyBorder="1" applyAlignment="1" applyProtection="1">
      <alignment horizontal="left"/>
    </xf>
    <xf numFmtId="43" fontId="34" fillId="18" borderId="41" xfId="1" applyFont="1" applyFill="1" applyBorder="1" applyAlignment="1" applyProtection="1">
      <alignment horizontal="left"/>
    </xf>
    <xf numFmtId="43" fontId="34" fillId="18" borderId="24" xfId="1" applyFont="1" applyFill="1" applyBorder="1" applyAlignment="1" applyProtection="1">
      <alignment horizontal="left"/>
    </xf>
    <xf numFmtId="165" fontId="21" fillId="0" borderId="28" xfId="0" applyFont="1" applyBorder="1" applyAlignment="1">
      <alignment horizontal="center"/>
    </xf>
    <xf numFmtId="165" fontId="21" fillId="0" borderId="0" xfId="0" applyFont="1" applyAlignment="1">
      <alignment horizontal="center"/>
    </xf>
    <xf numFmtId="165" fontId="3" fillId="0" borderId="0" xfId="0" applyFont="1" applyAlignment="1">
      <alignment horizontal="center"/>
    </xf>
    <xf numFmtId="0" fontId="27" fillId="0" borderId="0" xfId="0" applyNumberFormat="1" applyFont="1" applyAlignment="1">
      <alignment horizontal="center"/>
    </xf>
    <xf numFmtId="0" fontId="60" fillId="0" borderId="0" xfId="0" applyNumberFormat="1" applyFont="1" applyAlignment="1">
      <alignment horizontal="center"/>
    </xf>
    <xf numFmtId="0" fontId="27" fillId="0" borderId="0" xfId="0" applyNumberFormat="1" applyFont="1" applyAlignment="1"/>
    <xf numFmtId="165" fontId="46" fillId="0" borderId="0" xfId="0" applyFont="1" applyFill="1"/>
    <xf numFmtId="41" fontId="46" fillId="0" borderId="0" xfId="0" applyNumberFormat="1" applyFont="1" applyFill="1"/>
    <xf numFmtId="41" fontId="46" fillId="0" borderId="0" xfId="0" applyNumberFormat="1" applyFont="1" applyFill="1" applyAlignment="1">
      <alignment horizontal="center"/>
    </xf>
    <xf numFmtId="41" fontId="47" fillId="0" borderId="0" xfId="0" applyNumberFormat="1" applyFont="1" applyFill="1"/>
    <xf numFmtId="41" fontId="47" fillId="0" borderId="29" xfId="1" applyNumberFormat="1" applyFont="1" applyFill="1" applyBorder="1"/>
  </cellXfs>
  <cellStyles count="6">
    <cellStyle name="Comma" xfId="1" builtinId="3"/>
    <cellStyle name="Comma 2" xfId="5" xr:uid="{00000000-0005-0000-0000-000001000000}"/>
    <cellStyle name="Hyperlink" xfId="2" builtinId="8"/>
    <cellStyle name="Normal" xfId="0" builtinId="0"/>
    <cellStyle name="Normal 2 2" xfId="4" xr:uid="{00000000-0005-0000-0000-000004000000}"/>
    <cellStyle name="Percent" xfId="3" builtinId="5"/>
  </cellStyles>
  <dxfs count="0"/>
  <tableStyles count="0" defaultTableStyle="TableStyleMedium9"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Charts'!$A$3:$A$9</c:f>
              <c:strCache>
                <c:ptCount val="7"/>
                <c:pt idx="0">
                  <c:v>Tax Levy</c:v>
                </c:pt>
                <c:pt idx="1">
                  <c:v>State Aid</c:v>
                </c:pt>
                <c:pt idx="2">
                  <c:v>Local Receipts</c:v>
                </c:pt>
                <c:pt idx="3">
                  <c:v>Sewer Fees</c:v>
                </c:pt>
                <c:pt idx="4">
                  <c:v>Airport Fees</c:v>
                </c:pt>
                <c:pt idx="6">
                  <c:v>Reserves &amp; Other</c:v>
                </c:pt>
              </c:strCache>
            </c:strRef>
          </c:cat>
          <c:val>
            <c:numRef>
              <c:f>'Pie Charts'!$B$3:$B$9</c:f>
              <c:numCache>
                <c:formatCode>_(* #,##0_);_(* \(#,##0\);_(* "-"_);_(@_)</c:formatCode>
                <c:ptCount val="7"/>
                <c:pt idx="0">
                  <c:v>22214448.579999998</c:v>
                </c:pt>
                <c:pt idx="1">
                  <c:v>2085265</c:v>
                </c:pt>
                <c:pt idx="2">
                  <c:v>1934538</c:v>
                </c:pt>
                <c:pt idx="3">
                  <c:v>2759825</c:v>
                </c:pt>
                <c:pt idx="4">
                  <c:v>286043</c:v>
                </c:pt>
                <c:pt idx="6">
                  <c:v>642564</c:v>
                </c:pt>
              </c:numCache>
            </c:numRef>
          </c:val>
          <c:extLst>
            <c:ext xmlns:c16="http://schemas.microsoft.com/office/drawing/2014/chart" uri="{C3380CC4-5D6E-409C-BE32-E72D297353CC}">
              <c16:uniqueId val="{00000000-81A2-429B-9F17-208A4A465131}"/>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410979877515315E-2"/>
                  <c:y val="-0.14079102260001586"/>
                </c:manualLayout>
              </c:layout>
              <c:tx>
                <c:rich>
                  <a:bodyPr/>
                  <a:lstStyle/>
                  <a:p>
                    <a:r>
                      <a:rPr lang="en-US"/>
                      <a:t>Tax Levy:  18,306,119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59E-433B-B2C5-06CEC48434BF}"/>
                </c:ext>
              </c:extLst>
            </c:dLbl>
            <c:dLbl>
              <c:idx val="1"/>
              <c:layout>
                <c:manualLayout>
                  <c:x val="-1.2994094488188977E-2"/>
                  <c:y val="2.9562769493946581E-2"/>
                </c:manualLayout>
              </c:layout>
              <c:tx>
                <c:rich>
                  <a:bodyPr/>
                  <a:lstStyle/>
                  <a:p>
                    <a:r>
                      <a:rPr lang="en-US"/>
                      <a:t>State Aid:  1,715,218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59E-433B-B2C5-06CEC48434BF}"/>
                </c:ext>
              </c:extLst>
            </c:dLbl>
            <c:dLbl>
              <c:idx val="2"/>
              <c:tx>
                <c:rich>
                  <a:bodyPr/>
                  <a:lstStyle/>
                  <a:p>
                    <a:r>
                      <a:rPr lang="en-US"/>
                      <a:t>Local Receipts:  1,636,076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59E-433B-B2C5-06CEC48434BF}"/>
                </c:ext>
              </c:extLst>
            </c:dLbl>
            <c:dLbl>
              <c:idx val="3"/>
              <c:layout>
                <c:manualLayout>
                  <c:x val="-8.0434164479440077E-3"/>
                  <c:y val="3.1859805832091495E-3"/>
                </c:manualLayout>
              </c:layout>
              <c:tx>
                <c:rich>
                  <a:bodyPr/>
                  <a:lstStyle/>
                  <a:p>
                    <a:r>
                      <a:rPr lang="en-US"/>
                      <a:t>Sewer Fees:  2,230,727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9E-433B-B2C5-06CEC48434BF}"/>
                </c:ext>
              </c:extLst>
            </c:dLbl>
            <c:dLbl>
              <c:idx val="4"/>
              <c:tx>
                <c:rich>
                  <a:bodyPr/>
                  <a:lstStyle/>
                  <a:p>
                    <a:r>
                      <a:rPr lang="en-US"/>
                      <a:t>Airport Fees:  46,984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9E-433B-B2C5-06CEC48434BF}"/>
                </c:ext>
              </c:extLst>
            </c:dLbl>
            <c:dLbl>
              <c:idx val="5"/>
              <c:tx>
                <c:rich>
                  <a:bodyPr/>
                  <a:lstStyle/>
                  <a:p>
                    <a:r>
                      <a:rPr lang="en-US"/>
                      <a:t>Reserves &amp; Other: 565,444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9E-433B-B2C5-06CEC48434BF}"/>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Charts'!$A$3:$A$9</c:f>
              <c:strCache>
                <c:ptCount val="7"/>
                <c:pt idx="0">
                  <c:v>Tax Levy</c:v>
                </c:pt>
                <c:pt idx="1">
                  <c:v>State Aid</c:v>
                </c:pt>
                <c:pt idx="2">
                  <c:v>Local Receipts</c:v>
                </c:pt>
                <c:pt idx="3">
                  <c:v>Sewer Fees</c:v>
                </c:pt>
                <c:pt idx="4">
                  <c:v>Airport Fees</c:v>
                </c:pt>
                <c:pt idx="6">
                  <c:v>Reserves &amp; Other</c:v>
                </c:pt>
              </c:strCache>
            </c:strRef>
          </c:cat>
          <c:val>
            <c:numRef>
              <c:f>'Pie Charts'!$B$3:$B$9</c:f>
              <c:numCache>
                <c:formatCode>_(* #,##0_);_(* \(#,##0\);_(* "-"_);_(@_)</c:formatCode>
                <c:ptCount val="7"/>
                <c:pt idx="0">
                  <c:v>22214448.579999998</c:v>
                </c:pt>
                <c:pt idx="1">
                  <c:v>2085265</c:v>
                </c:pt>
                <c:pt idx="2">
                  <c:v>1934538</c:v>
                </c:pt>
                <c:pt idx="3">
                  <c:v>2759825</c:v>
                </c:pt>
                <c:pt idx="4">
                  <c:v>286043</c:v>
                </c:pt>
                <c:pt idx="6">
                  <c:v>642564</c:v>
                </c:pt>
              </c:numCache>
            </c:numRef>
          </c:val>
          <c:extLst>
            <c:ext xmlns:c16="http://schemas.microsoft.com/office/drawing/2014/chart" uri="{C3380CC4-5D6E-409C-BE32-E72D297353CC}">
              <c16:uniqueId val="{00000006-A59E-433B-B2C5-06CEC48434BF}"/>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Charts'!$A$52:$A$60</c:f>
              <c:strCache>
                <c:ptCount val="9"/>
                <c:pt idx="0">
                  <c:v>General Gov</c:v>
                </c:pt>
                <c:pt idx="1">
                  <c:v>Public Safety</c:v>
                </c:pt>
                <c:pt idx="2">
                  <c:v>Public Works</c:v>
                </c:pt>
                <c:pt idx="3">
                  <c:v>Human Services</c:v>
                </c:pt>
                <c:pt idx="4">
                  <c:v>Culture/Rec</c:v>
                </c:pt>
                <c:pt idx="5">
                  <c:v>Debt</c:v>
                </c:pt>
                <c:pt idx="6">
                  <c:v>Intergovt</c:v>
                </c:pt>
                <c:pt idx="7">
                  <c:v>Benefits</c:v>
                </c:pt>
                <c:pt idx="8">
                  <c:v>Miscellaneous</c:v>
                </c:pt>
              </c:strCache>
            </c:strRef>
          </c:cat>
          <c:val>
            <c:numRef>
              <c:f>'Pie Charts'!$B$52:$B$60</c:f>
              <c:numCache>
                <c:formatCode>_(* #,##0_);_(* \(#,##0\);_(* "-"_);_(@_)</c:formatCode>
                <c:ptCount val="9"/>
                <c:pt idx="0">
                  <c:v>1663222</c:v>
                </c:pt>
                <c:pt idx="1">
                  <c:v>2763598</c:v>
                </c:pt>
                <c:pt idx="2">
                  <c:v>2940162</c:v>
                </c:pt>
                <c:pt idx="3">
                  <c:v>305173</c:v>
                </c:pt>
                <c:pt idx="4">
                  <c:v>685159</c:v>
                </c:pt>
                <c:pt idx="5">
                  <c:v>1158857</c:v>
                </c:pt>
                <c:pt idx="6">
                  <c:v>116874</c:v>
                </c:pt>
                <c:pt idx="7">
                  <c:v>2657083</c:v>
                </c:pt>
                <c:pt idx="8">
                  <c:v>119600</c:v>
                </c:pt>
              </c:numCache>
            </c:numRef>
          </c:val>
          <c:extLst>
            <c:ext xmlns:c16="http://schemas.microsoft.com/office/drawing/2014/chart" uri="{C3380CC4-5D6E-409C-BE32-E72D297353CC}">
              <c16:uniqueId val="{00000000-CAC7-4E26-AB90-7698D7C05E39}"/>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Charts'!$A$25:$A$30</c:f>
              <c:strCache>
                <c:ptCount val="6"/>
                <c:pt idx="0">
                  <c:v>Town</c:v>
                </c:pt>
                <c:pt idx="1">
                  <c:v>WPCF</c:v>
                </c:pt>
                <c:pt idx="2">
                  <c:v>Airport</c:v>
                </c:pt>
                <c:pt idx="3">
                  <c:v>Special Articles</c:v>
                </c:pt>
                <c:pt idx="4">
                  <c:v>GMRSD</c:v>
                </c:pt>
                <c:pt idx="5">
                  <c:v>FCTS</c:v>
                </c:pt>
              </c:strCache>
            </c:strRef>
          </c:cat>
          <c:val>
            <c:numRef>
              <c:f>'Pie Charts'!$B$25:$B$30</c:f>
              <c:numCache>
                <c:formatCode>_(* #,##0_);_(* \(#,##0\);_(* "-"_);_(@_)</c:formatCode>
                <c:ptCount val="6"/>
                <c:pt idx="0">
                  <c:v>12409728</c:v>
                </c:pt>
                <c:pt idx="1">
                  <c:v>3119324</c:v>
                </c:pt>
                <c:pt idx="2">
                  <c:v>419677</c:v>
                </c:pt>
                <c:pt idx="3">
                  <c:v>2069646</c:v>
                </c:pt>
                <c:pt idx="4">
                  <c:v>12143442</c:v>
                </c:pt>
                <c:pt idx="5">
                  <c:v>837356</c:v>
                </c:pt>
              </c:numCache>
            </c:numRef>
          </c:val>
          <c:extLst>
            <c:ext xmlns:c16="http://schemas.microsoft.com/office/drawing/2014/chart" uri="{C3380CC4-5D6E-409C-BE32-E72D297353CC}">
              <c16:uniqueId val="{00000000-A1F2-48FD-829E-E9B3FA867F3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219075</xdr:colOff>
      <xdr:row>3</xdr:row>
      <xdr:rowOff>152400</xdr:rowOff>
    </xdr:from>
    <xdr:to>
      <xdr:col>10</xdr:col>
      <xdr:colOff>523875</xdr:colOff>
      <xdr:row>21</xdr:row>
      <xdr:rowOff>142875</xdr:rowOff>
    </xdr:to>
    <xdr:graphicFrame macro="">
      <xdr:nvGraphicFramePr>
        <xdr:cNvPr id="4" name="Chart 3">
          <a:extLst>
            <a:ext uri="{FF2B5EF4-FFF2-40B4-BE49-F238E27FC236}">
              <a16:creationId xmlns:a16="http://schemas.microsoft.com/office/drawing/2014/main" id="{00000000-0008-0000-4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323849</xdr:colOff>
      <xdr:row>1</xdr:row>
      <xdr:rowOff>57150</xdr:rowOff>
    </xdr:from>
    <xdr:to>
      <xdr:col>19</xdr:col>
      <xdr:colOff>369568</xdr:colOff>
      <xdr:row>1</xdr:row>
      <xdr:rowOff>114301</xdr:rowOff>
    </xdr:to>
    <xdr:graphicFrame macro="">
      <xdr:nvGraphicFramePr>
        <xdr:cNvPr id="9" name="Chart 8">
          <a:extLst>
            <a:ext uri="{FF2B5EF4-FFF2-40B4-BE49-F238E27FC236}">
              <a16:creationId xmlns:a16="http://schemas.microsoft.com/office/drawing/2014/main" id="{00000000-0008-0000-4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257175</xdr:colOff>
      <xdr:row>49</xdr:row>
      <xdr:rowOff>85725</xdr:rowOff>
    </xdr:from>
    <xdr:to>
      <xdr:col>10</xdr:col>
      <xdr:colOff>9525</xdr:colOff>
      <xdr:row>75</xdr:row>
      <xdr:rowOff>28575</xdr:rowOff>
    </xdr:to>
    <xdr:graphicFrame macro="">
      <xdr:nvGraphicFramePr>
        <xdr:cNvPr id="3" name="Chart 2">
          <a:extLst>
            <a:ext uri="{FF2B5EF4-FFF2-40B4-BE49-F238E27FC236}">
              <a16:creationId xmlns:a16="http://schemas.microsoft.com/office/drawing/2014/main" id="{00000000-0008-0000-4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314325</xdr:colOff>
      <xdr:row>23</xdr:row>
      <xdr:rowOff>142875</xdr:rowOff>
    </xdr:from>
    <xdr:to>
      <xdr:col>10</xdr:col>
      <xdr:colOff>66675</xdr:colOff>
      <xdr:row>45</xdr:row>
      <xdr:rowOff>47625</xdr:rowOff>
    </xdr:to>
    <xdr:graphicFrame macro="">
      <xdr:nvGraphicFramePr>
        <xdr:cNvPr id="7" name="Chart 6">
          <a:extLst>
            <a:ext uri="{FF2B5EF4-FFF2-40B4-BE49-F238E27FC236}">
              <a16:creationId xmlns:a16="http://schemas.microsoft.com/office/drawing/2014/main" id="{00000000-0008-0000-4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1"/>
  <sheetViews>
    <sheetView workbookViewId="0"/>
  </sheetViews>
  <sheetFormatPr defaultRowHeight="13.2" x14ac:dyDescent="0.25"/>
  <cols>
    <col min="1" max="1" width="40.33203125" customWidth="1"/>
    <col min="2" max="2" width="24" customWidth="1"/>
    <col min="3" max="3" width="30.33203125" customWidth="1"/>
  </cols>
  <sheetData>
    <row r="1" spans="1:3" ht="18" x14ac:dyDescent="0.35">
      <c r="A1" s="227" t="s">
        <v>0</v>
      </c>
    </row>
    <row r="2" spans="1:3" ht="18" x14ac:dyDescent="0.35">
      <c r="A2" s="227" t="s">
        <v>1</v>
      </c>
      <c r="B2" s="227" t="s">
        <v>2</v>
      </c>
      <c r="C2" s="227" t="s">
        <v>3</v>
      </c>
    </row>
    <row r="3" spans="1:3" x14ac:dyDescent="0.25">
      <c r="A3" s="290" t="s">
        <v>4</v>
      </c>
      <c r="B3" s="290" t="s">
        <v>5</v>
      </c>
      <c r="C3" s="290" t="s">
        <v>6</v>
      </c>
    </row>
    <row r="4" spans="1:3" x14ac:dyDescent="0.25">
      <c r="A4" s="290" t="s">
        <v>7</v>
      </c>
      <c r="B4" s="290" t="s">
        <v>8</v>
      </c>
      <c r="C4" s="290" t="s">
        <v>9</v>
      </c>
    </row>
    <row r="5" spans="1:3" x14ac:dyDescent="0.25">
      <c r="A5" s="290" t="s">
        <v>10</v>
      </c>
      <c r="C5" s="290" t="s">
        <v>11</v>
      </c>
    </row>
    <row r="6" spans="1:3" x14ac:dyDescent="0.25">
      <c r="A6" s="290" t="s">
        <v>12</v>
      </c>
      <c r="C6" s="290" t="s">
        <v>13</v>
      </c>
    </row>
    <row r="7" spans="1:3" x14ac:dyDescent="0.25">
      <c r="C7" s="290" t="s">
        <v>14</v>
      </c>
    </row>
    <row r="8" spans="1:3" ht="18" x14ac:dyDescent="0.35">
      <c r="A8" s="227" t="s">
        <v>15</v>
      </c>
      <c r="C8" s="290" t="s">
        <v>16</v>
      </c>
    </row>
    <row r="9" spans="1:3" x14ac:dyDescent="0.25">
      <c r="A9" s="290" t="s">
        <v>17</v>
      </c>
      <c r="C9" s="290" t="s">
        <v>18</v>
      </c>
    </row>
    <row r="10" spans="1:3" x14ac:dyDescent="0.25">
      <c r="A10" s="290" t="s">
        <v>19</v>
      </c>
      <c r="C10" s="290" t="s">
        <v>20</v>
      </c>
    </row>
    <row r="11" spans="1:3" x14ac:dyDescent="0.25">
      <c r="A11" s="290" t="s">
        <v>21</v>
      </c>
      <c r="C11" s="290" t="s">
        <v>22</v>
      </c>
    </row>
    <row r="12" spans="1:3" x14ac:dyDescent="0.25">
      <c r="A12" s="290" t="s">
        <v>23</v>
      </c>
      <c r="C12" s="290" t="s">
        <v>24</v>
      </c>
    </row>
    <row r="13" spans="1:3" x14ac:dyDescent="0.25">
      <c r="A13" s="290" t="s">
        <v>25</v>
      </c>
      <c r="C13" s="290" t="s">
        <v>26</v>
      </c>
    </row>
    <row r="14" spans="1:3" x14ac:dyDescent="0.25">
      <c r="A14" s="290" t="s">
        <v>27</v>
      </c>
      <c r="C14" s="290" t="s">
        <v>28</v>
      </c>
    </row>
    <row r="15" spans="1:3" x14ac:dyDescent="0.25">
      <c r="A15" s="290" t="s">
        <v>29</v>
      </c>
      <c r="C15" s="290" t="s">
        <v>30</v>
      </c>
    </row>
    <row r="16" spans="1:3" x14ac:dyDescent="0.25">
      <c r="A16" s="290" t="s">
        <v>31</v>
      </c>
      <c r="C16" s="290" t="s">
        <v>32</v>
      </c>
    </row>
    <row r="17" spans="1:3" x14ac:dyDescent="0.25">
      <c r="A17" s="290" t="s">
        <v>33</v>
      </c>
      <c r="C17" s="290" t="s">
        <v>34</v>
      </c>
    </row>
    <row r="18" spans="1:3" x14ac:dyDescent="0.25">
      <c r="C18" s="290" t="s">
        <v>35</v>
      </c>
    </row>
    <row r="19" spans="1:3" ht="18" x14ac:dyDescent="0.35">
      <c r="A19" s="227" t="s">
        <v>36</v>
      </c>
      <c r="C19" s="290" t="s">
        <v>37</v>
      </c>
    </row>
    <row r="20" spans="1:3" x14ac:dyDescent="0.25">
      <c r="C20" s="290" t="s">
        <v>38</v>
      </c>
    </row>
    <row r="21" spans="1:3" x14ac:dyDescent="0.25">
      <c r="A21" s="290" t="s">
        <v>39</v>
      </c>
      <c r="C21" s="290" t="s">
        <v>40</v>
      </c>
    </row>
    <row r="22" spans="1:3" x14ac:dyDescent="0.25">
      <c r="A22" s="290" t="s">
        <v>41</v>
      </c>
      <c r="C22" s="290" t="s">
        <v>42</v>
      </c>
    </row>
    <row r="23" spans="1:3" x14ac:dyDescent="0.25">
      <c r="A23" s="290" t="s">
        <v>43</v>
      </c>
      <c r="C23" s="290" t="s">
        <v>44</v>
      </c>
    </row>
    <row r="24" spans="1:3" x14ac:dyDescent="0.25">
      <c r="A24" s="290" t="s">
        <v>45</v>
      </c>
      <c r="C24" s="290" t="s">
        <v>46</v>
      </c>
    </row>
    <row r="25" spans="1:3" x14ac:dyDescent="0.25">
      <c r="A25" s="290" t="s">
        <v>47</v>
      </c>
      <c r="C25" s="290" t="s">
        <v>48</v>
      </c>
    </row>
    <row r="26" spans="1:3" x14ac:dyDescent="0.25">
      <c r="C26" s="290" t="s">
        <v>49</v>
      </c>
    </row>
    <row r="27" spans="1:3" x14ac:dyDescent="0.25">
      <c r="C27" s="290" t="s">
        <v>50</v>
      </c>
    </row>
    <row r="28" spans="1:3" x14ac:dyDescent="0.25">
      <c r="C28" s="290" t="s">
        <v>51</v>
      </c>
    </row>
    <row r="29" spans="1:3" x14ac:dyDescent="0.25">
      <c r="C29" s="290" t="s">
        <v>52</v>
      </c>
    </row>
    <row r="30" spans="1:3" x14ac:dyDescent="0.25">
      <c r="C30" s="290" t="s">
        <v>53</v>
      </c>
    </row>
    <row r="31" spans="1:3" x14ac:dyDescent="0.25">
      <c r="C31" s="290" t="s">
        <v>54</v>
      </c>
    </row>
    <row r="32" spans="1:3" x14ac:dyDescent="0.25">
      <c r="C32" s="290" t="s">
        <v>55</v>
      </c>
    </row>
    <row r="33" spans="3:3" x14ac:dyDescent="0.25">
      <c r="C33" s="290" t="s">
        <v>56</v>
      </c>
    </row>
    <row r="34" spans="3:3" x14ac:dyDescent="0.25">
      <c r="C34" s="290" t="s">
        <v>57</v>
      </c>
    </row>
    <row r="35" spans="3:3" x14ac:dyDescent="0.25">
      <c r="C35" s="290" t="s">
        <v>58</v>
      </c>
    </row>
    <row r="36" spans="3:3" x14ac:dyDescent="0.25">
      <c r="C36" s="290" t="s">
        <v>59</v>
      </c>
    </row>
    <row r="37" spans="3:3" x14ac:dyDescent="0.25">
      <c r="C37" s="290" t="s">
        <v>60</v>
      </c>
    </row>
    <row r="38" spans="3:3" x14ac:dyDescent="0.25">
      <c r="C38" s="290" t="s">
        <v>61</v>
      </c>
    </row>
    <row r="39" spans="3:3" x14ac:dyDescent="0.25">
      <c r="C39" s="290" t="s">
        <v>62</v>
      </c>
    </row>
    <row r="40" spans="3:3" x14ac:dyDescent="0.25">
      <c r="C40" s="290" t="s">
        <v>63</v>
      </c>
    </row>
    <row r="41" spans="3:3" x14ac:dyDescent="0.25">
      <c r="C41" s="290" t="s">
        <v>64</v>
      </c>
    </row>
    <row r="42" spans="3:3" x14ac:dyDescent="0.25">
      <c r="C42" s="290" t="s">
        <v>65</v>
      </c>
    </row>
    <row r="43" spans="3:3" x14ac:dyDescent="0.25">
      <c r="C43" s="290" t="s">
        <v>66</v>
      </c>
    </row>
    <row r="44" spans="3:3" x14ac:dyDescent="0.25">
      <c r="C44" s="290" t="s">
        <v>67</v>
      </c>
    </row>
    <row r="45" spans="3:3" x14ac:dyDescent="0.25">
      <c r="C45" s="290" t="s">
        <v>68</v>
      </c>
    </row>
    <row r="46" spans="3:3" x14ac:dyDescent="0.25">
      <c r="C46" s="290" t="s">
        <v>69</v>
      </c>
    </row>
    <row r="47" spans="3:3" x14ac:dyDescent="0.25">
      <c r="C47" s="290" t="s">
        <v>70</v>
      </c>
    </row>
    <row r="48" spans="3:3" x14ac:dyDescent="0.25">
      <c r="C48" s="290" t="s">
        <v>71</v>
      </c>
    </row>
    <row r="49" spans="3:3" x14ac:dyDescent="0.25">
      <c r="C49" s="290" t="s">
        <v>72</v>
      </c>
    </row>
    <row r="50" spans="3:3" x14ac:dyDescent="0.25">
      <c r="C50" s="290" t="s">
        <v>73</v>
      </c>
    </row>
    <row r="51" spans="3:3" x14ac:dyDescent="0.25">
      <c r="C51" s="290" t="s">
        <v>74</v>
      </c>
    </row>
  </sheetData>
  <hyperlinks>
    <hyperlink ref="A3" location="'To Do and Changes'!A1" display="To Do and Changes" xr:uid="{00000000-0004-0000-0000-000000000000}"/>
    <hyperlink ref="B3" location="'WPCF Revenue Detail'!A1" display="WPCF Revenue Detail" xr:uid="{00000000-0004-0000-0000-000001000000}"/>
    <hyperlink ref="B4" location="'Revenue Projections Detail'!A1" display="Revenue Projections" xr:uid="{00000000-0004-0000-0000-000002000000}"/>
    <hyperlink ref="A4" location="'Allocation Summary'!A1" display="GMRSD Allocation Summary" xr:uid="{00000000-0004-0000-0000-000003000000}"/>
    <hyperlink ref="A5" location="'Financial Policy Numbers'!A1" display="Financial Policy Numbers" xr:uid="{00000000-0004-0000-0000-000004000000}"/>
    <hyperlink ref="A6" location="'Working Budget with funding det'!A1" display="Working Budget with Funding Detail" xr:uid="{00000000-0004-0000-0000-000005000000}"/>
    <hyperlink ref="C3" location="'113 Town Mtg'!A1" display="113 Town Meeting" xr:uid="{00000000-0004-0000-0000-000006000000}"/>
    <hyperlink ref="C4" location="'122 Selectboard'!Print_Area" display="122 Selectboard" xr:uid="{00000000-0004-0000-0000-000007000000}"/>
    <hyperlink ref="C5" location="'131 Fin Comm'!Print_Area" display="131 Finance Committee" xr:uid="{00000000-0004-0000-0000-000008000000}"/>
    <hyperlink ref="C6" location="'132 Reserve Fund'!A1" display="132 Reserve Fund" xr:uid="{00000000-0004-0000-0000-000009000000}"/>
    <hyperlink ref="C7" location="'135 Acct'!A1" display="135 Town Accountant" xr:uid="{00000000-0004-0000-0000-00000A000000}"/>
    <hyperlink ref="C8" location="'141 BOA'!A1" display="141 Board of Assessors" xr:uid="{00000000-0004-0000-0000-00000B000000}"/>
    <hyperlink ref="C9" location="'145 Treas'!A1" display="145 Treasurer/Tax Collector" xr:uid="{00000000-0004-0000-0000-00000C000000}"/>
    <hyperlink ref="C10" location="'151 Counsel'!A1" display="151 Legal" xr:uid="{00000000-0004-0000-0000-00000D000000}"/>
    <hyperlink ref="C11" location="'155 IT'!A1" display="155 Information Technology" xr:uid="{00000000-0004-0000-0000-00000E000000}"/>
    <hyperlink ref="C12" location="'159 Shared Costs'!A1" display="159 Shared Costs" xr:uid="{00000000-0004-0000-0000-00000F000000}"/>
    <hyperlink ref="C13" location="'161 Clerk'!A1" display="161 Town Clerk" xr:uid="{00000000-0004-0000-0000-000010000000}"/>
    <hyperlink ref="C14" location="'175 Planning'!A1" display="175 Planning" xr:uid="{00000000-0004-0000-0000-000011000000}"/>
    <hyperlink ref="C15" location="'176 ZBA'!A1" display="176 Zoning Board of Appeals" xr:uid="{00000000-0004-0000-0000-000012000000}"/>
    <hyperlink ref="C16" location="'182 MEDIC'!A1" display="182 MEDIC" xr:uid="{00000000-0004-0000-0000-000013000000}"/>
    <hyperlink ref="C17" location="'190 Publ Bldg Utilities'!A1" display="190 Public Buildings Utilities" xr:uid="{00000000-0004-0000-0000-000014000000}"/>
    <hyperlink ref="C18" location="'211 Police'!A1" display="211 Police" xr:uid="{00000000-0004-0000-0000-000015000000}"/>
    <hyperlink ref="C19" location="'212 Dispatch'!A1" display="212 Dispatch" xr:uid="{00000000-0004-0000-0000-000016000000}"/>
    <hyperlink ref="C20" location="'241 Bldg'!A1" display="241 Building Inspector" xr:uid="{00000000-0004-0000-0000-000017000000}"/>
    <hyperlink ref="C21" location="'244 Sealer'!A1" display="244 Sealer of Weights" xr:uid="{00000000-0004-0000-0000-000018000000}"/>
    <hyperlink ref="C22" location="'291 Emergency'!A1" display="291 Emergency Management" xr:uid="{00000000-0004-0000-0000-000019000000}"/>
    <hyperlink ref="C23" location="'292 Animal'!A1" display="292 Animal Control" xr:uid="{00000000-0004-0000-0000-00001A000000}"/>
    <hyperlink ref="C24" location="'294 Forest Warden'!A1" display="294 Forest Warden" xr:uid="{00000000-0004-0000-0000-00001B000000}"/>
    <hyperlink ref="C25" location="'299 Tree Warden'!A1" display="299 Tree Warden" xr:uid="{00000000-0004-0000-0000-00001C000000}"/>
    <hyperlink ref="C26" location="'300 Schools'!A1" display="300 Education" xr:uid="{00000000-0004-0000-0000-00001D000000}"/>
    <hyperlink ref="C27" location="'420 DPW'!A1" display="420 DPW-Consolidated" xr:uid="{00000000-0004-0000-0000-00001E000000}"/>
    <hyperlink ref="C28" location="'192 Public Bldgs'!A1" display="192 DPW-Public Buildings" xr:uid="{00000000-0004-0000-0000-00001F000000}"/>
    <hyperlink ref="C29" location="'422 Maintenance'!A1" display="422 DPW-Streets/Maintenance" xr:uid="{00000000-0004-0000-0000-000020000000}"/>
    <hyperlink ref="C30" location="'652 Parks'!A1" display="652 DPW-Parks" xr:uid="{00000000-0004-0000-0000-000021000000}"/>
    <hyperlink ref="C31" location="'423 Snow'!A1" display="423 Snow &amp; Ice" xr:uid="{00000000-0004-0000-0000-000022000000}"/>
    <hyperlink ref="C32" location="'433 Solid Waste'!A1" display="433 Solid Waste" xr:uid="{00000000-0004-0000-0000-000023000000}"/>
    <hyperlink ref="C34" location="'491 Cemetery'!A1" display="491 Cemeteries" xr:uid="{00000000-0004-0000-0000-000024000000}"/>
    <hyperlink ref="C35" location="'511 BOH'!A1" display="511 Board of Health" xr:uid="{00000000-0004-0000-0000-000025000000}"/>
    <hyperlink ref="C36" location="'541 COA'!A1" display="541 Council on Aging" xr:uid="{00000000-0004-0000-0000-000026000000}"/>
    <hyperlink ref="C37" location="'543 Vets'!A1" display="543 Veterans Benefits" xr:uid="{00000000-0004-0000-0000-000027000000}"/>
    <hyperlink ref="C38" location="'610 Library'!A1" display="610 Libraries" xr:uid="{00000000-0004-0000-0000-000028000000}"/>
    <hyperlink ref="C39" location="'630 Recreation'!A1" display="630 Parks &amp; Recreation" xr:uid="{00000000-0004-0000-0000-000029000000}"/>
    <hyperlink ref="C40" location="'691 Historical Comm'!A1" display="691 Historical Commission" xr:uid="{00000000-0004-0000-0000-00002A000000}"/>
    <hyperlink ref="C41" location="'693 Memorials'!A1" display="693 Soldiers Memorials" xr:uid="{00000000-0004-0000-0000-00002B000000}"/>
    <hyperlink ref="C42" location="'700 Debt '!A1" display="700 Town Debt" xr:uid="{00000000-0004-0000-0000-00002C000000}"/>
    <hyperlink ref="C43" location="'840 Intergovt'!A1" display="840 Intergovernmental" xr:uid="{00000000-0004-0000-0000-00002D000000}"/>
    <hyperlink ref="C44" location="'910 Benefits'!A1" display="910 Town Benefits" xr:uid="{00000000-0004-0000-0000-00002E000000}"/>
    <hyperlink ref="C45" location="'946 Insurance'!A1" display="946 General Insurance" xr:uid="{00000000-0004-0000-0000-00002F000000}"/>
    <hyperlink ref="C46" location="'Colle 228 183'!A1" display="228 Colle" xr:uid="{00000000-0004-0000-0000-000030000000}"/>
    <hyperlink ref="C47" location="'600 482 Airport'!A1" display="600-482 Airport" xr:uid="{00000000-0004-0000-0000-000031000000}"/>
    <hyperlink ref="C48" location="'661 440 WPCF'!A1" display="661-440 WPCF Main Budget" xr:uid="{00000000-0004-0000-0000-000032000000}"/>
    <hyperlink ref="C49" location="'661 449 Hwy'!A1" display="661-449 WPCF DPW Subsidiary" xr:uid="{00000000-0004-0000-0000-000033000000}"/>
    <hyperlink ref="C50" location="'661 700 Debt'!A1" display="661-700 WPCF Debt" xr:uid="{00000000-0004-0000-0000-000034000000}"/>
    <hyperlink ref="C51" location="'661 910 Benefits'!A1" display="661-910 WPCF Benefits" xr:uid="{00000000-0004-0000-0000-000035000000}"/>
    <hyperlink ref="A9" location="'WPCF Overhead'!A1" display="WPCF Overhead" xr:uid="{00000000-0004-0000-0000-000036000000}"/>
    <hyperlink ref="A10" location="'Debt Exclusion Calc.'!A1" display="Debt Exclusion Caluclation" xr:uid="{00000000-0004-0000-0000-000037000000}"/>
    <hyperlink ref="A11" location="'Police Wages'!A1" display="Police Wages" xr:uid="{00000000-0004-0000-0000-000038000000}"/>
    <hyperlink ref="A12" location="'UE Wages'!A1" display="DPW/Sewer Wages" xr:uid="{00000000-0004-0000-0000-000039000000}"/>
    <hyperlink ref="A13" location="'NAGE &amp; Non-Union Wages'!A1" display="NAGE &amp; Non-Union Wages" xr:uid="{00000000-0004-0000-0000-00003A000000}"/>
    <hyperlink ref="A14" location="Longevity!A1" display="Longevity" xr:uid="{00000000-0004-0000-0000-00003B000000}"/>
    <hyperlink ref="A15" location="'Split Debt Service'!A1" display="Split Dept Service" xr:uid="{00000000-0004-0000-0000-00003C000000}"/>
    <hyperlink ref="A16" location="'Combined Debt Schedule'!A1" display="Combined Debt Schedule" xr:uid="{00000000-0004-0000-0000-00003D000000}"/>
    <hyperlink ref="A17" location="'Kearsarge Lease'!A1" display="Kearsarge Lease" xr:uid="{00000000-0004-0000-0000-00003E000000}"/>
    <hyperlink ref="A21" location="'Town Meeting Wages By Position'!A1" display="Wages by Position" xr:uid="{00000000-0004-0000-0000-00003F000000}"/>
    <hyperlink ref="A22" location="'Report to Town Meeting '!A1" display="Report to Town Meeting" xr:uid="{00000000-0004-0000-0000-000040000000}"/>
    <hyperlink ref="A23" location="'Wage and Benefits'!A1" display="Wages and Benefits" xr:uid="{00000000-0004-0000-0000-000041000000}"/>
    <hyperlink ref="A24" location="'Charts for Report'!A1" display="Charts for Report" xr:uid="{00000000-0004-0000-0000-000042000000}"/>
    <hyperlink ref="A25" location="'Revenue Allocation Chart'!A1" display="Revenue Allocation Chart" xr:uid="{00000000-0004-0000-0000-000043000000}"/>
    <hyperlink ref="C33" location="'480 Charging Stations'!A1" display="480 Charging Stations" xr:uid="{00000000-0004-0000-0000-000044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K38"/>
  <sheetViews>
    <sheetView topLeftCell="A15" zoomScale="110" zoomScaleNormal="110" workbookViewId="0">
      <selection activeCell="D34" sqref="D34"/>
    </sheetView>
  </sheetViews>
  <sheetFormatPr defaultRowHeight="13.2" x14ac:dyDescent="0.25"/>
  <cols>
    <col min="1" max="1" width="54" customWidth="1"/>
    <col min="2" max="3" width="12" style="2" customWidth="1"/>
    <col min="4" max="4" width="13.33203125" customWidth="1"/>
    <col min="5" max="5" width="13.77734375" customWidth="1"/>
    <col min="6" max="6" width="22" customWidth="1"/>
    <col min="7" max="7" width="13.109375" customWidth="1"/>
    <col min="8" max="8" width="11.77734375" customWidth="1"/>
    <col min="9" max="9" width="12.44140625" customWidth="1"/>
    <col min="10" max="10" width="11.33203125" customWidth="1"/>
    <col min="11" max="11" width="31.33203125" customWidth="1"/>
  </cols>
  <sheetData>
    <row r="1" spans="1:11" x14ac:dyDescent="0.25">
      <c r="A1" s="290" t="s">
        <v>194</v>
      </c>
    </row>
    <row r="2" spans="1:11" ht="18" x14ac:dyDescent="0.35">
      <c r="A2" s="1351" t="s">
        <v>357</v>
      </c>
      <c r="B2" s="1351"/>
      <c r="C2" s="1351"/>
      <c r="D2" s="1351"/>
      <c r="E2" s="1351"/>
    </row>
    <row r="3" spans="1:11" ht="18" x14ac:dyDescent="0.35">
      <c r="A3" s="1351" t="s">
        <v>358</v>
      </c>
      <c r="B3" s="1351"/>
      <c r="C3" s="1351"/>
      <c r="D3" s="1351"/>
      <c r="E3" s="1351"/>
    </row>
    <row r="4" spans="1:11" ht="18" x14ac:dyDescent="0.35">
      <c r="A4" s="1351" t="s">
        <v>359</v>
      </c>
      <c r="B4" s="1351"/>
      <c r="C4" s="1351"/>
      <c r="D4" s="1351"/>
      <c r="E4" s="1351"/>
    </row>
    <row r="5" spans="1:11" ht="18" x14ac:dyDescent="0.35">
      <c r="A5" s="1351" t="s">
        <v>360</v>
      </c>
      <c r="B5" s="1351"/>
      <c r="C5" s="1351"/>
      <c r="D5" s="1351"/>
      <c r="E5" s="1351"/>
    </row>
    <row r="6" spans="1:11" ht="18" x14ac:dyDescent="0.35">
      <c r="A6" s="1351" t="s">
        <v>2047</v>
      </c>
      <c r="B6" s="1351"/>
      <c r="C6" s="1351"/>
      <c r="D6" s="1351"/>
      <c r="E6" s="1351"/>
    </row>
    <row r="7" spans="1:11" ht="18" x14ac:dyDescent="0.35">
      <c r="A7" s="1351" t="s">
        <v>2048</v>
      </c>
      <c r="B7" s="1351"/>
      <c r="C7" s="1351"/>
      <c r="D7" s="1351"/>
      <c r="E7" s="1351"/>
    </row>
    <row r="8" spans="1:11" ht="40.799999999999997" x14ac:dyDescent="0.35">
      <c r="A8" s="227"/>
      <c r="B8" s="587" t="s">
        <v>361</v>
      </c>
    </row>
    <row r="9" spans="1:11" ht="18" x14ac:dyDescent="0.35">
      <c r="A9" s="1349" t="s">
        <v>2049</v>
      </c>
      <c r="B9" s="1349"/>
      <c r="C9" s="1350"/>
      <c r="D9" s="1350"/>
      <c r="E9" s="1349"/>
    </row>
    <row r="10" spans="1:11" x14ac:dyDescent="0.25">
      <c r="A10" s="273"/>
      <c r="B10" s="484" t="s">
        <v>362</v>
      </c>
      <c r="C10" s="344"/>
      <c r="E10" s="167"/>
      <c r="F10" s="202" t="s">
        <v>363</v>
      </c>
      <c r="H10" s="3"/>
      <c r="K10" s="226"/>
    </row>
    <row r="11" spans="1:11" x14ac:dyDescent="0.25">
      <c r="A11" s="202" t="s">
        <v>364</v>
      </c>
      <c r="B11" s="3" t="s">
        <v>365</v>
      </c>
      <c r="C11" s="3"/>
      <c r="E11" s="213"/>
      <c r="F11" s="202" t="s">
        <v>1979</v>
      </c>
      <c r="H11" s="3"/>
    </row>
    <row r="12" spans="1:11" x14ac:dyDescent="0.25">
      <c r="A12" s="267"/>
      <c r="B12" s="3" t="s">
        <v>366</v>
      </c>
      <c r="C12" s="3"/>
      <c r="E12" s="213"/>
      <c r="F12" s="202"/>
      <c r="G12" t="s">
        <v>2165</v>
      </c>
      <c r="H12" s="3" t="s">
        <v>2166</v>
      </c>
      <c r="I12" t="s">
        <v>2167</v>
      </c>
    </row>
    <row r="13" spans="1:11" x14ac:dyDescent="0.25">
      <c r="A13" s="153"/>
      <c r="B13" s="3"/>
      <c r="C13" s="3"/>
      <c r="E13" s="213"/>
      <c r="F13" s="1092" t="s">
        <v>462</v>
      </c>
      <c r="G13" s="593">
        <v>7965557</v>
      </c>
      <c r="H13" s="3"/>
      <c r="I13" s="593"/>
    </row>
    <row r="14" spans="1:11" x14ac:dyDescent="0.25">
      <c r="A14" s="153" t="s">
        <v>367</v>
      </c>
      <c r="B14" s="2">
        <f>+'Revenue Projections Detail'!R16</f>
        <v>22214448.579999998</v>
      </c>
      <c r="D14" s="2"/>
      <c r="E14" s="213"/>
      <c r="F14" s="1092" t="s">
        <v>1141</v>
      </c>
      <c r="G14" s="593">
        <v>8293458</v>
      </c>
      <c r="H14" s="2">
        <f>+G14-G13</f>
        <v>327901</v>
      </c>
      <c r="I14" s="289">
        <f>ROUND((+H14/G13),4)</f>
        <v>4.1200000000000001E-2</v>
      </c>
    </row>
    <row r="15" spans="1:11" x14ac:dyDescent="0.25">
      <c r="A15" s="153" t="s">
        <v>368</v>
      </c>
      <c r="B15" s="53">
        <f>-'Revenue Projections Detail'!R11</f>
        <v>-1204231.58</v>
      </c>
      <c r="D15" s="2"/>
      <c r="E15" s="213"/>
      <c r="F15" s="1092" t="s">
        <v>464</v>
      </c>
      <c r="G15" s="851">
        <v>8498343</v>
      </c>
      <c r="H15" s="2">
        <f t="shared" ref="H15:H23" si="0">+G15-G14</f>
        <v>204885</v>
      </c>
      <c r="I15" s="289">
        <f t="shared" ref="I15:I22" si="1">ROUND((+H15/G14),4)</f>
        <v>2.47E-2</v>
      </c>
    </row>
    <row r="16" spans="1:11" x14ac:dyDescent="0.25">
      <c r="A16" s="153" t="s">
        <v>369</v>
      </c>
      <c r="B16" s="2">
        <f>SUM(B14:B15)</f>
        <v>21010217</v>
      </c>
      <c r="D16" s="2"/>
      <c r="E16" s="213"/>
      <c r="F16" s="1092" t="s">
        <v>465</v>
      </c>
      <c r="G16" s="851">
        <v>8852114</v>
      </c>
      <c r="H16" s="2">
        <f t="shared" si="0"/>
        <v>353771</v>
      </c>
      <c r="I16" s="289">
        <f t="shared" si="1"/>
        <v>4.1599999999999998E-2</v>
      </c>
    </row>
    <row r="17" spans="1:10" x14ac:dyDescent="0.25">
      <c r="A17" s="153"/>
      <c r="E17" s="213"/>
      <c r="F17" s="1092" t="s">
        <v>466</v>
      </c>
      <c r="G17" s="851">
        <v>9356560</v>
      </c>
      <c r="H17" s="2">
        <f t="shared" si="0"/>
        <v>504446</v>
      </c>
      <c r="I17" s="289">
        <f t="shared" si="1"/>
        <v>5.7000000000000002E-2</v>
      </c>
    </row>
    <row r="18" spans="1:10" x14ac:dyDescent="0.25">
      <c r="A18" s="153" t="s">
        <v>370</v>
      </c>
      <c r="B18" s="2">
        <f>+'Revenue Projections Detail'!R31</f>
        <v>2085265</v>
      </c>
      <c r="D18" s="2"/>
      <c r="E18" s="213"/>
      <c r="F18" s="1092" t="s">
        <v>467</v>
      </c>
      <c r="G18" s="851">
        <v>9811160</v>
      </c>
      <c r="H18" s="2">
        <f t="shared" si="0"/>
        <v>454600</v>
      </c>
      <c r="I18" s="289">
        <f t="shared" si="1"/>
        <v>4.8599999999999997E-2</v>
      </c>
      <c r="J18" s="155"/>
    </row>
    <row r="19" spans="1:10" x14ac:dyDescent="0.25">
      <c r="A19" s="153"/>
      <c r="E19" s="213"/>
      <c r="F19" s="1092" t="s">
        <v>468</v>
      </c>
      <c r="G19" s="851">
        <v>10229737</v>
      </c>
      <c r="H19" s="2">
        <f t="shared" si="0"/>
        <v>418577</v>
      </c>
      <c r="I19" s="289">
        <f t="shared" si="1"/>
        <v>4.2700000000000002E-2</v>
      </c>
      <c r="J19" s="260"/>
    </row>
    <row r="20" spans="1:10" x14ac:dyDescent="0.25">
      <c r="A20" s="153" t="s">
        <v>371</v>
      </c>
      <c r="B20" s="2">
        <f>+'Revenue Projections Detail'!R52</f>
        <v>1721769</v>
      </c>
      <c r="D20" s="2"/>
      <c r="E20" s="213"/>
      <c r="F20" s="1092" t="s">
        <v>251</v>
      </c>
      <c r="G20" s="851">
        <v>10732268</v>
      </c>
      <c r="H20" s="2">
        <f t="shared" si="0"/>
        <v>502531</v>
      </c>
      <c r="I20" s="289">
        <f t="shared" si="1"/>
        <v>4.9099999999999998E-2</v>
      </c>
      <c r="J20" s="155"/>
    </row>
    <row r="21" spans="1:10" x14ac:dyDescent="0.25">
      <c r="A21" s="153"/>
      <c r="E21" s="213"/>
      <c r="F21" s="1092" t="s">
        <v>252</v>
      </c>
      <c r="G21" s="851">
        <v>10950854</v>
      </c>
      <c r="H21" s="2">
        <f t="shared" si="0"/>
        <v>218586</v>
      </c>
      <c r="I21" s="289">
        <f t="shared" si="1"/>
        <v>2.0400000000000001E-2</v>
      </c>
    </row>
    <row r="22" spans="1:10" x14ac:dyDescent="0.25">
      <c r="A22" s="153" t="s">
        <v>372</v>
      </c>
      <c r="B22" s="2">
        <f>+'Revenue Projections Detail'!R82</f>
        <v>0</v>
      </c>
      <c r="C22" s="272"/>
      <c r="D22" s="2"/>
      <c r="E22" s="213"/>
      <c r="F22" s="1092" t="s">
        <v>253</v>
      </c>
      <c r="G22" s="851">
        <v>11346270</v>
      </c>
      <c r="H22" s="2">
        <f t="shared" si="0"/>
        <v>395416</v>
      </c>
      <c r="I22" s="289">
        <f t="shared" si="1"/>
        <v>3.61E-2</v>
      </c>
    </row>
    <row r="23" spans="1:10" x14ac:dyDescent="0.25">
      <c r="A23" s="153"/>
      <c r="E23" s="213"/>
      <c r="F23" s="1092" t="s">
        <v>469</v>
      </c>
      <c r="G23" s="851">
        <v>11809191</v>
      </c>
      <c r="H23" s="2">
        <f t="shared" si="0"/>
        <v>462921</v>
      </c>
      <c r="I23" s="289">
        <f>ROUND((+H23/G22),4)</f>
        <v>4.0800000000000003E-2</v>
      </c>
    </row>
    <row r="24" spans="1:10" ht="13.8" thickBot="1" x14ac:dyDescent="0.3">
      <c r="A24" s="153" t="s">
        <v>373</v>
      </c>
      <c r="B24" s="52">
        <f>SUM(B16:B23)</f>
        <v>24817251</v>
      </c>
      <c r="D24" s="2"/>
      <c r="E24" s="213"/>
      <c r="H24" s="2"/>
      <c r="I24" s="123"/>
    </row>
    <row r="25" spans="1:10" ht="13.8" thickTop="1" x14ac:dyDescent="0.25">
      <c r="A25" s="153"/>
      <c r="E25" s="213"/>
      <c r="F25" s="1092" t="s">
        <v>190</v>
      </c>
      <c r="H25" s="2"/>
    </row>
    <row r="26" spans="1:10" x14ac:dyDescent="0.25">
      <c r="A26" s="153" t="s">
        <v>374</v>
      </c>
      <c r="E26" s="213"/>
      <c r="F26" s="1092" t="s">
        <v>2168</v>
      </c>
      <c r="H26" s="2">
        <f>SUM(H14:H25)</f>
        <v>3843634</v>
      </c>
      <c r="I26" s="289">
        <f>SUM(I14:I25)</f>
        <v>0.40220000000000006</v>
      </c>
    </row>
    <row r="27" spans="1:10" x14ac:dyDescent="0.25">
      <c r="A27" s="153" t="s">
        <v>375</v>
      </c>
      <c r="B27" s="2">
        <f>ROUND((+B24*0.485),0)</f>
        <v>12036367</v>
      </c>
      <c r="D27" s="2"/>
      <c r="E27" s="213"/>
      <c r="F27" s="1092"/>
      <c r="H27" s="2">
        <f>+H26/10</f>
        <v>384363.4</v>
      </c>
      <c r="I27" s="1096">
        <f>+I26/10</f>
        <v>4.0220000000000006E-2</v>
      </c>
    </row>
    <row r="28" spans="1:10" x14ac:dyDescent="0.25">
      <c r="A28" s="153" t="s">
        <v>376</v>
      </c>
      <c r="B28" s="2">
        <f>+'Debt Exclusion Calc.'!I28</f>
        <v>107075</v>
      </c>
      <c r="D28" s="2"/>
      <c r="E28" s="213"/>
      <c r="H28" s="2"/>
      <c r="I28" s="2"/>
      <c r="J28" s="202"/>
    </row>
    <row r="29" spans="1:10" ht="13.8" thickBot="1" x14ac:dyDescent="0.3">
      <c r="A29" s="153" t="s">
        <v>190</v>
      </c>
      <c r="B29" s="52">
        <f>SUM(B27:B28)</f>
        <v>12143442</v>
      </c>
      <c r="D29" s="2"/>
      <c r="E29" s="213"/>
      <c r="H29" s="2"/>
      <c r="I29" s="2"/>
      <c r="J29" s="202"/>
    </row>
    <row r="30" spans="1:10" ht="13.8" thickTop="1" x14ac:dyDescent="0.25">
      <c r="A30" s="267"/>
      <c r="E30" s="213"/>
      <c r="G30" s="155"/>
      <c r="H30" s="2"/>
      <c r="I30" s="2"/>
    </row>
    <row r="31" spans="1:10" x14ac:dyDescent="0.25">
      <c r="A31" s="153"/>
      <c r="E31" s="213"/>
      <c r="H31" s="2"/>
      <c r="I31" s="123"/>
    </row>
    <row r="32" spans="1:10" x14ac:dyDescent="0.25">
      <c r="A32" s="267" t="s">
        <v>377</v>
      </c>
      <c r="B32" s="2">
        <f>+B29</f>
        <v>12143442</v>
      </c>
      <c r="C32" s="2">
        <f>+C29</f>
        <v>0</v>
      </c>
      <c r="D32" s="2">
        <f>+'300 Schools'!Q13</f>
        <v>11809191</v>
      </c>
      <c r="E32" s="268" t="s">
        <v>2051</v>
      </c>
      <c r="F32" s="202"/>
      <c r="H32" s="2"/>
    </row>
    <row r="33" spans="1:8" ht="13.8" thickBot="1" x14ac:dyDescent="0.3">
      <c r="A33" s="153" t="s">
        <v>378</v>
      </c>
      <c r="B33" s="2">
        <f>+B32-B29</f>
        <v>0</v>
      </c>
      <c r="C33" s="2">
        <f>+C32-C29</f>
        <v>0</v>
      </c>
      <c r="D33" s="588">
        <f>+B29</f>
        <v>12143442</v>
      </c>
      <c r="E33" s="213"/>
      <c r="H33" s="2"/>
    </row>
    <row r="34" spans="1:8" x14ac:dyDescent="0.25">
      <c r="A34" s="267" t="s">
        <v>379</v>
      </c>
      <c r="B34" s="53">
        <f>+'Working Budget with funding det'!V131</f>
        <v>0</v>
      </c>
      <c r="C34" s="2">
        <f>+B34</f>
        <v>0</v>
      </c>
      <c r="D34" s="2">
        <f>+D33-D32</f>
        <v>334251</v>
      </c>
      <c r="E34" s="213" t="s">
        <v>380</v>
      </c>
      <c r="H34" s="2"/>
    </row>
    <row r="35" spans="1:8" x14ac:dyDescent="0.25">
      <c r="A35" s="153" t="s">
        <v>381</v>
      </c>
      <c r="B35" s="2">
        <f>+B32-B33-B34</f>
        <v>12143442</v>
      </c>
      <c r="C35" s="2">
        <f>+C32-C33-C34</f>
        <v>0</v>
      </c>
      <c r="D35" s="1097">
        <f>ROUND((+D34/D32),4)</f>
        <v>2.8299999999999999E-2</v>
      </c>
      <c r="E35" s="213" t="s">
        <v>382</v>
      </c>
      <c r="H35" s="2"/>
    </row>
    <row r="36" spans="1:8" x14ac:dyDescent="0.25">
      <c r="A36" s="153"/>
      <c r="E36" s="213"/>
      <c r="H36" s="2"/>
    </row>
    <row r="37" spans="1:8" x14ac:dyDescent="0.25">
      <c r="A37" s="68"/>
      <c r="B37" s="53"/>
      <c r="C37" s="53"/>
      <c r="D37" s="55"/>
      <c r="E37" s="261"/>
      <c r="H37" s="2"/>
    </row>
    <row r="38" spans="1:8" x14ac:dyDescent="0.25">
      <c r="A38" s="202"/>
    </row>
  </sheetData>
  <sortState xmlns:xlrd2="http://schemas.microsoft.com/office/spreadsheetml/2017/richdata2" ref="F13:F22">
    <sortCondition ref="F13:F22"/>
  </sortState>
  <mergeCells count="7">
    <mergeCell ref="A9:E9"/>
    <mergeCell ref="A2:E2"/>
    <mergeCell ref="A3:E3"/>
    <mergeCell ref="A4:E4"/>
    <mergeCell ref="A7:E7"/>
    <mergeCell ref="A5:E5"/>
    <mergeCell ref="A6:E6"/>
  </mergeCells>
  <phoneticPr fontId="15" type="noConversion"/>
  <hyperlinks>
    <hyperlink ref="A1" location="'Table of Contents'!A1" display="TOC" xr:uid="{00000000-0004-0000-0600-000000000000}"/>
  </hyperlinks>
  <pageMargins left="0.75" right="0.75" top="1" bottom="1" header="0.5" footer="0.5"/>
  <pageSetup scale="94" fitToHeight="2" orientation="portrait" r:id="rId1"/>
  <headerFooter alignWithMargins="0">
    <oddFooter>&amp;L&amp;D &amp;T&amp;C&amp;F&amp;R&amp;A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N176"/>
  <sheetViews>
    <sheetView topLeftCell="A16" zoomScale="75" zoomScaleNormal="75" workbookViewId="0">
      <selection activeCell="K36" sqref="K36:K38"/>
    </sheetView>
  </sheetViews>
  <sheetFormatPr defaultRowHeight="15" x14ac:dyDescent="0.25"/>
  <cols>
    <col min="1" max="1" width="15.109375" style="485" customWidth="1"/>
    <col min="2" max="2" width="25.44140625" style="485" customWidth="1"/>
    <col min="3" max="3" width="21.6640625" style="485" customWidth="1"/>
    <col min="4" max="4" width="17.44140625" style="485" customWidth="1"/>
    <col min="5" max="5" width="15.109375" style="485" customWidth="1"/>
    <col min="6" max="7" width="8.77734375" style="485"/>
    <col min="8" max="8" width="13.44140625" style="485" customWidth="1"/>
    <col min="9" max="9" width="6.44140625" style="485" customWidth="1"/>
    <col min="10" max="10" width="15.77734375" style="4" customWidth="1"/>
    <col min="11" max="11" width="13.109375" style="703" bestFit="1" customWidth="1"/>
    <col min="12" max="12" width="8.77734375" style="4"/>
    <col min="13" max="13" width="10.44140625" style="4" bestFit="1" customWidth="1"/>
  </cols>
  <sheetData>
    <row r="1" spans="1:8" ht="15.6" x14ac:dyDescent="0.3">
      <c r="A1" s="491" t="s">
        <v>2056</v>
      </c>
      <c r="C1" s="492"/>
      <c r="D1" s="654" t="s">
        <v>194</v>
      </c>
      <c r="E1" s="493"/>
    </row>
    <row r="2" spans="1:8" x14ac:dyDescent="0.25">
      <c r="A2" s="494" t="s">
        <v>2057</v>
      </c>
      <c r="B2" s="495"/>
      <c r="C2" s="496"/>
      <c r="D2" s="495"/>
      <c r="E2" s="495"/>
      <c r="F2" s="495"/>
      <c r="G2" s="495"/>
      <c r="H2" s="497"/>
    </row>
    <row r="3" spans="1:8" x14ac:dyDescent="0.25">
      <c r="A3" s="498"/>
      <c r="B3" s="485" t="s">
        <v>383</v>
      </c>
      <c r="C3" s="499"/>
      <c r="H3" s="500"/>
    </row>
    <row r="4" spans="1:8" x14ac:dyDescent="0.25">
      <c r="A4" s="498"/>
      <c r="C4" s="499"/>
      <c r="H4" s="500"/>
    </row>
    <row r="5" spans="1:8" x14ac:dyDescent="0.25">
      <c r="A5" s="498"/>
      <c r="B5" s="485" t="s">
        <v>384</v>
      </c>
      <c r="C5" s="499"/>
      <c r="D5" s="485" t="s">
        <v>385</v>
      </c>
      <c r="H5" s="500"/>
    </row>
    <row r="6" spans="1:8" x14ac:dyDescent="0.25">
      <c r="A6" s="498"/>
      <c r="B6" s="485" t="s">
        <v>386</v>
      </c>
      <c r="C6" s="291">
        <v>20546462.710000001</v>
      </c>
      <c r="D6" s="485" t="s">
        <v>387</v>
      </c>
      <c r="H6" s="500"/>
    </row>
    <row r="7" spans="1:8" x14ac:dyDescent="0.25">
      <c r="A7" s="498"/>
      <c r="B7" s="485" t="s">
        <v>388</v>
      </c>
      <c r="C7" s="291">
        <v>-92465.11</v>
      </c>
      <c r="D7" s="485" t="s">
        <v>389</v>
      </c>
      <c r="H7" s="500"/>
    </row>
    <row r="8" spans="1:8" x14ac:dyDescent="0.25">
      <c r="A8" s="498"/>
      <c r="B8" s="485" t="s">
        <v>390</v>
      </c>
      <c r="C8" s="501">
        <v>-1182556</v>
      </c>
      <c r="D8" s="485" t="s">
        <v>391</v>
      </c>
      <c r="H8" s="500"/>
    </row>
    <row r="9" spans="1:8" x14ac:dyDescent="0.25">
      <c r="A9" s="498" t="s">
        <v>392</v>
      </c>
      <c r="B9" s="485" t="s">
        <v>393</v>
      </c>
      <c r="C9" s="499">
        <f>SUM(C6:C8)</f>
        <v>19271441.600000001</v>
      </c>
      <c r="H9" s="500"/>
    </row>
    <row r="10" spans="1:8" x14ac:dyDescent="0.25">
      <c r="A10" s="498"/>
      <c r="C10" s="499"/>
      <c r="H10" s="500"/>
    </row>
    <row r="11" spans="1:8" x14ac:dyDescent="0.25">
      <c r="A11" s="498"/>
      <c r="B11" s="485" t="s">
        <v>394</v>
      </c>
      <c r="C11" s="499"/>
      <c r="H11" s="500"/>
    </row>
    <row r="12" spans="1:8" x14ac:dyDescent="0.25">
      <c r="A12" s="498"/>
      <c r="B12" s="485" t="s">
        <v>395</v>
      </c>
      <c r="C12" s="291">
        <v>25069210.25</v>
      </c>
      <c r="D12" s="485" t="s">
        <v>396</v>
      </c>
      <c r="H12" s="500"/>
    </row>
    <row r="13" spans="1:8" x14ac:dyDescent="0.25">
      <c r="A13" s="498"/>
      <c r="B13" s="485" t="s">
        <v>397</v>
      </c>
      <c r="C13" s="291">
        <v>-541114.18000000005</v>
      </c>
      <c r="D13" s="485" t="s">
        <v>396</v>
      </c>
      <c r="H13" s="500"/>
    </row>
    <row r="14" spans="1:8" x14ac:dyDescent="0.25">
      <c r="A14" s="498"/>
      <c r="B14" s="485" t="s">
        <v>398</v>
      </c>
      <c r="C14" s="291">
        <v>-3478812.14</v>
      </c>
      <c r="D14" s="485" t="s">
        <v>396</v>
      </c>
      <c r="H14" s="500"/>
    </row>
    <row r="15" spans="1:8" x14ac:dyDescent="0.25">
      <c r="A15" s="498"/>
      <c r="B15" s="485" t="s">
        <v>399</v>
      </c>
      <c r="C15" s="291">
        <v>-16823570.59</v>
      </c>
      <c r="D15" s="485" t="s">
        <v>396</v>
      </c>
      <c r="H15" s="500"/>
    </row>
    <row r="16" spans="1:8" x14ac:dyDescent="0.25">
      <c r="A16" s="498"/>
      <c r="B16" s="485" t="s">
        <v>400</v>
      </c>
      <c r="C16" s="501">
        <v>-116629.47</v>
      </c>
      <c r="D16" s="485" t="s">
        <v>396</v>
      </c>
      <c r="H16" s="500"/>
    </row>
    <row r="17" spans="1:14" x14ac:dyDescent="0.25">
      <c r="A17" s="498" t="s">
        <v>401</v>
      </c>
      <c r="B17" s="485" t="s">
        <v>402</v>
      </c>
      <c r="C17" s="499">
        <f>SUM(C12:C16)</f>
        <v>4109083.8699999996</v>
      </c>
      <c r="H17" s="500"/>
    </row>
    <row r="18" spans="1:14" x14ac:dyDescent="0.25">
      <c r="A18" s="498"/>
      <c r="C18" s="499"/>
      <c r="H18" s="500"/>
    </row>
    <row r="19" spans="1:14" x14ac:dyDescent="0.25">
      <c r="A19" s="498" t="s">
        <v>2058</v>
      </c>
      <c r="C19" s="499"/>
      <c r="H19" s="500"/>
    </row>
    <row r="20" spans="1:14" x14ac:dyDescent="0.25">
      <c r="A20" s="498"/>
      <c r="B20" s="485" t="s">
        <v>403</v>
      </c>
      <c r="C20" s="499">
        <f>+C17+C9</f>
        <v>23380525.470000003</v>
      </c>
      <c r="H20" s="500"/>
    </row>
    <row r="21" spans="1:14" x14ac:dyDescent="0.25">
      <c r="A21" s="503"/>
      <c r="B21" s="504"/>
      <c r="C21" s="502"/>
      <c r="D21" s="504"/>
      <c r="E21" s="504"/>
      <c r="F21" s="504"/>
      <c r="G21" s="504"/>
      <c r="H21" s="505"/>
      <c r="K21" s="703" t="s">
        <v>2065</v>
      </c>
    </row>
    <row r="22" spans="1:14" x14ac:dyDescent="0.25">
      <c r="C22" s="499"/>
    </row>
    <row r="23" spans="1:14" hidden="1" x14ac:dyDescent="0.25">
      <c r="A23" s="494" t="s">
        <v>404</v>
      </c>
      <c r="B23" s="495"/>
      <c r="C23" s="496"/>
      <c r="D23" s="495"/>
      <c r="E23" s="495"/>
      <c r="F23" s="495"/>
      <c r="G23" s="495"/>
      <c r="H23" s="497"/>
    </row>
    <row r="24" spans="1:14" hidden="1" x14ac:dyDescent="0.25">
      <c r="A24" s="498"/>
      <c r="C24" s="499"/>
      <c r="D24" s="506"/>
      <c r="H24" s="500"/>
    </row>
    <row r="25" spans="1:14" hidden="1" x14ac:dyDescent="0.25">
      <c r="A25" s="498"/>
      <c r="B25" s="485" t="s">
        <v>405</v>
      </c>
      <c r="C25" s="499"/>
      <c r="H25" s="500"/>
    </row>
    <row r="26" spans="1:14" hidden="1" x14ac:dyDescent="0.25">
      <c r="A26" s="503"/>
      <c r="B26" s="504"/>
      <c r="C26" s="502"/>
      <c r="D26" s="504"/>
      <c r="E26" s="504"/>
      <c r="F26" s="504"/>
      <c r="G26" s="504"/>
      <c r="H26" s="505"/>
    </row>
    <row r="27" spans="1:14" hidden="1" x14ac:dyDescent="0.25">
      <c r="C27" s="492"/>
    </row>
    <row r="28" spans="1:14" x14ac:dyDescent="0.25">
      <c r="A28" s="494" t="s">
        <v>406</v>
      </c>
      <c r="B28" s="495"/>
      <c r="C28" s="496"/>
      <c r="D28" s="495"/>
      <c r="E28" s="495"/>
      <c r="F28" s="495"/>
      <c r="G28" s="495"/>
      <c r="H28" s="497"/>
      <c r="K28" s="796">
        <v>45291</v>
      </c>
      <c r="M28" s="4">
        <v>251692</v>
      </c>
      <c r="N28" s="202" t="s">
        <v>347</v>
      </c>
    </row>
    <row r="29" spans="1:14" x14ac:dyDescent="0.25">
      <c r="A29" s="498"/>
      <c r="B29" s="485" t="s">
        <v>2059</v>
      </c>
      <c r="C29" s="506">
        <f>+C20</f>
        <v>23380525.470000003</v>
      </c>
      <c r="H29" s="500"/>
      <c r="J29" s="4" t="s">
        <v>407</v>
      </c>
      <c r="K29" s="23">
        <v>1250936.02</v>
      </c>
      <c r="M29" s="4">
        <v>1130745</v>
      </c>
    </row>
    <row r="30" spans="1:14" x14ac:dyDescent="0.25">
      <c r="A30" s="498"/>
      <c r="B30" s="507">
        <v>0.05</v>
      </c>
      <c r="C30" s="499">
        <f>ROUND((+C29*0.05),0)</f>
        <v>1169026</v>
      </c>
      <c r="D30" s="485" t="s">
        <v>408</v>
      </c>
      <c r="H30" s="500"/>
      <c r="J30" s="4" t="s">
        <v>409</v>
      </c>
      <c r="K30" s="23">
        <v>131576.1</v>
      </c>
      <c r="M30" s="4">
        <f>+K30</f>
        <v>131576.1</v>
      </c>
    </row>
    <row r="31" spans="1:14" x14ac:dyDescent="0.25">
      <c r="A31" s="498"/>
      <c r="B31" s="507">
        <v>0.1</v>
      </c>
      <c r="C31" s="499">
        <f>+C30*2</f>
        <v>2338052</v>
      </c>
      <c r="D31" s="485" t="s">
        <v>410</v>
      </c>
      <c r="H31" s="500"/>
      <c r="J31" s="4" t="s">
        <v>411</v>
      </c>
      <c r="K31" s="23">
        <v>295920.52</v>
      </c>
      <c r="M31" s="4">
        <f>+K31</f>
        <v>295920.52</v>
      </c>
    </row>
    <row r="32" spans="1:14" x14ac:dyDescent="0.25">
      <c r="A32" s="498"/>
      <c r="C32" s="291"/>
      <c r="H32" s="500"/>
      <c r="J32" s="4" t="s">
        <v>412</v>
      </c>
      <c r="K32" s="23">
        <v>3220260.72</v>
      </c>
      <c r="M32" s="4">
        <v>1235553</v>
      </c>
    </row>
    <row r="33" spans="1:11" x14ac:dyDescent="0.25">
      <c r="A33" s="498"/>
      <c r="C33" s="291">
        <v>612927</v>
      </c>
      <c r="D33" s="508" t="s">
        <v>2061</v>
      </c>
      <c r="F33" s="508"/>
      <c r="H33" s="500"/>
      <c r="J33" s="4" t="s">
        <v>190</v>
      </c>
      <c r="K33" s="23">
        <f>SUM(K29:K32)</f>
        <v>4898693.3600000003</v>
      </c>
    </row>
    <row r="34" spans="1:11" x14ac:dyDescent="0.25">
      <c r="A34" s="498"/>
      <c r="C34" s="501">
        <f>+K33</f>
        <v>4898693.3600000003</v>
      </c>
      <c r="D34" s="485" t="s">
        <v>2060</v>
      </c>
      <c r="H34" s="500"/>
    </row>
    <row r="35" spans="1:11" x14ac:dyDescent="0.25">
      <c r="A35" s="498"/>
      <c r="C35" s="291">
        <f>SUM(C33:C34)</f>
        <v>5511620.3600000003</v>
      </c>
      <c r="D35" s="485" t="s">
        <v>190</v>
      </c>
      <c r="E35" s="487">
        <f>ROUND((+C35/C29),4)</f>
        <v>0.23569999999999999</v>
      </c>
      <c r="F35" s="485" t="s">
        <v>413</v>
      </c>
      <c r="H35" s="500"/>
      <c r="J35" s="4" t="s">
        <v>2066</v>
      </c>
    </row>
    <row r="36" spans="1:11" x14ac:dyDescent="0.25">
      <c r="A36" s="503"/>
      <c r="B36" s="504"/>
      <c r="C36" s="502"/>
      <c r="D36" s="504"/>
      <c r="E36" s="504"/>
      <c r="F36" s="504"/>
      <c r="G36" s="504"/>
      <c r="H36" s="505"/>
      <c r="J36" s="4" t="s">
        <v>407</v>
      </c>
      <c r="K36" s="23"/>
    </row>
    <row r="37" spans="1:11" x14ac:dyDescent="0.25">
      <c r="C37" s="492"/>
      <c r="J37" s="4" t="s">
        <v>409</v>
      </c>
      <c r="K37" s="23"/>
    </row>
    <row r="38" spans="1:11" x14ac:dyDescent="0.25">
      <c r="A38" s="494" t="s">
        <v>414</v>
      </c>
      <c r="B38" s="495"/>
      <c r="C38" s="496"/>
      <c r="D38" s="495"/>
      <c r="E38" s="495"/>
      <c r="F38" s="495"/>
      <c r="G38" s="495"/>
      <c r="H38" s="497"/>
      <c r="J38" s="4" t="s">
        <v>411</v>
      </c>
      <c r="K38" s="23"/>
    </row>
    <row r="39" spans="1:11" x14ac:dyDescent="0.25">
      <c r="A39" s="498"/>
      <c r="B39" s="485" t="s">
        <v>2062</v>
      </c>
      <c r="C39" s="499">
        <f>+C30</f>
        <v>1169026</v>
      </c>
      <c r="H39" s="500"/>
      <c r="J39" s="4" t="s">
        <v>412</v>
      </c>
      <c r="K39" s="23">
        <f>34891+1500000</f>
        <v>1534891</v>
      </c>
    </row>
    <row r="40" spans="1:11" x14ac:dyDescent="0.25">
      <c r="A40" s="498"/>
      <c r="B40" s="485" t="s">
        <v>415</v>
      </c>
      <c r="C40" s="501">
        <v>1239260.1499999999</v>
      </c>
      <c r="D40" s="487">
        <f>ROUND((+C40/C29),4)</f>
        <v>5.2999999999999999E-2</v>
      </c>
      <c r="H40" s="500"/>
    </row>
    <row r="41" spans="1:11" ht="15.6" x14ac:dyDescent="0.3">
      <c r="A41" s="498"/>
      <c r="B41" s="485" t="s">
        <v>416</v>
      </c>
      <c r="C41" s="509">
        <f>+C39-C40</f>
        <v>-70234.149999999907</v>
      </c>
      <c r="H41" s="500"/>
      <c r="J41" s="4" t="s">
        <v>2067</v>
      </c>
    </row>
    <row r="42" spans="1:11" x14ac:dyDescent="0.25">
      <c r="A42" s="498"/>
      <c r="C42" s="499"/>
      <c r="H42" s="500"/>
      <c r="J42" s="4" t="s">
        <v>407</v>
      </c>
      <c r="K42" s="148">
        <f>+K29+K36</f>
        <v>1250936.02</v>
      </c>
    </row>
    <row r="43" spans="1:11" hidden="1" x14ac:dyDescent="0.25">
      <c r="A43" s="498"/>
      <c r="B43" s="485" t="s">
        <v>417</v>
      </c>
      <c r="C43" s="499"/>
      <c r="H43" s="500"/>
      <c r="J43" s="4" t="s">
        <v>409</v>
      </c>
    </row>
    <row r="44" spans="1:11" hidden="1" x14ac:dyDescent="0.25">
      <c r="A44" s="498"/>
      <c r="B44" s="485" t="s">
        <v>418</v>
      </c>
      <c r="C44" s="499">
        <f>ROUND((+C33*0.35),0)</f>
        <v>214524</v>
      </c>
      <c r="H44" s="500"/>
      <c r="J44" s="4" t="s">
        <v>411</v>
      </c>
    </row>
    <row r="45" spans="1:11" x14ac:dyDescent="0.25">
      <c r="A45" s="503"/>
      <c r="B45" s="504"/>
      <c r="C45" s="502"/>
      <c r="D45" s="504"/>
      <c r="E45" s="504"/>
      <c r="F45" s="504"/>
      <c r="G45" s="504"/>
      <c r="H45" s="505"/>
      <c r="J45" s="4" t="s">
        <v>409</v>
      </c>
      <c r="K45" s="148">
        <f>+K37+K30</f>
        <v>131576.1</v>
      </c>
    </row>
    <row r="46" spans="1:11" x14ac:dyDescent="0.25">
      <c r="C46" s="492"/>
      <c r="J46" s="4" t="s">
        <v>411</v>
      </c>
      <c r="K46" s="148">
        <f t="shared" ref="K46:K47" si="0">+K38+K31</f>
        <v>295920.52</v>
      </c>
    </row>
    <row r="47" spans="1:11" x14ac:dyDescent="0.25">
      <c r="A47" s="494" t="s">
        <v>419</v>
      </c>
      <c r="B47" s="495"/>
      <c r="C47" s="496"/>
      <c r="D47" s="495"/>
      <c r="E47" s="495"/>
      <c r="F47" s="495"/>
      <c r="G47" s="495"/>
      <c r="H47" s="497"/>
      <c r="J47" s="4" t="s">
        <v>412</v>
      </c>
      <c r="K47" s="148">
        <f t="shared" si="0"/>
        <v>4755151.7200000007</v>
      </c>
    </row>
    <row r="48" spans="1:11" ht="15.6" x14ac:dyDescent="0.3">
      <c r="A48" s="498"/>
      <c r="B48" s="485" t="s">
        <v>420</v>
      </c>
      <c r="C48" s="509">
        <f>ROUND((+C29*0.003),0)</f>
        <v>70142</v>
      </c>
      <c r="D48" s="291"/>
      <c r="H48" s="500"/>
      <c r="J48" s="4" t="s">
        <v>190</v>
      </c>
      <c r="K48" s="148">
        <f>SUM(K42:K47)</f>
        <v>6433584.3600000013</v>
      </c>
    </row>
    <row r="49" spans="1:8" x14ac:dyDescent="0.25">
      <c r="A49" s="503"/>
      <c r="B49" s="504"/>
      <c r="C49" s="502"/>
      <c r="D49" s="502"/>
      <c r="E49" s="504"/>
      <c r="F49" s="504"/>
      <c r="G49" s="504"/>
      <c r="H49" s="505"/>
    </row>
    <row r="50" spans="1:8" x14ac:dyDescent="0.25">
      <c r="C50" s="499"/>
    </row>
    <row r="51" spans="1:8" hidden="1" x14ac:dyDescent="0.25">
      <c r="A51" s="494" t="s">
        <v>421</v>
      </c>
      <c r="B51" s="495"/>
      <c r="C51" s="496"/>
      <c r="D51" s="495"/>
      <c r="E51" s="495"/>
      <c r="F51" s="495"/>
      <c r="G51" s="495"/>
      <c r="H51" s="497"/>
    </row>
    <row r="52" spans="1:8" hidden="1" x14ac:dyDescent="0.25">
      <c r="A52" s="498"/>
      <c r="B52" s="485" t="s">
        <v>323</v>
      </c>
      <c r="C52" s="291">
        <v>540285</v>
      </c>
      <c r="H52" s="500"/>
    </row>
    <row r="53" spans="1:8" hidden="1" x14ac:dyDescent="0.25">
      <c r="A53" s="498"/>
      <c r="B53" s="485" t="s">
        <v>422</v>
      </c>
      <c r="C53" s="499">
        <f>ROUND((+C29*0.03),0)</f>
        <v>701416</v>
      </c>
      <c r="H53" s="500"/>
    </row>
    <row r="54" spans="1:8" ht="15.6" hidden="1" x14ac:dyDescent="0.3">
      <c r="A54" s="498"/>
      <c r="C54" s="509">
        <f>+C52-C53</f>
        <v>-161131</v>
      </c>
      <c r="D54" s="485" t="s">
        <v>423</v>
      </c>
      <c r="H54" s="500"/>
    </row>
    <row r="55" spans="1:8" hidden="1" x14ac:dyDescent="0.25">
      <c r="A55" s="503"/>
      <c r="B55" s="504"/>
      <c r="C55" s="502"/>
      <c r="D55" s="504"/>
      <c r="E55" s="504"/>
      <c r="F55" s="504"/>
      <c r="G55" s="504"/>
      <c r="H55" s="505"/>
    </row>
    <row r="56" spans="1:8" hidden="1" x14ac:dyDescent="0.25">
      <c r="C56" s="492"/>
    </row>
    <row r="57" spans="1:8" x14ac:dyDescent="0.25">
      <c r="A57" s="494" t="s">
        <v>424</v>
      </c>
      <c r="B57" s="495"/>
      <c r="C57" s="496"/>
      <c r="D57" s="495"/>
      <c r="E57" s="495"/>
      <c r="F57" s="495"/>
      <c r="G57" s="495"/>
      <c r="H57" s="497"/>
    </row>
    <row r="58" spans="1:8" ht="15.6" x14ac:dyDescent="0.3">
      <c r="A58" s="498"/>
      <c r="B58" s="485" t="s">
        <v>425</v>
      </c>
      <c r="C58" s="509">
        <f>ROUND((+C20*0.002),0)</f>
        <v>46761</v>
      </c>
      <c r="D58" s="291"/>
      <c r="H58" s="500"/>
    </row>
    <row r="59" spans="1:8" x14ac:dyDescent="0.25">
      <c r="A59" s="503"/>
      <c r="B59" s="504"/>
      <c r="C59" s="502"/>
      <c r="D59" s="502"/>
      <c r="E59" s="504"/>
      <c r="F59" s="504"/>
      <c r="G59" s="504"/>
      <c r="H59" s="505"/>
    </row>
    <row r="60" spans="1:8" x14ac:dyDescent="0.25">
      <c r="C60" s="492"/>
    </row>
    <row r="61" spans="1:8" x14ac:dyDescent="0.25">
      <c r="A61" s="494" t="s">
        <v>426</v>
      </c>
      <c r="B61" s="495"/>
      <c r="C61" s="496"/>
      <c r="D61" s="495"/>
      <c r="E61" s="495"/>
      <c r="F61" s="495"/>
      <c r="G61" s="495"/>
      <c r="H61" s="497"/>
    </row>
    <row r="62" spans="1:8" x14ac:dyDescent="0.25">
      <c r="A62" s="498" t="s">
        <v>2144</v>
      </c>
      <c r="C62" s="499"/>
      <c r="H62" s="500"/>
    </row>
    <row r="63" spans="1:8" x14ac:dyDescent="0.25">
      <c r="A63" s="498"/>
      <c r="C63" s="499"/>
      <c r="D63" s="485" t="s">
        <v>427</v>
      </c>
      <c r="E63" s="485" t="s">
        <v>428</v>
      </c>
      <c r="H63" s="500"/>
    </row>
    <row r="64" spans="1:8" x14ac:dyDescent="0.25">
      <c r="A64" s="498"/>
      <c r="B64" s="485" t="s">
        <v>429</v>
      </c>
      <c r="C64" s="499">
        <f>ROUND((+C20*0.04),0)</f>
        <v>935221</v>
      </c>
      <c r="H64" s="500"/>
    </row>
    <row r="65" spans="1:8" x14ac:dyDescent="0.25">
      <c r="A65" s="940"/>
      <c r="B65" s="485" t="s">
        <v>430</v>
      </c>
      <c r="C65" s="499">
        <f>ROUND((+C20*0.06),0)</f>
        <v>1402832</v>
      </c>
      <c r="H65" s="500"/>
    </row>
    <row r="66" spans="1:8" x14ac:dyDescent="0.25">
      <c r="A66" s="940"/>
      <c r="B66" s="485" t="s">
        <v>431</v>
      </c>
      <c r="C66" s="499">
        <f>ROUND((+C20*0.08),0)</f>
        <v>1870442</v>
      </c>
      <c r="D66" s="506"/>
      <c r="H66" s="500"/>
    </row>
    <row r="67" spans="1:8" x14ac:dyDescent="0.25">
      <c r="A67" s="940"/>
      <c r="C67" s="499"/>
      <c r="H67" s="500"/>
    </row>
    <row r="68" spans="1:8" x14ac:dyDescent="0.25">
      <c r="A68" s="940"/>
      <c r="B68" s="485" t="s">
        <v>432</v>
      </c>
      <c r="C68" s="499"/>
      <c r="H68" s="500"/>
    </row>
    <row r="69" spans="1:8" x14ac:dyDescent="0.25">
      <c r="A69" s="940"/>
      <c r="B69" s="485" t="s">
        <v>433</v>
      </c>
      <c r="C69" s="291">
        <f>+'700 Debt '!S31</f>
        <v>749854</v>
      </c>
      <c r="D69" s="506">
        <f>+C69</f>
        <v>749854</v>
      </c>
      <c r="E69" s="506">
        <f>+'Debt Exclusion Calc.'!G27</f>
        <v>1100296</v>
      </c>
      <c r="F69" s="485" t="s">
        <v>434</v>
      </c>
      <c r="H69" s="500"/>
    </row>
    <row r="70" spans="1:8" x14ac:dyDescent="0.25">
      <c r="A70" s="940"/>
      <c r="B70" s="485" t="s">
        <v>435</v>
      </c>
      <c r="C70" s="291">
        <f>+'700 Debt '!S56</f>
        <v>389003</v>
      </c>
      <c r="D70" s="506">
        <f>+C70</f>
        <v>389003</v>
      </c>
      <c r="H70" s="500"/>
    </row>
    <row r="71" spans="1:8" x14ac:dyDescent="0.25">
      <c r="A71" s="940"/>
      <c r="B71" s="485" t="s">
        <v>436</v>
      </c>
      <c r="C71" s="291">
        <f>+'Debt Exclusion Calc.'!I28</f>
        <v>107075</v>
      </c>
      <c r="D71" s="506">
        <f>+C71</f>
        <v>107075</v>
      </c>
      <c r="H71" s="500"/>
    </row>
    <row r="72" spans="1:8" x14ac:dyDescent="0.25">
      <c r="A72" s="940"/>
      <c r="B72" s="485" t="s">
        <v>437</v>
      </c>
      <c r="C72" s="291">
        <f>+'211 Police'!S56</f>
        <v>60000</v>
      </c>
      <c r="D72" s="506"/>
      <c r="H72" s="500"/>
    </row>
    <row r="73" spans="1:8" x14ac:dyDescent="0.25">
      <c r="A73" s="940"/>
      <c r="B73" s="485" t="s">
        <v>438</v>
      </c>
      <c r="C73" s="291">
        <f>+'420 DPW'!S58</f>
        <v>0</v>
      </c>
      <c r="D73" s="291"/>
      <c r="H73" s="500"/>
    </row>
    <row r="74" spans="1:8" x14ac:dyDescent="0.25">
      <c r="A74" s="940"/>
      <c r="B74" s="485" t="s">
        <v>439</v>
      </c>
      <c r="C74" s="291">
        <v>50000</v>
      </c>
      <c r="D74" s="291"/>
      <c r="H74" s="500"/>
    </row>
    <row r="75" spans="1:8" x14ac:dyDescent="0.25">
      <c r="A75" s="940" t="s">
        <v>2063</v>
      </c>
      <c r="B75" s="617"/>
      <c r="C75" s="291"/>
      <c r="D75" s="291"/>
      <c r="H75" s="500"/>
    </row>
    <row r="76" spans="1:8" x14ac:dyDescent="0.25">
      <c r="A76" s="940"/>
      <c r="B76" s="617"/>
      <c r="C76" s="291"/>
      <c r="D76" s="291"/>
      <c r="H76" s="500"/>
    </row>
    <row r="77" spans="1:8" x14ac:dyDescent="0.25">
      <c r="A77" s="940"/>
      <c r="B77" s="617"/>
      <c r="C77" s="291"/>
      <c r="D77" s="291"/>
      <c r="H77" s="500"/>
    </row>
    <row r="78" spans="1:8" x14ac:dyDescent="0.25">
      <c r="A78" s="940"/>
      <c r="B78" s="617"/>
      <c r="C78" s="291"/>
      <c r="D78" s="1004"/>
      <c r="H78" s="500"/>
    </row>
    <row r="79" spans="1:8" x14ac:dyDescent="0.25">
      <c r="A79" s="940"/>
      <c r="B79" s="617"/>
      <c r="C79" s="291"/>
      <c r="D79" s="291"/>
      <c r="H79" s="500"/>
    </row>
    <row r="80" spans="1:8" x14ac:dyDescent="0.25">
      <c r="A80" s="940"/>
      <c r="B80" s="617"/>
      <c r="C80" s="291"/>
      <c r="D80" s="1004"/>
      <c r="H80" s="500"/>
    </row>
    <row r="81" spans="1:11" x14ac:dyDescent="0.25">
      <c r="A81" s="940"/>
      <c r="B81" s="617"/>
      <c r="C81" s="291">
        <f>+'Working Budget with funding det'!R254</f>
        <v>0</v>
      </c>
      <c r="D81" s="291"/>
      <c r="H81" s="500"/>
    </row>
    <row r="82" spans="1:11" x14ac:dyDescent="0.25">
      <c r="A82" s="940"/>
      <c r="C82" s="291"/>
      <c r="D82" s="291"/>
      <c r="H82" s="500"/>
    </row>
    <row r="83" spans="1:11" x14ac:dyDescent="0.25">
      <c r="A83" s="940"/>
      <c r="C83" s="291"/>
      <c r="D83" s="291"/>
      <c r="H83" s="500"/>
    </row>
    <row r="84" spans="1:11" x14ac:dyDescent="0.25">
      <c r="A84" s="940"/>
      <c r="C84" s="291"/>
      <c r="D84" s="291"/>
      <c r="H84" s="500"/>
    </row>
    <row r="85" spans="1:11" x14ac:dyDescent="0.25">
      <c r="A85" s="940"/>
      <c r="C85" s="291"/>
      <c r="D85" s="291"/>
      <c r="H85" s="500"/>
      <c r="K85" s="4"/>
    </row>
    <row r="86" spans="1:11" x14ac:dyDescent="0.25">
      <c r="A86" s="940"/>
      <c r="C86" s="291"/>
      <c r="D86" s="291"/>
      <c r="H86" s="500"/>
      <c r="K86" s="4"/>
    </row>
    <row r="87" spans="1:11" x14ac:dyDescent="0.25">
      <c r="A87" s="498" t="s">
        <v>440</v>
      </c>
      <c r="C87" s="499"/>
      <c r="D87" s="506"/>
      <c r="H87" s="500"/>
    </row>
    <row r="88" spans="1:11" ht="15.6" x14ac:dyDescent="0.3">
      <c r="A88" s="498"/>
      <c r="B88" s="485" t="s">
        <v>441</v>
      </c>
      <c r="C88" s="510">
        <f>+C65-SUM(C69:C85)</f>
        <v>46900</v>
      </c>
      <c r="D88" s="511"/>
      <c r="H88" s="500"/>
    </row>
    <row r="89" spans="1:11" x14ac:dyDescent="0.25">
      <c r="A89" s="498"/>
      <c r="B89" s="485" t="s">
        <v>190</v>
      </c>
      <c r="C89" s="499">
        <f>SUM(C69:C88)</f>
        <v>1402832</v>
      </c>
      <c r="D89" s="506">
        <f>SUM(D69:D88)</f>
        <v>1245932</v>
      </c>
      <c r="E89" s="506">
        <f>SUM(E69:E88)</f>
        <v>1100296</v>
      </c>
      <c r="H89" s="500"/>
    </row>
    <row r="90" spans="1:11" x14ac:dyDescent="0.25">
      <c r="A90" s="498"/>
      <c r="C90" s="499"/>
      <c r="D90" s="667">
        <f>ROUND((+D89/C20),4)</f>
        <v>5.33E-2</v>
      </c>
      <c r="E90" s="485" t="s">
        <v>442</v>
      </c>
      <c r="H90" s="500"/>
    </row>
    <row r="91" spans="1:11" x14ac:dyDescent="0.25">
      <c r="A91" s="498"/>
      <c r="B91" s="485" t="s">
        <v>443</v>
      </c>
      <c r="C91" s="499">
        <f>+C66-SUM(C69:C87)</f>
        <v>514510</v>
      </c>
      <c r="D91" s="506" t="s">
        <v>2145</v>
      </c>
      <c r="H91" s="500"/>
    </row>
    <row r="92" spans="1:11" x14ac:dyDescent="0.25">
      <c r="A92" s="503"/>
      <c r="B92" s="504"/>
      <c r="C92" s="502"/>
      <c r="D92" s="504"/>
      <c r="E92" s="504"/>
      <c r="F92" s="504"/>
      <c r="G92" s="504"/>
      <c r="H92" s="505"/>
    </row>
    <row r="93" spans="1:11" x14ac:dyDescent="0.25">
      <c r="C93" s="492"/>
    </row>
    <row r="94" spans="1:11" ht="15.6" x14ac:dyDescent="0.3">
      <c r="A94" s="494" t="s">
        <v>444</v>
      </c>
      <c r="B94" s="495"/>
      <c r="C94" s="496"/>
      <c r="D94" s="495"/>
      <c r="E94" s="495"/>
      <c r="F94" s="495"/>
      <c r="G94" s="495"/>
      <c r="H94" s="497"/>
    </row>
    <row r="95" spans="1:11" x14ac:dyDescent="0.25">
      <c r="A95" s="498" t="s">
        <v>2064</v>
      </c>
      <c r="C95" s="499"/>
      <c r="H95" s="500"/>
    </row>
    <row r="96" spans="1:11" x14ac:dyDescent="0.25">
      <c r="A96" s="498"/>
      <c r="C96" s="499"/>
      <c r="H96" s="500"/>
    </row>
    <row r="97" spans="1:8" x14ac:dyDescent="0.25">
      <c r="A97" s="498"/>
      <c r="B97" s="485" t="s">
        <v>83</v>
      </c>
      <c r="E97" s="485" t="s">
        <v>432</v>
      </c>
      <c r="H97" s="500"/>
    </row>
    <row r="98" spans="1:8" x14ac:dyDescent="0.25">
      <c r="A98" s="498"/>
      <c r="B98" s="485" t="s">
        <v>384</v>
      </c>
      <c r="C98" s="291">
        <f>+'Revenue Projections Detail'!R16</f>
        <v>22214448.579999998</v>
      </c>
      <c r="D98" s="291">
        <v>50000</v>
      </c>
      <c r="E98" s="485" t="s">
        <v>439</v>
      </c>
      <c r="H98" s="500"/>
    </row>
    <row r="99" spans="1:8" x14ac:dyDescent="0.25">
      <c r="A99" s="498"/>
      <c r="B99" s="485" t="s">
        <v>445</v>
      </c>
      <c r="C99" s="292">
        <f>-'Revenue Projections Detail'!R11</f>
        <v>-1204231.58</v>
      </c>
      <c r="D99" s="291">
        <f>+C75</f>
        <v>0</v>
      </c>
      <c r="E99" s="485">
        <f>+B75</f>
        <v>0</v>
      </c>
      <c r="H99" s="500"/>
    </row>
    <row r="100" spans="1:8" x14ac:dyDescent="0.25">
      <c r="A100" s="498"/>
      <c r="B100" s="485" t="s">
        <v>446</v>
      </c>
      <c r="C100" s="291">
        <f>+'Revenue Projections Detail'!R31</f>
        <v>2085265</v>
      </c>
      <c r="D100" s="291">
        <f>+C78</f>
        <v>0</v>
      </c>
      <c r="E100" s="485">
        <f>+B78</f>
        <v>0</v>
      </c>
      <c r="H100" s="500"/>
    </row>
    <row r="101" spans="1:8" x14ac:dyDescent="0.25">
      <c r="A101" s="498"/>
      <c r="B101" s="485" t="s">
        <v>447</v>
      </c>
      <c r="C101" s="501">
        <f>+'Revenue Projections Detail'!R58</f>
        <v>1934538</v>
      </c>
      <c r="D101" s="291">
        <f>+C79</f>
        <v>0</v>
      </c>
      <c r="E101" s="485">
        <f>+B79</f>
        <v>0</v>
      </c>
      <c r="H101" s="500"/>
    </row>
    <row r="102" spans="1:8" x14ac:dyDescent="0.25">
      <c r="A102" s="498"/>
      <c r="B102" s="485" t="s">
        <v>448</v>
      </c>
      <c r="C102" s="291">
        <f>SUM(C98:C101)</f>
        <v>25030020</v>
      </c>
      <c r="D102" s="1005"/>
      <c r="E102" s="1006"/>
      <c r="H102" s="500"/>
    </row>
    <row r="103" spans="1:8" x14ac:dyDescent="0.25">
      <c r="A103" s="498"/>
      <c r="C103" s="291"/>
      <c r="D103" s="291"/>
      <c r="E103" s="292"/>
      <c r="H103" s="500"/>
    </row>
    <row r="104" spans="1:8" x14ac:dyDescent="0.25">
      <c r="A104" s="498"/>
      <c r="C104" s="291"/>
      <c r="D104" s="501">
        <f>+'211 Police'!S56</f>
        <v>60000</v>
      </c>
      <c r="E104" s="485" t="s">
        <v>437</v>
      </c>
      <c r="H104" s="500"/>
    </row>
    <row r="105" spans="1:8" x14ac:dyDescent="0.25">
      <c r="A105" s="498"/>
      <c r="B105" s="485" t="s">
        <v>449</v>
      </c>
      <c r="C105" s="291">
        <f>ROUND((+C102*0.02),0)</f>
        <v>500600</v>
      </c>
      <c r="D105" s="499">
        <f>SUM(D98:D104)</f>
        <v>110000</v>
      </c>
      <c r="E105" s="485" t="s">
        <v>190</v>
      </c>
      <c r="H105" s="500"/>
    </row>
    <row r="106" spans="1:8" x14ac:dyDescent="0.25">
      <c r="A106" s="498"/>
      <c r="C106" s="291"/>
      <c r="D106" s="499">
        <f>+C105-D105</f>
        <v>390600</v>
      </c>
      <c r="E106" s="485" t="s">
        <v>450</v>
      </c>
      <c r="H106" s="500"/>
    </row>
    <row r="107" spans="1:8" ht="15.6" x14ac:dyDescent="0.3">
      <c r="A107" s="498"/>
      <c r="C107" s="291"/>
      <c r="D107" s="499"/>
      <c r="E107" s="1086"/>
      <c r="H107" s="500"/>
    </row>
    <row r="108" spans="1:8" x14ac:dyDescent="0.25">
      <c r="A108" s="503"/>
      <c r="B108" s="504"/>
      <c r="C108" s="502"/>
      <c r="D108" s="504"/>
      <c r="E108" s="504"/>
      <c r="F108" s="504"/>
      <c r="G108" s="504"/>
      <c r="H108" s="505"/>
    </row>
    <row r="109" spans="1:8" x14ac:dyDescent="0.25">
      <c r="C109" s="492"/>
    </row>
    <row r="110" spans="1:8" x14ac:dyDescent="0.25">
      <c r="A110" s="494" t="s">
        <v>451</v>
      </c>
      <c r="B110" s="495"/>
      <c r="C110" s="496"/>
      <c r="D110" s="495"/>
      <c r="E110" s="495"/>
      <c r="F110" s="495"/>
      <c r="G110" s="495"/>
      <c r="H110" s="497"/>
    </row>
    <row r="111" spans="1:8" x14ac:dyDescent="0.25">
      <c r="A111" s="498"/>
      <c r="B111" s="485" t="s">
        <v>452</v>
      </c>
      <c r="C111" s="499"/>
      <c r="H111" s="500"/>
    </row>
    <row r="112" spans="1:8" x14ac:dyDescent="0.25">
      <c r="A112" s="498"/>
      <c r="B112" s="485" t="s">
        <v>433</v>
      </c>
      <c r="C112" s="499">
        <f>+C69</f>
        <v>749854</v>
      </c>
      <c r="H112" s="500"/>
    </row>
    <row r="113" spans="1:8" x14ac:dyDescent="0.25">
      <c r="A113" s="498"/>
      <c r="B113" s="485" t="s">
        <v>435</v>
      </c>
      <c r="C113" s="499">
        <f>+C70</f>
        <v>389003</v>
      </c>
      <c r="H113" s="500"/>
    </row>
    <row r="114" spans="1:8" x14ac:dyDescent="0.25">
      <c r="A114" s="498"/>
      <c r="B114" s="485" t="s">
        <v>453</v>
      </c>
      <c r="C114" s="499">
        <f>SUM(C112:C113)</f>
        <v>1138857</v>
      </c>
      <c r="H114" s="500"/>
    </row>
    <row r="115" spans="1:8" x14ac:dyDescent="0.25">
      <c r="A115" s="498"/>
      <c r="B115" s="485" t="s">
        <v>454</v>
      </c>
      <c r="C115" s="512">
        <f>ROUND((+C114/C20),4)</f>
        <v>4.87E-2</v>
      </c>
      <c r="H115" s="500"/>
    </row>
    <row r="116" spans="1:8" x14ac:dyDescent="0.25">
      <c r="A116" s="498"/>
      <c r="B116" s="485" t="s">
        <v>410</v>
      </c>
      <c r="C116" s="513">
        <v>0.15</v>
      </c>
      <c r="H116" s="500"/>
    </row>
    <row r="117" spans="1:8" x14ac:dyDescent="0.25">
      <c r="A117" s="498"/>
      <c r="C117" s="499"/>
      <c r="H117" s="500"/>
    </row>
    <row r="118" spans="1:8" x14ac:dyDescent="0.25">
      <c r="A118" s="498"/>
      <c r="B118" s="485" t="s">
        <v>455</v>
      </c>
      <c r="C118" s="499"/>
      <c r="H118" s="500"/>
    </row>
    <row r="119" spans="1:8" x14ac:dyDescent="0.25">
      <c r="A119" s="498"/>
      <c r="B119" s="485" t="s">
        <v>456</v>
      </c>
      <c r="C119" s="499">
        <f>+C114</f>
        <v>1138857</v>
      </c>
      <c r="H119" s="500"/>
    </row>
    <row r="120" spans="1:8" x14ac:dyDescent="0.25">
      <c r="A120" s="498"/>
      <c r="B120" s="485" t="s">
        <v>457</v>
      </c>
      <c r="C120" s="499">
        <f>-'Debt Exclusion Calc.'!G27</f>
        <v>-1100296</v>
      </c>
      <c r="H120" s="500"/>
    </row>
    <row r="121" spans="1:8" x14ac:dyDescent="0.25">
      <c r="A121" s="498"/>
      <c r="B121" s="485" t="s">
        <v>458</v>
      </c>
      <c r="C121" s="499">
        <f>SUM(C119:C120)</f>
        <v>38561</v>
      </c>
      <c r="H121" s="500"/>
    </row>
    <row r="122" spans="1:8" ht="15.6" x14ac:dyDescent="0.3">
      <c r="A122" s="498"/>
      <c r="B122" s="485" t="s">
        <v>459</v>
      </c>
      <c r="C122" s="512">
        <f>ROUND((+C121/C20),4)</f>
        <v>1.6000000000000001E-3</v>
      </c>
      <c r="D122" s="485" t="s">
        <v>460</v>
      </c>
      <c r="E122" s="493"/>
      <c r="H122" s="500"/>
    </row>
    <row r="123" spans="1:8" x14ac:dyDescent="0.25">
      <c r="A123" s="498"/>
      <c r="C123" s="499"/>
      <c r="H123" s="500"/>
    </row>
    <row r="124" spans="1:8" x14ac:dyDescent="0.25">
      <c r="A124" s="498"/>
      <c r="B124" s="485" t="s">
        <v>408</v>
      </c>
      <c r="C124" s="513">
        <v>0.02</v>
      </c>
      <c r="H124" s="500"/>
    </row>
    <row r="125" spans="1:8" x14ac:dyDescent="0.25">
      <c r="A125" s="503"/>
      <c r="B125" s="504" t="s">
        <v>410</v>
      </c>
      <c r="C125" s="514">
        <v>0.05</v>
      </c>
      <c r="D125" s="504"/>
      <c r="E125" s="504"/>
      <c r="F125" s="504"/>
      <c r="G125" s="504"/>
      <c r="H125" s="505"/>
    </row>
    <row r="126" spans="1:8" x14ac:dyDescent="0.25">
      <c r="C126" s="492"/>
    </row>
    <row r="127" spans="1:8" x14ac:dyDescent="0.25">
      <c r="C127" s="492"/>
    </row>
    <row r="128" spans="1:8" x14ac:dyDescent="0.25">
      <c r="C128" s="492"/>
    </row>
    <row r="129" spans="3:3" x14ac:dyDescent="0.25">
      <c r="C129" s="492"/>
    </row>
    <row r="130" spans="3:3" x14ac:dyDescent="0.25">
      <c r="C130" s="492"/>
    </row>
    <row r="131" spans="3:3" x14ac:dyDescent="0.25">
      <c r="C131" s="492"/>
    </row>
    <row r="132" spans="3:3" x14ac:dyDescent="0.25">
      <c r="C132" s="492"/>
    </row>
    <row r="133" spans="3:3" x14ac:dyDescent="0.25">
      <c r="C133" s="492"/>
    </row>
    <row r="134" spans="3:3" x14ac:dyDescent="0.25">
      <c r="C134" s="492"/>
    </row>
    <row r="135" spans="3:3" x14ac:dyDescent="0.25">
      <c r="C135" s="492"/>
    </row>
    <row r="136" spans="3:3" x14ac:dyDescent="0.25">
      <c r="C136" s="492"/>
    </row>
    <row r="137" spans="3:3" x14ac:dyDescent="0.25">
      <c r="C137" s="492"/>
    </row>
    <row r="138" spans="3:3" x14ac:dyDescent="0.25">
      <c r="C138" s="492"/>
    </row>
    <row r="139" spans="3:3" x14ac:dyDescent="0.25">
      <c r="C139" s="492"/>
    </row>
    <row r="140" spans="3:3" x14ac:dyDescent="0.25">
      <c r="C140" s="492"/>
    </row>
    <row r="141" spans="3:3" x14ac:dyDescent="0.25">
      <c r="C141" s="492"/>
    </row>
    <row r="142" spans="3:3" x14ac:dyDescent="0.25">
      <c r="C142" s="492"/>
    </row>
    <row r="143" spans="3:3" x14ac:dyDescent="0.25">
      <c r="C143" s="492"/>
    </row>
    <row r="144" spans="3:3" x14ac:dyDescent="0.25">
      <c r="C144" s="492"/>
    </row>
    <row r="145" spans="3:3" x14ac:dyDescent="0.25">
      <c r="C145" s="492"/>
    </row>
    <row r="146" spans="3:3" x14ac:dyDescent="0.25">
      <c r="C146" s="492"/>
    </row>
    <row r="147" spans="3:3" x14ac:dyDescent="0.25">
      <c r="C147" s="492"/>
    </row>
    <row r="148" spans="3:3" x14ac:dyDescent="0.25">
      <c r="C148" s="492"/>
    </row>
    <row r="149" spans="3:3" x14ac:dyDescent="0.25">
      <c r="C149" s="492"/>
    </row>
    <row r="150" spans="3:3" x14ac:dyDescent="0.25">
      <c r="C150" s="492"/>
    </row>
    <row r="151" spans="3:3" x14ac:dyDescent="0.25">
      <c r="C151" s="492"/>
    </row>
    <row r="152" spans="3:3" x14ac:dyDescent="0.25">
      <c r="C152" s="492"/>
    </row>
    <row r="153" spans="3:3" x14ac:dyDescent="0.25">
      <c r="C153" s="492"/>
    </row>
    <row r="154" spans="3:3" x14ac:dyDescent="0.25">
      <c r="C154" s="492"/>
    </row>
    <row r="155" spans="3:3" x14ac:dyDescent="0.25">
      <c r="C155" s="492"/>
    </row>
    <row r="156" spans="3:3" x14ac:dyDescent="0.25">
      <c r="C156" s="492"/>
    </row>
    <row r="157" spans="3:3" x14ac:dyDescent="0.25">
      <c r="C157" s="492"/>
    </row>
    <row r="158" spans="3:3" x14ac:dyDescent="0.25">
      <c r="C158" s="492"/>
    </row>
    <row r="159" spans="3:3" x14ac:dyDescent="0.25">
      <c r="C159" s="492"/>
    </row>
    <row r="160" spans="3:3" x14ac:dyDescent="0.25">
      <c r="C160" s="492"/>
    </row>
    <row r="161" spans="3:3" x14ac:dyDescent="0.25">
      <c r="C161" s="492"/>
    </row>
    <row r="162" spans="3:3" x14ac:dyDescent="0.25">
      <c r="C162" s="492"/>
    </row>
    <row r="163" spans="3:3" x14ac:dyDescent="0.25">
      <c r="C163" s="492"/>
    </row>
    <row r="164" spans="3:3" x14ac:dyDescent="0.25">
      <c r="C164" s="492"/>
    </row>
    <row r="165" spans="3:3" x14ac:dyDescent="0.25">
      <c r="C165" s="492"/>
    </row>
    <row r="166" spans="3:3" x14ac:dyDescent="0.25">
      <c r="C166" s="492"/>
    </row>
    <row r="167" spans="3:3" x14ac:dyDescent="0.25">
      <c r="C167" s="492"/>
    </row>
    <row r="168" spans="3:3" x14ac:dyDescent="0.25">
      <c r="C168" s="492"/>
    </row>
    <row r="169" spans="3:3" x14ac:dyDescent="0.25">
      <c r="C169" s="492"/>
    </row>
    <row r="170" spans="3:3" x14ac:dyDescent="0.25">
      <c r="C170" s="492"/>
    </row>
    <row r="171" spans="3:3" x14ac:dyDescent="0.25">
      <c r="C171" s="492"/>
    </row>
    <row r="172" spans="3:3" x14ac:dyDescent="0.25">
      <c r="C172" s="492"/>
    </row>
    <row r="173" spans="3:3" x14ac:dyDescent="0.25">
      <c r="C173" s="492"/>
    </row>
    <row r="174" spans="3:3" x14ac:dyDescent="0.25">
      <c r="C174" s="492"/>
    </row>
    <row r="175" spans="3:3" x14ac:dyDescent="0.25">
      <c r="C175" s="492"/>
    </row>
    <row r="176" spans="3:3" x14ac:dyDescent="0.25">
      <c r="C176" s="492"/>
    </row>
  </sheetData>
  <hyperlinks>
    <hyperlink ref="D1" location="'Table of Contents'!A1" display="TOC" xr:uid="{00000000-0004-0000-0700-000000000000}"/>
  </hyperlinks>
  <pageMargins left="0.7" right="0.7" top="0.75" bottom="0.75" header="0.3" footer="0.3"/>
  <pageSetup scale="80" fitToHeight="2" orientation="portrait" r:id="rId1"/>
  <headerFooter>
    <oddFooter>&amp;L&amp;D &amp;T&amp;C&amp;F&amp;R&amp;A&amp;P</oddFooter>
  </headerFooter>
  <rowBreaks count="1" manualBreakCount="1">
    <brk id="60"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AD345"/>
  <sheetViews>
    <sheetView tabSelected="1" zoomScale="75" zoomScaleNormal="75" workbookViewId="0">
      <pane xSplit="2" ySplit="3" topLeftCell="Q175" activePane="bottomRight" state="frozen"/>
      <selection activeCell="L10" sqref="L10"/>
      <selection pane="topRight" activeCell="L10" sqref="L10"/>
      <selection pane="bottomLeft" activeCell="L10" sqref="L10"/>
      <selection pane="bottomRight" activeCell="U280" sqref="U280"/>
    </sheetView>
  </sheetViews>
  <sheetFormatPr defaultRowHeight="15" x14ac:dyDescent="0.25"/>
  <cols>
    <col min="1" max="1" width="8" style="763" customWidth="1"/>
    <col min="2" max="2" width="52" style="617" customWidth="1"/>
    <col min="3" max="8" width="16.44140625" style="617" hidden="1" customWidth="1"/>
    <col min="9" max="11" width="19.109375" style="617" hidden="1" customWidth="1"/>
    <col min="12" max="14" width="19.109375" style="637" hidden="1" customWidth="1"/>
    <col min="15" max="15" width="19.33203125" style="637" hidden="1" customWidth="1"/>
    <col min="16" max="16" width="20" style="637" hidden="1" customWidth="1"/>
    <col min="17" max="17" width="20" style="637" customWidth="1"/>
    <col min="18" max="19" width="19.109375" style="621" customWidth="1"/>
    <col min="20" max="20" width="19.109375" style="622" customWidth="1"/>
    <col min="21" max="21" width="19" style="622" customWidth="1"/>
    <col min="22" max="22" width="14.33203125" style="621" customWidth="1"/>
    <col min="23" max="23" width="13.77734375" style="621" customWidth="1"/>
    <col min="24" max="24" width="15.109375" style="621" customWidth="1"/>
    <col min="25" max="25" width="17" style="621" customWidth="1"/>
    <col min="26" max="26" width="13.77734375" style="621" customWidth="1"/>
    <col min="27" max="27" width="16" style="621" customWidth="1"/>
    <col min="28" max="28" width="16.6640625" style="621" customWidth="1"/>
    <col min="29" max="29" width="9.33203125" style="613"/>
    <col min="30" max="30" width="11.6640625" bestFit="1" customWidth="1"/>
  </cols>
  <sheetData>
    <row r="1" spans="1:28" x14ac:dyDescent="0.25">
      <c r="A1" s="762" t="s">
        <v>194</v>
      </c>
      <c r="B1" s="617" t="s">
        <v>2008</v>
      </c>
      <c r="C1" s="618" t="s">
        <v>461</v>
      </c>
      <c r="D1" s="618" t="s">
        <v>462</v>
      </c>
      <c r="E1" s="618" t="s">
        <v>463</v>
      </c>
      <c r="F1" s="618" t="s">
        <v>464</v>
      </c>
      <c r="G1" s="618" t="s">
        <v>465</v>
      </c>
      <c r="H1" s="618" t="s">
        <v>466</v>
      </c>
      <c r="I1" s="618" t="s">
        <v>467</v>
      </c>
      <c r="J1" s="619" t="s">
        <v>468</v>
      </c>
      <c r="K1" s="636" t="s">
        <v>251</v>
      </c>
      <c r="L1" s="636" t="s">
        <v>251</v>
      </c>
      <c r="M1" s="636" t="s">
        <v>252</v>
      </c>
      <c r="N1" s="636" t="s">
        <v>252</v>
      </c>
      <c r="O1" s="619" t="s">
        <v>253</v>
      </c>
      <c r="P1" s="619" t="s">
        <v>2032</v>
      </c>
      <c r="Q1" s="619" t="s">
        <v>469</v>
      </c>
      <c r="R1" s="619" t="s">
        <v>1345</v>
      </c>
      <c r="S1" s="619" t="s">
        <v>1345</v>
      </c>
      <c r="T1" s="619" t="s">
        <v>1345</v>
      </c>
      <c r="U1" s="620" t="s">
        <v>385</v>
      </c>
      <c r="V1" s="619"/>
      <c r="W1" s="620"/>
      <c r="X1" s="620" t="s">
        <v>470</v>
      </c>
      <c r="Z1" s="620"/>
      <c r="AA1" s="620"/>
      <c r="AB1" s="622"/>
    </row>
    <row r="2" spans="1:28" x14ac:dyDescent="0.25">
      <c r="B2" s="621">
        <f>+T136</f>
        <v>28929527</v>
      </c>
      <c r="C2" s="618" t="s">
        <v>256</v>
      </c>
      <c r="D2" s="618" t="s">
        <v>256</v>
      </c>
      <c r="E2" s="618" t="s">
        <v>256</v>
      </c>
      <c r="F2" s="618" t="s">
        <v>256</v>
      </c>
      <c r="G2" s="618" t="s">
        <v>256</v>
      </c>
      <c r="H2" s="618" t="s">
        <v>256</v>
      </c>
      <c r="I2" s="618" t="s">
        <v>256</v>
      </c>
      <c r="J2" s="618" t="s">
        <v>256</v>
      </c>
      <c r="K2" s="636" t="s">
        <v>255</v>
      </c>
      <c r="L2" s="636" t="s">
        <v>256</v>
      </c>
      <c r="M2" s="636" t="s">
        <v>255</v>
      </c>
      <c r="N2" s="636" t="s">
        <v>256</v>
      </c>
      <c r="O2" s="636" t="s">
        <v>255</v>
      </c>
      <c r="P2" s="636" t="s">
        <v>256</v>
      </c>
      <c r="Q2" s="636" t="s">
        <v>255</v>
      </c>
      <c r="R2" s="619" t="s">
        <v>471</v>
      </c>
      <c r="S2" s="619" t="s">
        <v>472</v>
      </c>
      <c r="T2" s="620" t="s">
        <v>473</v>
      </c>
      <c r="U2" s="620" t="s">
        <v>474</v>
      </c>
      <c r="V2" s="619" t="s">
        <v>323</v>
      </c>
      <c r="W2" s="620" t="s">
        <v>475</v>
      </c>
      <c r="X2" s="620" t="s">
        <v>476</v>
      </c>
      <c r="Y2" s="620" t="s">
        <v>329</v>
      </c>
      <c r="Z2" s="620" t="s">
        <v>477</v>
      </c>
      <c r="AA2" s="620" t="s">
        <v>478</v>
      </c>
      <c r="AB2" s="619" t="s">
        <v>479</v>
      </c>
    </row>
    <row r="3" spans="1:28" x14ac:dyDescent="0.25">
      <c r="R3" s="622" t="s">
        <v>480</v>
      </c>
      <c r="S3" s="622" t="s">
        <v>481</v>
      </c>
      <c r="T3" s="621"/>
      <c r="U3" s="620"/>
      <c r="V3" s="619"/>
      <c r="W3" s="620" t="s">
        <v>482</v>
      </c>
      <c r="X3" s="620" t="s">
        <v>482</v>
      </c>
      <c r="Y3" s="620" t="s">
        <v>1883</v>
      </c>
      <c r="Z3" s="620" t="s">
        <v>476</v>
      </c>
      <c r="AA3" s="620" t="s">
        <v>483</v>
      </c>
      <c r="AB3" s="619" t="s">
        <v>483</v>
      </c>
    </row>
    <row r="4" spans="1:28" x14ac:dyDescent="0.25">
      <c r="B4" s="617" t="s">
        <v>484</v>
      </c>
      <c r="R4" s="619"/>
      <c r="S4" s="619"/>
      <c r="T4" s="620"/>
      <c r="U4" s="621"/>
      <c r="V4" s="622"/>
      <c r="Y4" s="620"/>
      <c r="AB4" s="622"/>
    </row>
    <row r="5" spans="1:28" x14ac:dyDescent="0.25">
      <c r="B5" s="616" t="s">
        <v>485</v>
      </c>
      <c r="C5" s="616"/>
      <c r="D5" s="616"/>
      <c r="E5" s="616"/>
      <c r="F5" s="616"/>
      <c r="G5" s="616"/>
      <c r="H5" s="616"/>
      <c r="I5" s="616"/>
      <c r="J5" s="616"/>
      <c r="K5" s="616"/>
      <c r="L5" s="638"/>
      <c r="M5" s="638"/>
      <c r="N5" s="638"/>
      <c r="O5" s="638"/>
      <c r="P5" s="638"/>
      <c r="Q5" s="638"/>
      <c r="R5" s="622"/>
      <c r="S5" s="622"/>
      <c r="T5" s="621"/>
      <c r="U5" s="621"/>
      <c r="V5" s="622"/>
      <c r="AB5" s="622"/>
    </row>
    <row r="6" spans="1:28" x14ac:dyDescent="0.25">
      <c r="B6" s="617" t="s">
        <v>486</v>
      </c>
      <c r="C6" s="622">
        <f>+'Revenue Projections Detail'!B16</f>
        <v>13501567</v>
      </c>
      <c r="D6" s="622">
        <f>+'Revenue Projections Detail'!C16</f>
        <v>14007061</v>
      </c>
      <c r="E6" s="622">
        <f>+'Revenue Projections Detail'!D16</f>
        <v>14424463</v>
      </c>
      <c r="F6" s="622">
        <f>+'Revenue Projections Detail'!E16</f>
        <v>14913142</v>
      </c>
      <c r="G6" s="622">
        <f>+'Revenue Projections Detail'!F16</f>
        <v>15498658</v>
      </c>
      <c r="H6" s="622">
        <f>+'Revenue Projections Detail'!G16</f>
        <v>16526913.970000001</v>
      </c>
      <c r="I6" s="622">
        <f>+'Revenue Projections Detail'!H16</f>
        <v>17512031</v>
      </c>
      <c r="J6" s="622">
        <f>+'Revenue Projections Detail'!I16</f>
        <v>18669482</v>
      </c>
      <c r="K6" s="622">
        <f>+'Revenue Projections Detail'!J16</f>
        <v>19598503</v>
      </c>
      <c r="L6" s="637">
        <f>+'Revenue Projections Detail'!K16</f>
        <v>19547437</v>
      </c>
      <c r="M6" s="637">
        <f>+'Revenue Projections Detail'!L16</f>
        <v>20170336</v>
      </c>
      <c r="N6" s="637">
        <f>+'Revenue Projections Detail'!M16</f>
        <v>20138114</v>
      </c>
      <c r="O6" s="640">
        <f>+'Revenue Projections Detail'!N16</f>
        <v>20877816</v>
      </c>
      <c r="P6" s="637">
        <f>+'Revenue Projections Detail'!O16</f>
        <v>20453998</v>
      </c>
      <c r="Q6" s="640">
        <f>+'Revenue Projections Detail'!P16</f>
        <v>21596879</v>
      </c>
      <c r="R6" s="640">
        <f>+'Revenue Projections Detail'!R16</f>
        <v>22214448.579999998</v>
      </c>
      <c r="S6" s="622">
        <f>+R6</f>
        <v>22214448.579999998</v>
      </c>
      <c r="T6" s="621">
        <f>+R6</f>
        <v>22214448.579999998</v>
      </c>
      <c r="U6" s="621">
        <f>+T6</f>
        <v>22214448.579999998</v>
      </c>
      <c r="V6" s="622"/>
      <c r="AB6" s="622"/>
    </row>
    <row r="7" spans="1:28" x14ac:dyDescent="0.25">
      <c r="B7" s="617" t="s">
        <v>487</v>
      </c>
      <c r="C7" s="622">
        <f>+'Revenue Projections Detail'!B31</f>
        <v>1372617</v>
      </c>
      <c r="D7" s="622">
        <f>+'Revenue Projections Detail'!C31</f>
        <v>1417661</v>
      </c>
      <c r="E7" s="622">
        <f>+'Revenue Projections Detail'!D31</f>
        <v>1527291</v>
      </c>
      <c r="F7" s="622">
        <f>+'Revenue Projections Detail'!E31</f>
        <v>1542491</v>
      </c>
      <c r="G7" s="622">
        <f>+'Revenue Projections Detail'!F31</f>
        <v>1584712</v>
      </c>
      <c r="H7" s="622">
        <f>+'Revenue Projections Detail'!G31</f>
        <v>1613506</v>
      </c>
      <c r="I7" s="622">
        <f>+'Revenue Projections Detail'!H31</f>
        <v>1675209</v>
      </c>
      <c r="J7" s="622">
        <f>+'Revenue Projections Detail'!I31</f>
        <v>1791832</v>
      </c>
      <c r="K7" s="622">
        <f>+'Revenue Projections Detail'!J31</f>
        <v>1795836</v>
      </c>
      <c r="L7" s="637">
        <f>+'Revenue Projections Detail'!K31</f>
        <v>1720563</v>
      </c>
      <c r="M7" s="637">
        <f>+'Revenue Projections Detail'!L31</f>
        <v>1795344</v>
      </c>
      <c r="N7" s="637">
        <f>+'Revenue Projections Detail'!M31</f>
        <v>1843152</v>
      </c>
      <c r="O7" s="640">
        <f>+'Revenue Projections Detail'!N31</f>
        <v>1879826</v>
      </c>
      <c r="P7" s="637">
        <f>+'Revenue Projections Detail'!O31</f>
        <v>1942866</v>
      </c>
      <c r="Q7" s="640">
        <f>+'Revenue Projections Detail'!P31</f>
        <v>1914986</v>
      </c>
      <c r="R7" s="640">
        <f>+'Revenue Projections Detail'!R31</f>
        <v>2085265</v>
      </c>
      <c r="S7" s="622">
        <f t="shared" ref="S7:S29" si="0">+R7</f>
        <v>2085265</v>
      </c>
      <c r="T7" s="621">
        <f t="shared" ref="T7:T29" si="1">+R7</f>
        <v>2085265</v>
      </c>
      <c r="U7" s="621">
        <f>+T7</f>
        <v>2085265</v>
      </c>
      <c r="V7" s="622"/>
      <c r="AB7" s="622"/>
    </row>
    <row r="8" spans="1:28" x14ac:dyDescent="0.25">
      <c r="B8" s="617" t="s">
        <v>488</v>
      </c>
      <c r="C8" s="622">
        <f>+'Revenue Projections Detail'!B58</f>
        <v>0</v>
      </c>
      <c r="D8" s="622">
        <f>+'Revenue Projections Detail'!C58</f>
        <v>0</v>
      </c>
      <c r="E8" s="622">
        <f>+'Revenue Projections Detail'!D58</f>
        <v>0</v>
      </c>
      <c r="F8" s="622">
        <f>+'Revenue Projections Detail'!E58</f>
        <v>0</v>
      </c>
      <c r="G8" s="622">
        <f>+'Revenue Projections Detail'!F58</f>
        <v>0</v>
      </c>
      <c r="H8" s="622">
        <f>+'Revenue Projections Detail'!G58</f>
        <v>1784386</v>
      </c>
      <c r="I8" s="622">
        <f>+'Revenue Projections Detail'!H58</f>
        <v>1923249</v>
      </c>
      <c r="J8" s="622">
        <f>+'Revenue Projections Detail'!I58</f>
        <v>1891410</v>
      </c>
      <c r="K8" s="622">
        <f>+'Revenue Projections Detail'!J58</f>
        <v>1718900</v>
      </c>
      <c r="L8" s="637">
        <f>+'Revenue Projections Detail'!K58</f>
        <v>1972225</v>
      </c>
      <c r="M8" s="637">
        <f>+'Revenue Projections Detail'!L58</f>
        <v>1614837</v>
      </c>
      <c r="N8" s="637">
        <f>+'Revenue Projections Detail'!M58</f>
        <v>2490591</v>
      </c>
      <c r="O8" s="640">
        <f>+'Revenue Projections Detail'!N58</f>
        <v>1809276</v>
      </c>
      <c r="P8" s="637">
        <f>+'Revenue Projections Detail'!O58</f>
        <v>2073063</v>
      </c>
      <c r="Q8" s="640">
        <f>+'Revenue Projections Detail'!P58</f>
        <v>2027000</v>
      </c>
      <c r="R8" s="640">
        <f>+'Revenue Projections Detail'!R58</f>
        <v>1934538</v>
      </c>
      <c r="S8" s="622">
        <f t="shared" si="0"/>
        <v>1934538</v>
      </c>
      <c r="T8" s="621">
        <f t="shared" si="1"/>
        <v>1934538</v>
      </c>
      <c r="U8" s="621">
        <f>+T8</f>
        <v>1934538</v>
      </c>
      <c r="V8" s="622"/>
      <c r="AB8" s="622"/>
    </row>
    <row r="9" spans="1:28" x14ac:dyDescent="0.25">
      <c r="B9" s="617" t="s">
        <v>489</v>
      </c>
      <c r="C9" s="622">
        <f>+'Revenue Projections Detail'!B82</f>
        <v>250000</v>
      </c>
      <c r="D9" s="622">
        <f>+'Revenue Projections Detail'!C82</f>
        <v>250000</v>
      </c>
      <c r="E9" s="622">
        <f>+'Revenue Projections Detail'!D82</f>
        <v>250000</v>
      </c>
      <c r="F9" s="622">
        <f>+'Revenue Projections Detail'!E82</f>
        <v>250000</v>
      </c>
      <c r="G9" s="622">
        <f>+'Revenue Projections Detail'!F82</f>
        <v>250000</v>
      </c>
      <c r="H9" s="622">
        <f>+'Revenue Projections Detail'!G82</f>
        <v>200000</v>
      </c>
      <c r="I9" s="622">
        <f>+'Revenue Projections Detail'!H82</f>
        <v>150000</v>
      </c>
      <c r="J9" s="622">
        <f>+'Revenue Projections Detail'!I82</f>
        <v>100000</v>
      </c>
      <c r="K9" s="622">
        <f>+'Revenue Projections Detail'!J82</f>
        <v>0</v>
      </c>
      <c r="L9" s="637">
        <f>+'Revenue Projections Detail'!K82</f>
        <v>0</v>
      </c>
      <c r="M9" s="637">
        <f>+'Revenue Projections Detail'!L82</f>
        <v>0</v>
      </c>
      <c r="N9" s="637">
        <f>+'Revenue Projections Detail'!M82</f>
        <v>0</v>
      </c>
      <c r="O9" s="637">
        <f>+'Revenue Projections Detail'!N82</f>
        <v>0</v>
      </c>
      <c r="P9" s="637">
        <f>+'Revenue Projections Detail'!O82</f>
        <v>0</v>
      </c>
      <c r="Q9" s="637">
        <f>+'Revenue Projections Detail'!P82</f>
        <v>0</v>
      </c>
      <c r="R9" s="637">
        <f>+'Revenue Projections Detail'!R82</f>
        <v>0</v>
      </c>
      <c r="S9" s="622">
        <f t="shared" si="0"/>
        <v>0</v>
      </c>
      <c r="T9" s="621">
        <f t="shared" si="1"/>
        <v>0</v>
      </c>
      <c r="U9" s="621"/>
      <c r="V9" s="622">
        <f>+T9</f>
        <v>0</v>
      </c>
      <c r="AB9" s="622"/>
    </row>
    <row r="10" spans="1:28" x14ac:dyDescent="0.25">
      <c r="B10" s="617" t="s">
        <v>490</v>
      </c>
      <c r="C10" s="622"/>
      <c r="D10" s="622"/>
      <c r="E10" s="622"/>
      <c r="F10" s="622"/>
      <c r="G10" s="622"/>
      <c r="H10" s="622"/>
      <c r="I10" s="622"/>
      <c r="J10" s="622"/>
      <c r="K10" s="622"/>
      <c r="R10" s="637"/>
      <c r="S10" s="622">
        <f t="shared" si="0"/>
        <v>0</v>
      </c>
      <c r="T10" s="621">
        <f t="shared" si="1"/>
        <v>0</v>
      </c>
      <c r="U10" s="621"/>
      <c r="V10" s="622"/>
      <c r="AB10" s="622"/>
    </row>
    <row r="11" spans="1:28" x14ac:dyDescent="0.25">
      <c r="B11" s="617" t="s">
        <v>491</v>
      </c>
      <c r="C11" s="622">
        <f>+'Revenue Projections Detail'!B64</f>
        <v>0</v>
      </c>
      <c r="D11" s="622">
        <f>+'Revenue Projections Detail'!C64</f>
        <v>0</v>
      </c>
      <c r="E11" s="622">
        <f>+'Revenue Projections Detail'!D64</f>
        <v>0</v>
      </c>
      <c r="F11" s="622">
        <f>+'Revenue Projections Detail'!E64</f>
        <v>0</v>
      </c>
      <c r="G11" s="622">
        <f>+'Revenue Projections Detail'!F64</f>
        <v>0</v>
      </c>
      <c r="H11" s="622">
        <f>+'Revenue Projections Detail'!G64</f>
        <v>22850</v>
      </c>
      <c r="I11" s="622">
        <f>+'Revenue Projections Detail'!H64</f>
        <v>0</v>
      </c>
      <c r="J11" s="622">
        <f>+'Revenue Projections Detail'!I64</f>
        <v>0</v>
      </c>
      <c r="K11" s="622">
        <f>+'Revenue Projections Detail'!J64</f>
        <v>15439</v>
      </c>
      <c r="L11" s="637">
        <f>+'Revenue Projections Detail'!K64</f>
        <v>0</v>
      </c>
      <c r="M11" s="637">
        <f>+'Revenue Projections Detail'!L64</f>
        <v>0</v>
      </c>
      <c r="N11" s="637">
        <f>+'Revenue Projections Detail'!M64</f>
        <v>0</v>
      </c>
      <c r="O11" s="637">
        <f>+'Revenue Projections Detail'!N64</f>
        <v>0</v>
      </c>
      <c r="P11" s="637">
        <f>+'Revenue Projections Detail'!O64</f>
        <v>0</v>
      </c>
      <c r="Q11" s="637">
        <f>+'Revenue Projections Detail'!P64</f>
        <v>12099</v>
      </c>
      <c r="R11" s="637">
        <f>+'Revenue Projections Detail'!R64</f>
        <v>0</v>
      </c>
      <c r="S11" s="622">
        <f t="shared" si="0"/>
        <v>0</v>
      </c>
      <c r="T11" s="621">
        <f t="shared" si="1"/>
        <v>0</v>
      </c>
      <c r="U11" s="621"/>
      <c r="V11" s="622"/>
      <c r="W11" s="621">
        <f>+T11</f>
        <v>0</v>
      </c>
      <c r="AB11" s="622"/>
    </row>
    <row r="12" spans="1:28" x14ac:dyDescent="0.25">
      <c r="B12" s="617" t="s">
        <v>492</v>
      </c>
      <c r="C12" s="622"/>
      <c r="D12" s="622"/>
      <c r="E12" s="622"/>
      <c r="F12" s="622"/>
      <c r="G12" s="622"/>
      <c r="H12" s="622"/>
      <c r="I12" s="622"/>
      <c r="J12" s="622"/>
      <c r="K12" s="622"/>
      <c r="M12" s="637">
        <v>60</v>
      </c>
      <c r="N12" s="637">
        <v>60</v>
      </c>
      <c r="O12" s="637">
        <f>+'Revenue Projections Detail'!N70</f>
        <v>13</v>
      </c>
      <c r="P12" s="637">
        <v>60</v>
      </c>
      <c r="Q12" s="637">
        <f>+'Revenue Projections Detail'!P70</f>
        <v>7</v>
      </c>
      <c r="R12" s="637">
        <f>+'Revenue Projections Detail'!R70</f>
        <v>0</v>
      </c>
      <c r="S12" s="622">
        <f t="shared" si="0"/>
        <v>0</v>
      </c>
      <c r="T12" s="621">
        <f>+R12</f>
        <v>0</v>
      </c>
      <c r="U12" s="621"/>
      <c r="V12" s="622"/>
      <c r="W12" s="621">
        <f>+T12</f>
        <v>0</v>
      </c>
      <c r="AB12" s="622"/>
    </row>
    <row r="13" spans="1:28" x14ac:dyDescent="0.25">
      <c r="B13" s="617" t="s">
        <v>493</v>
      </c>
      <c r="C13" s="622"/>
      <c r="D13" s="622"/>
      <c r="E13" s="622"/>
      <c r="F13" s="622"/>
      <c r="G13" s="622"/>
      <c r="H13" s="622"/>
      <c r="I13" s="622"/>
      <c r="J13" s="622"/>
      <c r="K13" s="622"/>
      <c r="R13" s="637">
        <f>+'Revenue Projections Detail'!R71</f>
        <v>487</v>
      </c>
      <c r="S13" s="622">
        <f t="shared" si="0"/>
        <v>487</v>
      </c>
      <c r="T13" s="622">
        <f>+R13</f>
        <v>487</v>
      </c>
      <c r="U13" s="621"/>
      <c r="V13" s="622"/>
      <c r="W13" s="621">
        <f>+R13</f>
        <v>487</v>
      </c>
      <c r="AB13" s="622"/>
    </row>
    <row r="14" spans="1:28" x14ac:dyDescent="0.25">
      <c r="B14" s="617" t="s">
        <v>494</v>
      </c>
      <c r="C14" s="622"/>
      <c r="D14" s="622"/>
      <c r="E14" s="622"/>
      <c r="F14" s="622"/>
      <c r="G14" s="622"/>
      <c r="H14" s="622"/>
      <c r="I14" s="622"/>
      <c r="J14" s="622"/>
      <c r="K14" s="622"/>
      <c r="R14" s="637"/>
      <c r="S14" s="622">
        <f>+R14</f>
        <v>0</v>
      </c>
      <c r="T14" s="622">
        <f>+R14</f>
        <v>0</v>
      </c>
      <c r="U14" s="621"/>
      <c r="V14" s="622"/>
      <c r="W14" s="621">
        <f>+T14</f>
        <v>0</v>
      </c>
      <c r="AB14" s="622"/>
    </row>
    <row r="15" spans="1:28" x14ac:dyDescent="0.25">
      <c r="B15" s="617" t="s">
        <v>495</v>
      </c>
      <c r="C15" s="622">
        <f>+'Revenue Projections Detail'!B77</f>
        <v>89400</v>
      </c>
      <c r="D15" s="622">
        <f>+'Revenue Projections Detail'!C77</f>
        <v>94215.84</v>
      </c>
      <c r="E15" s="622">
        <f>+'Revenue Projections Detail'!D77</f>
        <v>84573.5</v>
      </c>
      <c r="F15" s="622">
        <f>+'Revenue Projections Detail'!E77</f>
        <v>80350</v>
      </c>
      <c r="G15" s="622">
        <f>+'Revenue Projections Detail'!F77</f>
        <v>102150</v>
      </c>
      <c r="H15" s="622">
        <f>+'Revenue Projections Detail'!G77</f>
        <v>97525</v>
      </c>
      <c r="I15" s="622">
        <f>+'Revenue Projections Detail'!H77</f>
        <v>234573.5</v>
      </c>
      <c r="J15" s="622">
        <f>+'Revenue Projections Detail'!I77</f>
        <v>95400</v>
      </c>
      <c r="K15" s="622">
        <f>+'Revenue Projections Detail'!J77</f>
        <v>79750</v>
      </c>
      <c r="L15" s="637">
        <f>+'Revenue Projections Detail'!K77</f>
        <v>79750</v>
      </c>
      <c r="M15" s="637">
        <v>78950</v>
      </c>
      <c r="N15" s="637">
        <v>78950</v>
      </c>
      <c r="O15" s="637">
        <f>+'Revenue Projections Detail'!N77</f>
        <v>49950</v>
      </c>
      <c r="P15" s="637">
        <v>78950</v>
      </c>
      <c r="Q15" s="637">
        <f>+'Revenue Projections Detail'!P77</f>
        <v>53250</v>
      </c>
      <c r="R15" s="637">
        <f>+'Revenue Projections Detail'!R77</f>
        <v>52250</v>
      </c>
      <c r="S15" s="622">
        <f t="shared" si="0"/>
        <v>52250</v>
      </c>
      <c r="T15" s="621">
        <f t="shared" si="1"/>
        <v>52250</v>
      </c>
      <c r="U15" s="621"/>
      <c r="V15" s="622"/>
      <c r="W15" s="621">
        <f>+T15</f>
        <v>52250</v>
      </c>
      <c r="AB15" s="622"/>
    </row>
    <row r="16" spans="1:28" x14ac:dyDescent="0.25">
      <c r="B16" s="617" t="s">
        <v>2637</v>
      </c>
      <c r="C16" s="622"/>
      <c r="D16" s="622"/>
      <c r="E16" s="622"/>
      <c r="F16" s="622"/>
      <c r="G16" s="622"/>
      <c r="H16" s="622"/>
      <c r="I16" s="622"/>
      <c r="J16" s="622"/>
      <c r="K16" s="622"/>
      <c r="R16" s="637">
        <f>+'Revenue Projections Detail'!R75</f>
        <v>26041</v>
      </c>
      <c r="S16" s="622">
        <f>+R16</f>
        <v>26041</v>
      </c>
      <c r="T16" s="621">
        <f>+R16</f>
        <v>26041</v>
      </c>
      <c r="U16" s="621"/>
      <c r="V16" s="622"/>
      <c r="W16" s="621">
        <f>+T16</f>
        <v>26041</v>
      </c>
      <c r="AB16" s="622"/>
    </row>
    <row r="17" spans="2:30" x14ac:dyDescent="0.25">
      <c r="B17" s="617" t="s">
        <v>496</v>
      </c>
      <c r="C17" s="622">
        <f>+'Revenue Projections Detail'!B81</f>
        <v>0</v>
      </c>
      <c r="D17" s="622">
        <f>+'Revenue Projections Detail'!C81</f>
        <v>0</v>
      </c>
      <c r="E17" s="622">
        <f>+'Revenue Projections Detail'!D81</f>
        <v>0</v>
      </c>
      <c r="F17" s="622">
        <f>+'Revenue Projections Detail'!E81</f>
        <v>0</v>
      </c>
      <c r="G17" s="622">
        <f>+'Revenue Projections Detail'!F81</f>
        <v>0</v>
      </c>
      <c r="H17" s="622">
        <f>+'Revenue Projections Detail'!G81</f>
        <v>201000</v>
      </c>
      <c r="I17" s="622">
        <f>+'Revenue Projections Detail'!H81</f>
        <v>194000</v>
      </c>
      <c r="J17" s="622">
        <f>+'Revenue Projections Detail'!I81</f>
        <v>370044</v>
      </c>
      <c r="K17" s="622">
        <f>+'Revenue Projections Detail'!J81</f>
        <v>471792</v>
      </c>
      <c r="L17" s="637">
        <f>+'Revenue Projections Detail'!K81</f>
        <v>571743</v>
      </c>
      <c r="M17" s="637">
        <f>+'Revenue Projections Detail'!L81</f>
        <v>283200</v>
      </c>
      <c r="N17" s="637">
        <f>+'Revenue Projections Detail'!M81</f>
        <v>283200</v>
      </c>
      <c r="O17" s="637">
        <f>+'Revenue Projections Detail'!N81</f>
        <v>251242</v>
      </c>
      <c r="P17" s="637">
        <f>+'Revenue Projections Detail'!O81</f>
        <v>0</v>
      </c>
      <c r="Q17" s="637">
        <f>+'Revenue Projections Detail'!P81</f>
        <v>2180701</v>
      </c>
      <c r="R17" s="637">
        <f>+'Revenue Projections Detail'!R81</f>
        <v>335286</v>
      </c>
      <c r="S17" s="622">
        <f t="shared" si="0"/>
        <v>335286</v>
      </c>
      <c r="T17" s="621">
        <f t="shared" si="1"/>
        <v>335286</v>
      </c>
      <c r="U17" s="621"/>
      <c r="V17" s="622">
        <f>+T17</f>
        <v>335286</v>
      </c>
      <c r="AB17" s="622"/>
    </row>
    <row r="18" spans="2:30" x14ac:dyDescent="0.25">
      <c r="B18" s="617" t="s">
        <v>497</v>
      </c>
      <c r="C18" s="622"/>
      <c r="D18" s="622"/>
      <c r="E18" s="622"/>
      <c r="F18" s="622"/>
      <c r="G18" s="622"/>
      <c r="H18" s="622"/>
      <c r="I18" s="622"/>
      <c r="J18" s="622"/>
      <c r="K18" s="622"/>
      <c r="M18" s="637">
        <v>225000</v>
      </c>
      <c r="N18" s="637">
        <v>225000</v>
      </c>
      <c r="O18" s="637">
        <v>225000</v>
      </c>
      <c r="P18" s="637">
        <v>225000</v>
      </c>
      <c r="Q18" s="637">
        <f>+'Revenue Projections Detail'!P65</f>
        <v>100000</v>
      </c>
      <c r="R18" s="637">
        <f>+'Revenue Projections Detail'!R65</f>
        <v>228500</v>
      </c>
      <c r="S18" s="622">
        <f t="shared" si="0"/>
        <v>228500</v>
      </c>
      <c r="T18" s="621">
        <f>+R18</f>
        <v>228500</v>
      </c>
      <c r="U18" s="621"/>
      <c r="V18" s="622"/>
      <c r="X18" s="621">
        <f>+R18</f>
        <v>228500</v>
      </c>
      <c r="AB18" s="622"/>
    </row>
    <row r="19" spans="2:30" x14ac:dyDescent="0.25">
      <c r="B19" s="617" t="s">
        <v>498</v>
      </c>
      <c r="C19" s="622">
        <f>+'Revenue Projections Detail'!B72+'Revenue Projections Detail'!B73</f>
        <v>166182</v>
      </c>
      <c r="D19" s="622">
        <f>+'Revenue Projections Detail'!C72+'Revenue Projections Detail'!C73</f>
        <v>274055</v>
      </c>
      <c r="E19" s="622">
        <f>+'Revenue Projections Detail'!D72+'Revenue Projections Detail'!D73</f>
        <v>113000</v>
      </c>
      <c r="F19" s="622">
        <f>+'Revenue Projections Detail'!E72+'Revenue Projections Detail'!E73</f>
        <v>136000</v>
      </c>
      <c r="G19" s="622">
        <f>+'Revenue Projections Detail'!F72+'Revenue Projections Detail'!F73</f>
        <v>228500</v>
      </c>
      <c r="H19" s="622">
        <f>+'Revenue Projections Detail'!G72+'Revenue Projections Detail'!G73</f>
        <v>0</v>
      </c>
      <c r="I19" s="622">
        <f>+'Revenue Projections Detail'!H72+'Revenue Projections Detail'!H73</f>
        <v>0</v>
      </c>
      <c r="J19" s="622">
        <f>+'Revenue Projections Detail'!I72+'Revenue Projections Detail'!I73</f>
        <v>0</v>
      </c>
      <c r="K19" s="622">
        <f>+'Revenue Projections Detail'!J72+'Revenue Projections Detail'!J73</f>
        <v>0</v>
      </c>
      <c r="L19" s="637">
        <f>+'Revenue Projections Detail'!K72+'Revenue Projections Detail'!K73</f>
        <v>0</v>
      </c>
      <c r="M19" s="637">
        <f>+'Revenue Projections Detail'!L72+'Revenue Projections Detail'!L73</f>
        <v>0</v>
      </c>
      <c r="N19" s="637">
        <f>+'Revenue Projections Detail'!M72+'Revenue Projections Detail'!M73</f>
        <v>0</v>
      </c>
      <c r="O19" s="637">
        <f>+'Revenue Projections Detail'!N72+'Revenue Projections Detail'!N73</f>
        <v>0</v>
      </c>
      <c r="P19" s="637">
        <f>+'Revenue Projections Detail'!O72+'Revenue Projections Detail'!O73</f>
        <v>0</v>
      </c>
      <c r="Q19" s="637">
        <f>+'Revenue Projections Detail'!P72+'Revenue Projections Detail'!P73</f>
        <v>0</v>
      </c>
      <c r="R19" s="637">
        <f>+'Revenue Projections Detail'!R72+'Revenue Projections Detail'!R73</f>
        <v>0</v>
      </c>
      <c r="S19" s="622">
        <f t="shared" si="0"/>
        <v>0</v>
      </c>
      <c r="T19" s="621">
        <f t="shared" si="1"/>
        <v>0</v>
      </c>
      <c r="U19" s="621"/>
      <c r="V19" s="622"/>
      <c r="X19" s="621">
        <f>+T19</f>
        <v>0</v>
      </c>
      <c r="AB19" s="622"/>
    </row>
    <row r="20" spans="2:30" x14ac:dyDescent="0.25">
      <c r="B20" s="617" t="s">
        <v>499</v>
      </c>
      <c r="C20" s="622">
        <f>+'Revenue Projections Detail'!B68</f>
        <v>24000</v>
      </c>
      <c r="D20" s="622">
        <f>+'Revenue Projections Detail'!C68</f>
        <v>0</v>
      </c>
      <c r="E20" s="622">
        <f>+'Revenue Projections Detail'!D68</f>
        <v>0</v>
      </c>
      <c r="F20" s="622">
        <f>+'Revenue Projections Detail'!E68</f>
        <v>0</v>
      </c>
      <c r="G20" s="622">
        <f>+'Revenue Projections Detail'!F68</f>
        <v>0</v>
      </c>
      <c r="H20" s="622">
        <f>+'Revenue Projections Detail'!G68</f>
        <v>0</v>
      </c>
      <c r="I20" s="622">
        <f>+'Revenue Projections Detail'!H68</f>
        <v>53465</v>
      </c>
      <c r="J20" s="622">
        <f>+'Revenue Projections Detail'!I68</f>
        <v>0</v>
      </c>
      <c r="K20" s="622">
        <f>+'Revenue Projections Detail'!J68</f>
        <v>0</v>
      </c>
      <c r="L20" s="637">
        <f>+'Revenue Projections Detail'!K68</f>
        <v>0</v>
      </c>
      <c r="M20" s="637">
        <f>+'Revenue Projections Detail'!L68</f>
        <v>27262</v>
      </c>
      <c r="N20" s="637">
        <f>+'Revenue Projections Detail'!M68</f>
        <v>27262</v>
      </c>
      <c r="O20" s="637">
        <f>+'Revenue Projections Detail'!N68</f>
        <v>0</v>
      </c>
      <c r="P20" s="637">
        <f>+'Revenue Projections Detail'!O68</f>
        <v>0</v>
      </c>
      <c r="Q20" s="637">
        <f>+'Revenue Projections Detail'!P68</f>
        <v>0</v>
      </c>
      <c r="R20" s="637">
        <f>+'Revenue Projections Detail'!R68</f>
        <v>0</v>
      </c>
      <c r="S20" s="622">
        <f t="shared" si="0"/>
        <v>0</v>
      </c>
      <c r="T20" s="621">
        <f>+R20</f>
        <v>0</v>
      </c>
      <c r="U20" s="621"/>
      <c r="V20" s="622"/>
      <c r="AB20" s="622"/>
    </row>
    <row r="21" spans="2:30" x14ac:dyDescent="0.25">
      <c r="B21" s="617" t="s">
        <v>500</v>
      </c>
      <c r="C21" s="622"/>
      <c r="D21" s="622"/>
      <c r="E21" s="622"/>
      <c r="F21" s="622"/>
      <c r="G21" s="622"/>
      <c r="H21" s="622"/>
      <c r="I21" s="622"/>
      <c r="J21" s="622"/>
      <c r="K21" s="622"/>
      <c r="M21" s="637">
        <v>56511</v>
      </c>
      <c r="N21" s="637">
        <v>56511</v>
      </c>
      <c r="O21" s="637">
        <f>+'Revenue Projections Detail'!N67</f>
        <v>0</v>
      </c>
      <c r="P21" s="637">
        <v>56511</v>
      </c>
      <c r="Q21" s="637">
        <f>+'Revenue Projections Detail'!P67</f>
        <v>0</v>
      </c>
      <c r="R21" s="637">
        <f>+'Revenue Projections Detail'!R67</f>
        <v>0</v>
      </c>
      <c r="S21" s="622">
        <f t="shared" si="0"/>
        <v>0</v>
      </c>
      <c r="T21" s="621">
        <f>+R21</f>
        <v>0</v>
      </c>
      <c r="U21" s="621"/>
      <c r="V21" s="622"/>
      <c r="Z21" s="621">
        <f>+R21</f>
        <v>0</v>
      </c>
      <c r="AB21" s="622"/>
    </row>
    <row r="22" spans="2:30" x14ac:dyDescent="0.25">
      <c r="B22" s="617" t="s">
        <v>2017</v>
      </c>
      <c r="C22" s="622"/>
      <c r="D22" s="622"/>
      <c r="E22" s="622"/>
      <c r="F22" s="622"/>
      <c r="G22" s="622"/>
      <c r="H22" s="622"/>
      <c r="I22" s="622"/>
      <c r="J22" s="622"/>
      <c r="K22" s="622"/>
      <c r="O22" s="637">
        <v>130000</v>
      </c>
      <c r="Q22" s="637">
        <f>+'Revenue Projections Detail'!P66</f>
        <v>0</v>
      </c>
      <c r="R22" s="637">
        <f>+'Revenue Projections Detail'!R66</f>
        <v>0</v>
      </c>
      <c r="S22" s="622">
        <f t="shared" si="0"/>
        <v>0</v>
      </c>
      <c r="T22" s="621">
        <f>+'Revenue Projections Detail'!R96</f>
        <v>0</v>
      </c>
      <c r="U22" s="621"/>
      <c r="V22" s="622"/>
      <c r="AA22" s="621">
        <f>+T22</f>
        <v>0</v>
      </c>
      <c r="AB22" s="622"/>
    </row>
    <row r="23" spans="2:30" x14ac:dyDescent="0.25">
      <c r="B23" s="617" t="s">
        <v>501</v>
      </c>
      <c r="C23" s="625"/>
      <c r="D23" s="625"/>
      <c r="E23" s="625"/>
      <c r="F23" s="625"/>
      <c r="G23" s="625"/>
      <c r="H23" s="625"/>
      <c r="I23" s="625"/>
      <c r="J23" s="625"/>
      <c r="K23" s="625"/>
      <c r="L23" s="640"/>
      <c r="M23" s="640">
        <v>120050</v>
      </c>
      <c r="N23" s="640">
        <v>120050</v>
      </c>
      <c r="O23" s="640">
        <v>238800</v>
      </c>
      <c r="P23" s="640">
        <v>120050</v>
      </c>
      <c r="Q23" s="640">
        <f>+'Revenue Projections Detail'!P69</f>
        <v>0</v>
      </c>
      <c r="R23" s="640">
        <f>+'Revenue Projections Detail'!R69</f>
        <v>0</v>
      </c>
      <c r="S23" s="622">
        <f t="shared" si="0"/>
        <v>0</v>
      </c>
      <c r="T23" s="621">
        <f>+R23</f>
        <v>0</v>
      </c>
      <c r="U23" s="621"/>
      <c r="V23" s="625"/>
      <c r="W23" s="621">
        <f>+R23</f>
        <v>0</v>
      </c>
      <c r="AB23" s="625"/>
      <c r="AC23" s="614"/>
    </row>
    <row r="24" spans="2:30" x14ac:dyDescent="0.25">
      <c r="B24" s="617" t="s">
        <v>502</v>
      </c>
      <c r="C24" s="622"/>
      <c r="D24" s="622"/>
      <c r="E24" s="622"/>
      <c r="F24" s="622"/>
      <c r="G24" s="622"/>
      <c r="H24" s="622"/>
      <c r="I24" s="622"/>
      <c r="J24" s="622"/>
      <c r="K24" s="622"/>
      <c r="R24" s="637"/>
      <c r="S24" s="622">
        <f t="shared" si="0"/>
        <v>0</v>
      </c>
      <c r="T24" s="621">
        <f t="shared" si="1"/>
        <v>0</v>
      </c>
      <c r="U24" s="621"/>
      <c r="V24" s="622"/>
      <c r="AB24" s="622"/>
    </row>
    <row r="25" spans="2:30" x14ac:dyDescent="0.25">
      <c r="B25" s="617" t="s">
        <v>503</v>
      </c>
      <c r="C25" s="625">
        <f>+'Revenue Projections Detail'!B91</f>
        <v>160000</v>
      </c>
      <c r="D25" s="625">
        <f>+'Revenue Projections Detail'!C91</f>
        <v>0</v>
      </c>
      <c r="E25" s="625">
        <f>+'Revenue Projections Detail'!D91</f>
        <v>400000</v>
      </c>
      <c r="F25" s="625">
        <f>+'Revenue Projections Detail'!E91</f>
        <v>1661764</v>
      </c>
      <c r="G25" s="625" t="e">
        <f>+'Revenue Projections Detail'!F91</f>
        <v>#REF!</v>
      </c>
      <c r="H25" s="625">
        <f>+'Revenue Projections Detail'!G91</f>
        <v>0</v>
      </c>
      <c r="I25" s="625">
        <f>+'Revenue Projections Detail'!H91</f>
        <v>0</v>
      </c>
      <c r="J25" s="625">
        <f>+'Revenue Projections Detail'!I91</f>
        <v>0</v>
      </c>
      <c r="K25" s="625">
        <f>+'Revenue Projections Detail'!J91</f>
        <v>0</v>
      </c>
      <c r="L25" s="640">
        <f>+'Revenue Projections Detail'!K91</f>
        <v>0</v>
      </c>
      <c r="M25" s="640">
        <f>+'Revenue Projections Detail'!L91</f>
        <v>0</v>
      </c>
      <c r="N25" s="640">
        <f>+'Revenue Projections Detail'!M91</f>
        <v>0</v>
      </c>
      <c r="O25" s="640">
        <f>+'Revenue Projections Detail'!N91</f>
        <v>0</v>
      </c>
      <c r="P25" s="640">
        <f>+'Revenue Projections Detail'!O91</f>
        <v>0</v>
      </c>
      <c r="Q25" s="640">
        <f>+'Revenue Projections Detail'!P91</f>
        <v>0</v>
      </c>
      <c r="R25" s="640">
        <f>+'Revenue Projections Detail'!R91</f>
        <v>836500</v>
      </c>
      <c r="S25" s="622">
        <f t="shared" si="0"/>
        <v>836500</v>
      </c>
      <c r="T25" s="621">
        <f t="shared" si="1"/>
        <v>836500</v>
      </c>
      <c r="U25" s="621"/>
      <c r="V25" s="625"/>
      <c r="Y25" s="621">
        <f>+T25</f>
        <v>836500</v>
      </c>
      <c r="AB25" s="622"/>
    </row>
    <row r="26" spans="2:30" x14ac:dyDescent="0.25">
      <c r="B26" s="617" t="s">
        <v>504</v>
      </c>
      <c r="C26" s="625">
        <f>+'Revenue Projections Detail'!B92</f>
        <v>0</v>
      </c>
      <c r="D26" s="625">
        <f>+'Revenue Projections Detail'!C92</f>
        <v>0</v>
      </c>
      <c r="E26" s="625">
        <f>+'Revenue Projections Detail'!D92</f>
        <v>0</v>
      </c>
      <c r="F26" s="625">
        <f>+'Revenue Projections Detail'!E92</f>
        <v>385000</v>
      </c>
      <c r="G26" s="625" t="e">
        <f>+'Revenue Projections Detail'!F92</f>
        <v>#REF!</v>
      </c>
      <c r="H26" s="625">
        <f>+'Revenue Projections Detail'!G92</f>
        <v>385000</v>
      </c>
      <c r="I26" s="625">
        <f>+'Revenue Projections Detail'!H92</f>
        <v>521000</v>
      </c>
      <c r="J26" s="625">
        <f>+'Revenue Projections Detail'!I92</f>
        <v>0</v>
      </c>
      <c r="K26" s="625">
        <f>+'Revenue Projections Detail'!J92</f>
        <v>0</v>
      </c>
      <c r="L26" s="640">
        <f>+'Revenue Projections Detail'!K92</f>
        <v>0</v>
      </c>
      <c r="M26" s="640">
        <f>+'Revenue Projections Detail'!L92</f>
        <v>0</v>
      </c>
      <c r="N26" s="640">
        <f>+'Revenue Projections Detail'!M92</f>
        <v>0</v>
      </c>
      <c r="O26" s="640">
        <f>+'Revenue Projections Detail'!N92</f>
        <v>0</v>
      </c>
      <c r="P26" s="640">
        <f>+'Revenue Projections Detail'!O92</f>
        <v>0</v>
      </c>
      <c r="Q26" s="640">
        <f>+'Revenue Projections Detail'!P92</f>
        <v>0</v>
      </c>
      <c r="R26" s="640">
        <f>+'Revenue Projections Detail'!R92</f>
        <v>283800</v>
      </c>
      <c r="S26" s="622">
        <f t="shared" si="0"/>
        <v>283800</v>
      </c>
      <c r="T26" s="621">
        <f t="shared" si="1"/>
        <v>283800</v>
      </c>
      <c r="U26" s="621"/>
      <c r="V26" s="625"/>
      <c r="AA26" s="621">
        <f>+T26</f>
        <v>283800</v>
      </c>
      <c r="AB26" s="622"/>
    </row>
    <row r="27" spans="2:30" x14ac:dyDescent="0.25">
      <c r="B27" s="617" t="s">
        <v>505</v>
      </c>
      <c r="C27" s="625"/>
      <c r="D27" s="625"/>
      <c r="E27" s="625"/>
      <c r="F27" s="625"/>
      <c r="G27" s="625"/>
      <c r="H27" s="625"/>
      <c r="I27" s="625"/>
      <c r="J27" s="625"/>
      <c r="K27" s="625"/>
      <c r="L27" s="640"/>
      <c r="M27" s="640"/>
      <c r="N27" s="640"/>
      <c r="O27" s="640">
        <f>+'Revenue Projections Detail'!R97</f>
        <v>0</v>
      </c>
      <c r="P27" s="640"/>
      <c r="Q27" s="640">
        <f>+'Revenue Projections Detail'!P97</f>
        <v>352364</v>
      </c>
      <c r="R27" s="640">
        <f>+'Revenue Projections Detail'!R97</f>
        <v>0</v>
      </c>
      <c r="S27" s="622">
        <f t="shared" si="0"/>
        <v>0</v>
      </c>
      <c r="T27" s="621">
        <f>+R27</f>
        <v>0</v>
      </c>
      <c r="U27" s="621"/>
      <c r="V27" s="625"/>
      <c r="AA27" s="621">
        <f>+T27</f>
        <v>0</v>
      </c>
      <c r="AB27" s="622"/>
    </row>
    <row r="28" spans="2:30" x14ac:dyDescent="0.25">
      <c r="B28" s="617" t="s">
        <v>506</v>
      </c>
      <c r="C28" s="622">
        <f>+'Revenue Projections Detail'!B95</f>
        <v>1693865</v>
      </c>
      <c r="D28" s="622">
        <f>+'Revenue Projections Detail'!C95</f>
        <v>1866887</v>
      </c>
      <c r="E28" s="622">
        <f>+'Revenue Projections Detail'!D95</f>
        <v>1687525</v>
      </c>
      <c r="F28" s="622">
        <f>+'Revenue Projections Detail'!E95</f>
        <v>1913646</v>
      </c>
      <c r="G28" s="622">
        <f>+'Revenue Projections Detail'!F95</f>
        <v>2250472</v>
      </c>
      <c r="H28" s="622">
        <f>+'Revenue Projections Detail'!G95</f>
        <v>2627714</v>
      </c>
      <c r="I28" s="622">
        <f>+'Revenue Projections Detail'!H95</f>
        <v>2241379</v>
      </c>
      <c r="J28" s="622">
        <v>2320727</v>
      </c>
      <c r="K28" s="622">
        <v>2320727</v>
      </c>
      <c r="L28" s="637">
        <f>+'Revenue Projections Detail'!K95</f>
        <v>2404070</v>
      </c>
      <c r="M28" s="637">
        <f>+'Revenue Projections Detail'!L95</f>
        <v>2335742</v>
      </c>
      <c r="N28" s="637">
        <f>+'Revenue Projections Detail'!M95</f>
        <v>0</v>
      </c>
      <c r="O28" s="637">
        <f>+'Revenue Projections Detail'!N95</f>
        <v>2605938</v>
      </c>
      <c r="P28" s="637">
        <f>+'Revenue Projections Detail'!O95</f>
        <v>0</v>
      </c>
      <c r="Q28" s="637">
        <f>+'Revenue Projections Detail'!P95</f>
        <v>2719224</v>
      </c>
      <c r="R28" s="637">
        <f>+'Revenue Projections Detail'!R95</f>
        <v>2759825</v>
      </c>
      <c r="S28" s="622">
        <f t="shared" si="0"/>
        <v>2759825</v>
      </c>
      <c r="T28" s="621">
        <f t="shared" si="1"/>
        <v>2759825</v>
      </c>
      <c r="U28" s="621"/>
      <c r="V28" s="622"/>
      <c r="AA28" s="621">
        <f>+T28</f>
        <v>2759825</v>
      </c>
    </row>
    <row r="29" spans="2:30" x14ac:dyDescent="0.25">
      <c r="B29" s="617" t="s">
        <v>507</v>
      </c>
      <c r="C29" s="623">
        <f>+'Revenue Projections Detail'!B98</f>
        <v>31461</v>
      </c>
      <c r="D29" s="623">
        <f>+'Revenue Projections Detail'!C98</f>
        <v>33809</v>
      </c>
      <c r="E29" s="623">
        <f>+'Revenue Projections Detail'!D98</f>
        <v>27165</v>
      </c>
      <c r="F29" s="623">
        <f>+'Revenue Projections Detail'!E98</f>
        <v>30847</v>
      </c>
      <c r="G29" s="623">
        <f>+'Revenue Projections Detail'!F98</f>
        <v>31987</v>
      </c>
      <c r="H29" s="623">
        <f>+'Revenue Projections Detail'!G98</f>
        <v>33258</v>
      </c>
      <c r="I29" s="623">
        <f>+'Revenue Projections Detail'!H98</f>
        <v>36096</v>
      </c>
      <c r="J29" s="623">
        <v>46984</v>
      </c>
      <c r="K29" s="623">
        <v>46984</v>
      </c>
      <c r="L29" s="639">
        <f>+'Revenue Projections Detail'!K98</f>
        <v>59089</v>
      </c>
      <c r="M29" s="639">
        <f>+'Revenue Projections Detail'!L98</f>
        <v>206164</v>
      </c>
      <c r="N29" s="639">
        <f>+'Revenue Projections Detail'!M98</f>
        <v>0</v>
      </c>
      <c r="O29" s="639">
        <f>+'Revenue Projections Detail'!N98</f>
        <v>316015</v>
      </c>
      <c r="P29" s="639">
        <f>+'Revenue Projections Detail'!O98</f>
        <v>0</v>
      </c>
      <c r="Q29" s="639">
        <f>+'Revenue Projections Detail'!P98</f>
        <v>426965</v>
      </c>
      <c r="R29" s="639">
        <f>+'Revenue Projections Detail'!R98</f>
        <v>286043</v>
      </c>
      <c r="S29" s="623">
        <f t="shared" si="0"/>
        <v>286043</v>
      </c>
      <c r="T29" s="624">
        <f t="shared" si="1"/>
        <v>286043</v>
      </c>
      <c r="U29" s="624"/>
      <c r="V29" s="623"/>
      <c r="W29" s="624"/>
      <c r="X29" s="624"/>
      <c r="Y29" s="624"/>
      <c r="Z29" s="624"/>
      <c r="AA29" s="624"/>
      <c r="AB29" s="624">
        <f>+T29</f>
        <v>286043</v>
      </c>
    </row>
    <row r="30" spans="2:30" x14ac:dyDescent="0.25">
      <c r="B30" s="617" t="s">
        <v>508</v>
      </c>
      <c r="C30" s="622">
        <f t="shared" ref="C30:AB30" si="2">SUM(C6:C29)</f>
        <v>17289092</v>
      </c>
      <c r="D30" s="622">
        <f t="shared" si="2"/>
        <v>17943688.84</v>
      </c>
      <c r="E30" s="622">
        <f t="shared" si="2"/>
        <v>18514017.5</v>
      </c>
      <c r="F30" s="622">
        <f t="shared" si="2"/>
        <v>20913240</v>
      </c>
      <c r="G30" s="622" t="e">
        <f t="shared" si="2"/>
        <v>#REF!</v>
      </c>
      <c r="H30" s="622">
        <f t="shared" si="2"/>
        <v>23492152.969999999</v>
      </c>
      <c r="I30" s="622">
        <f t="shared" si="2"/>
        <v>24541002.5</v>
      </c>
      <c r="J30" s="622">
        <f t="shared" si="2"/>
        <v>25285879</v>
      </c>
      <c r="K30" s="622">
        <f t="shared" ref="K30" si="3">SUM(K6:K29)</f>
        <v>26047931</v>
      </c>
      <c r="L30" s="637">
        <f t="shared" si="2"/>
        <v>26354877</v>
      </c>
      <c r="M30" s="637">
        <f t="shared" ref="M30" si="4">SUM(M6:M29)</f>
        <v>26913456</v>
      </c>
      <c r="N30" s="637">
        <f t="shared" ref="N30" si="5">SUM(N6:N29)</f>
        <v>25262890</v>
      </c>
      <c r="O30" s="637">
        <f t="shared" ref="O30:Q30" si="6">SUM(O6:O29)</f>
        <v>28383876</v>
      </c>
      <c r="P30" s="637">
        <f t="shared" si="6"/>
        <v>24950498</v>
      </c>
      <c r="Q30" s="637">
        <f t="shared" si="6"/>
        <v>31383475</v>
      </c>
      <c r="R30" s="622">
        <f t="shared" si="2"/>
        <v>31042983.579999998</v>
      </c>
      <c r="S30" s="622">
        <f t="shared" si="2"/>
        <v>31042983.579999998</v>
      </c>
      <c r="T30" s="622">
        <f>SUM(T6:T29)</f>
        <v>31042983.579999998</v>
      </c>
      <c r="U30" s="622">
        <f t="shared" si="2"/>
        <v>26234251.579999998</v>
      </c>
      <c r="V30" s="622">
        <f t="shared" si="2"/>
        <v>335286</v>
      </c>
      <c r="W30" s="622">
        <f t="shared" si="2"/>
        <v>78778</v>
      </c>
      <c r="X30" s="622">
        <f t="shared" si="2"/>
        <v>228500</v>
      </c>
      <c r="Y30" s="622">
        <f t="shared" si="2"/>
        <v>836500</v>
      </c>
      <c r="Z30" s="622">
        <f t="shared" si="2"/>
        <v>0</v>
      </c>
      <c r="AA30" s="622">
        <f t="shared" si="2"/>
        <v>3043625</v>
      </c>
      <c r="AB30" s="622">
        <f t="shared" si="2"/>
        <v>286043</v>
      </c>
      <c r="AD30" s="2"/>
    </row>
    <row r="31" spans="2:30" x14ac:dyDescent="0.25">
      <c r="B31" s="621"/>
      <c r="C31" s="621"/>
      <c r="D31" s="621"/>
      <c r="E31" s="621"/>
      <c r="F31" s="621"/>
      <c r="G31" s="621"/>
      <c r="H31" s="621"/>
      <c r="I31" s="621"/>
      <c r="J31" s="621"/>
      <c r="K31" s="621"/>
      <c r="R31" s="622"/>
      <c r="S31" s="622"/>
      <c r="T31" s="621">
        <f>SUM(U30:AB30)</f>
        <v>31042983.579999998</v>
      </c>
      <c r="U31" s="621"/>
      <c r="V31" s="622"/>
      <c r="AB31" s="622"/>
    </row>
    <row r="32" spans="2:30" x14ac:dyDescent="0.25">
      <c r="B32" s="621" t="s">
        <v>509</v>
      </c>
      <c r="C32" s="621"/>
      <c r="D32" s="621"/>
      <c r="E32" s="621"/>
      <c r="F32" s="621"/>
      <c r="G32" s="621"/>
      <c r="H32" s="621"/>
      <c r="I32" s="621"/>
      <c r="J32" s="621"/>
      <c r="K32" s="621"/>
      <c r="R32" s="622"/>
      <c r="S32" s="622"/>
      <c r="T32" s="621"/>
      <c r="U32" s="621"/>
      <c r="V32" s="622"/>
      <c r="AB32" s="622"/>
    </row>
    <row r="33" spans="1:28" x14ac:dyDescent="0.25">
      <c r="B33" s="621" t="s">
        <v>510</v>
      </c>
      <c r="C33" s="621"/>
      <c r="D33" s="621"/>
      <c r="E33" s="621"/>
      <c r="F33" s="621"/>
      <c r="G33" s="621"/>
      <c r="H33" s="621"/>
      <c r="I33" s="621"/>
      <c r="J33" s="621"/>
      <c r="K33" s="621"/>
      <c r="L33" s="637">
        <f>+L30-SUM(L24:L29)-L15</f>
        <v>23811968</v>
      </c>
      <c r="M33" s="637">
        <f>+M30-SUM(M24:M29)-M15</f>
        <v>24292600</v>
      </c>
      <c r="R33" s="621">
        <f>+R30-SUM(R24:R29)-R15</f>
        <v>26824565.579999998</v>
      </c>
      <c r="T33" s="621">
        <f>+T30-SUM(T24:T29)-T15</f>
        <v>26824565.579999998</v>
      </c>
      <c r="U33" s="785"/>
      <c r="V33" s="622"/>
      <c r="AB33" s="622"/>
    </row>
    <row r="34" spans="1:28" x14ac:dyDescent="0.25">
      <c r="B34" s="621" t="s">
        <v>511</v>
      </c>
      <c r="C34" s="621"/>
      <c r="D34" s="621"/>
      <c r="E34" s="621"/>
      <c r="F34" s="621"/>
      <c r="G34" s="621"/>
      <c r="H34" s="621"/>
      <c r="I34" s="621"/>
      <c r="J34" s="621"/>
      <c r="K34" s="621"/>
      <c r="R34" s="622"/>
      <c r="S34" s="622"/>
      <c r="T34" s="621"/>
      <c r="U34" s="785"/>
      <c r="V34" s="622"/>
      <c r="AB34" s="622"/>
    </row>
    <row r="36" spans="1:28" x14ac:dyDescent="0.25">
      <c r="C36" s="618" t="s">
        <v>461</v>
      </c>
      <c r="D36" s="618" t="s">
        <v>462</v>
      </c>
      <c r="E36" s="618" t="s">
        <v>463</v>
      </c>
      <c r="F36" s="618" t="s">
        <v>464</v>
      </c>
      <c r="G36" s="618" t="s">
        <v>465</v>
      </c>
      <c r="H36" s="618" t="s">
        <v>466</v>
      </c>
      <c r="I36" s="618" t="s">
        <v>467</v>
      </c>
      <c r="J36" s="619" t="s">
        <v>468</v>
      </c>
      <c r="K36" s="619" t="s">
        <v>251</v>
      </c>
      <c r="L36" s="636" t="s">
        <v>251</v>
      </c>
      <c r="M36" s="636" t="s">
        <v>252</v>
      </c>
      <c r="N36" s="636" t="s">
        <v>252</v>
      </c>
      <c r="O36" s="619" t="s">
        <v>253</v>
      </c>
      <c r="P36" s="619" t="s">
        <v>2032</v>
      </c>
      <c r="Q36" s="619" t="s">
        <v>469</v>
      </c>
      <c r="R36" s="619" t="s">
        <v>1345</v>
      </c>
      <c r="S36" s="619" t="s">
        <v>1345</v>
      </c>
      <c r="T36" s="619" t="s">
        <v>1345</v>
      </c>
      <c r="U36" s="619"/>
      <c r="W36" s="622"/>
    </row>
    <row r="37" spans="1:28" x14ac:dyDescent="0.25">
      <c r="C37" s="618" t="s">
        <v>256</v>
      </c>
      <c r="D37" s="618" t="s">
        <v>256</v>
      </c>
      <c r="E37" s="618" t="s">
        <v>256</v>
      </c>
      <c r="F37" s="618" t="s">
        <v>256</v>
      </c>
      <c r="G37" s="618" t="s">
        <v>256</v>
      </c>
      <c r="H37" s="618" t="s">
        <v>256</v>
      </c>
      <c r="I37" s="618" t="s">
        <v>256</v>
      </c>
      <c r="J37" s="618" t="s">
        <v>256</v>
      </c>
      <c r="K37" s="618" t="s">
        <v>255</v>
      </c>
      <c r="L37" s="636" t="s">
        <v>256</v>
      </c>
      <c r="M37" s="636" t="s">
        <v>255</v>
      </c>
      <c r="N37" s="636" t="s">
        <v>256</v>
      </c>
      <c r="O37" s="636" t="s">
        <v>255</v>
      </c>
      <c r="P37" s="636" t="s">
        <v>256</v>
      </c>
      <c r="Q37" s="636" t="s">
        <v>255</v>
      </c>
      <c r="R37" s="619" t="s">
        <v>471</v>
      </c>
      <c r="S37" s="619" t="s">
        <v>472</v>
      </c>
      <c r="T37" s="620" t="s">
        <v>473</v>
      </c>
      <c r="U37" s="620"/>
      <c r="W37" s="622"/>
    </row>
    <row r="38" spans="1:28" x14ac:dyDescent="0.25">
      <c r="B38" s="617" t="s">
        <v>512</v>
      </c>
      <c r="R38" s="622"/>
      <c r="S38" s="622"/>
      <c r="U38" s="621"/>
      <c r="W38" s="622"/>
    </row>
    <row r="39" spans="1:28" x14ac:dyDescent="0.25">
      <c r="A39" s="762">
        <v>113</v>
      </c>
      <c r="B39" s="617" t="s">
        <v>513</v>
      </c>
      <c r="C39" s="622">
        <f>+'113 Town Mtg'!C23</f>
        <v>1561.73</v>
      </c>
      <c r="D39" s="622">
        <f>+'113 Town Mtg'!D23</f>
        <v>1423.38</v>
      </c>
      <c r="E39" s="622">
        <f>+'113 Town Mtg'!E23</f>
        <v>1614.6</v>
      </c>
      <c r="F39" s="622">
        <f>+'113 Town Mtg'!F23</f>
        <v>1368.86</v>
      </c>
      <c r="G39" s="622">
        <f>+'113 Town Mtg'!G23</f>
        <v>1581.73</v>
      </c>
      <c r="H39" s="622">
        <f>+'113 Town Mtg'!H23</f>
        <v>1783.82</v>
      </c>
      <c r="I39" s="622">
        <f>+'113 Town Mtg'!I23</f>
        <v>1800</v>
      </c>
      <c r="J39" s="622">
        <f>+'113 Town Mtg'!J23</f>
        <v>4037.63</v>
      </c>
      <c r="K39" s="622">
        <f>+'113 Town Mtg'!K23</f>
        <v>2090</v>
      </c>
      <c r="L39" s="637">
        <f>+'113 Town Mtg'!L23</f>
        <v>1403.7</v>
      </c>
      <c r="M39" s="637">
        <f>+'113 Town Mtg'!M23</f>
        <v>2140</v>
      </c>
      <c r="N39" s="637">
        <f>+'113 Town Mtg'!N23</f>
        <v>2140</v>
      </c>
      <c r="O39" s="637">
        <f>+'113 Town Mtg'!O23</f>
        <v>2390</v>
      </c>
      <c r="P39" s="637">
        <f>+'113 Town Mtg'!P23</f>
        <v>2168.48</v>
      </c>
      <c r="Q39" s="637">
        <f>+'113 Town Mtg'!Q23</f>
        <v>2980</v>
      </c>
      <c r="R39" s="622">
        <f>ROUND((+'113 Town Mtg'!S23),0)</f>
        <v>3180</v>
      </c>
      <c r="S39" s="622">
        <f>ROUND((+'113 Town Mtg'!T23),0)</f>
        <v>3180</v>
      </c>
      <c r="T39" s="622">
        <f>ROUND((+'113 Town Mtg'!U23),0)</f>
        <v>3180</v>
      </c>
      <c r="W39" s="622"/>
    </row>
    <row r="40" spans="1:28" x14ac:dyDescent="0.25">
      <c r="A40" s="762">
        <v>122</v>
      </c>
      <c r="B40" s="617" t="s">
        <v>514</v>
      </c>
      <c r="C40" s="622">
        <f>+'122 Selectboard'!C36</f>
        <v>129636.18999999999</v>
      </c>
      <c r="D40" s="622">
        <f>+'122 Selectboard'!D36</f>
        <v>141863.65000000002</v>
      </c>
      <c r="E40" s="622">
        <f>+'122 Selectboard'!E36</f>
        <v>148667.49</v>
      </c>
      <c r="F40" s="622">
        <f>+'122 Selectboard'!F36</f>
        <v>155552.90000000002</v>
      </c>
      <c r="G40" s="622">
        <f>+'122 Selectboard'!G36</f>
        <v>193441</v>
      </c>
      <c r="H40" s="622">
        <f>+'122 Selectboard'!H36</f>
        <v>175165.72999999998</v>
      </c>
      <c r="I40" s="622">
        <f>+'122 Selectboard'!I36</f>
        <v>172490.09999999998</v>
      </c>
      <c r="J40" s="622">
        <f>+'122 Selectboard'!J36</f>
        <v>181145.66999999998</v>
      </c>
      <c r="K40" s="622">
        <f>+'122 Selectboard'!K36</f>
        <v>198014</v>
      </c>
      <c r="L40" s="637">
        <f>+'122 Selectboard'!L36</f>
        <v>189784.35</v>
      </c>
      <c r="M40" s="637">
        <f>+'122 Selectboard'!M36</f>
        <v>194729</v>
      </c>
      <c r="N40" s="637">
        <f>+'122 Selectboard'!N36</f>
        <v>190329.96</v>
      </c>
      <c r="O40" s="637">
        <f>+'122 Selectboard'!O36</f>
        <v>313510</v>
      </c>
      <c r="P40" s="637">
        <f>+'122 Selectboard'!P36</f>
        <v>284637.33999999997</v>
      </c>
      <c r="Q40" s="637">
        <f>+'122 Selectboard'!Q36</f>
        <v>330581</v>
      </c>
      <c r="R40" s="622">
        <f>ROUND((+'122 Selectboard'!S36),0)</f>
        <v>326230</v>
      </c>
      <c r="S40" s="622">
        <f>ROUND((+'122 Selectboard'!T36),0)</f>
        <v>326230</v>
      </c>
      <c r="T40" s="622">
        <f>ROUND((+'122 Selectboard'!U36),0)</f>
        <v>326230</v>
      </c>
      <c r="W40" s="622"/>
    </row>
    <row r="41" spans="1:28" x14ac:dyDescent="0.25">
      <c r="A41" s="762">
        <v>131</v>
      </c>
      <c r="B41" s="617" t="s">
        <v>515</v>
      </c>
      <c r="C41" s="622">
        <f>+'131 Fin Comm'!C20</f>
        <v>659.25</v>
      </c>
      <c r="D41" s="622">
        <f>+'131 Fin Comm'!D20</f>
        <v>315.39999999999998</v>
      </c>
      <c r="E41" s="622">
        <f>+'131 Fin Comm'!E20</f>
        <v>571.79999999999995</v>
      </c>
      <c r="F41" s="622">
        <f>+'131 Fin Comm'!F20</f>
        <v>615.22</v>
      </c>
      <c r="G41" s="622">
        <f>+'131 Fin Comm'!G20</f>
        <v>422</v>
      </c>
      <c r="H41" s="622">
        <f>+'131 Fin Comm'!H20</f>
        <v>468</v>
      </c>
      <c r="I41" s="622">
        <f>+'131 Fin Comm'!I20</f>
        <v>673.07999999999993</v>
      </c>
      <c r="J41" s="622">
        <f>+'131 Fin Comm'!J20</f>
        <v>464.1</v>
      </c>
      <c r="K41" s="622">
        <f>+'131 Fin Comm'!K20</f>
        <v>1000</v>
      </c>
      <c r="L41" s="637">
        <f>+'131 Fin Comm'!L20</f>
        <v>280</v>
      </c>
      <c r="M41" s="637">
        <f>+'131 Fin Comm'!M20</f>
        <v>2000</v>
      </c>
      <c r="N41" s="637">
        <f>+'131 Fin Comm'!N20</f>
        <v>1915.75</v>
      </c>
      <c r="O41" s="637">
        <f>+'131 Fin Comm'!O20</f>
        <v>2000</v>
      </c>
      <c r="P41" s="637">
        <f>+'131 Fin Comm'!P20</f>
        <v>981.89</v>
      </c>
      <c r="Q41" s="637">
        <f>+'131 Fin Comm'!Q20</f>
        <v>2000</v>
      </c>
      <c r="R41" s="622">
        <f>ROUND((+'131 Fin Comm'!S20),0)</f>
        <v>600</v>
      </c>
      <c r="S41" s="622">
        <f>ROUND((+'131 Fin Comm'!T20),0)</f>
        <v>600</v>
      </c>
      <c r="T41" s="622">
        <f>ROUND((+'131 Fin Comm'!U20),0)</f>
        <v>600</v>
      </c>
      <c r="W41" s="622"/>
    </row>
    <row r="42" spans="1:28" x14ac:dyDescent="0.25">
      <c r="A42" s="762">
        <v>132</v>
      </c>
      <c r="B42" s="617" t="s">
        <v>516</v>
      </c>
      <c r="C42" s="622">
        <f>+'132 Reserve Fund'!C14</f>
        <v>44620</v>
      </c>
      <c r="D42" s="622">
        <f>+'132 Reserve Fund'!D14</f>
        <v>24500</v>
      </c>
      <c r="E42" s="622">
        <f>+'132 Reserve Fund'!E14</f>
        <v>41400</v>
      </c>
      <c r="F42" s="622">
        <f>+'132 Reserve Fund'!F14</f>
        <v>55839.67</v>
      </c>
      <c r="G42" s="622">
        <f>+'132 Reserve Fund'!G14</f>
        <v>58400.800000000003</v>
      </c>
      <c r="H42" s="622">
        <f>+'132 Reserve Fund'!H14</f>
        <v>43309.74</v>
      </c>
      <c r="I42" s="622">
        <f>+'132 Reserve Fund'!I14</f>
        <v>20200</v>
      </c>
      <c r="J42" s="622">
        <f>+'132 Reserve Fund'!J14</f>
        <v>29700</v>
      </c>
      <c r="K42" s="622">
        <f>+'132 Reserve Fund'!K14</f>
        <v>60000</v>
      </c>
      <c r="L42" s="637">
        <f>+'132 Reserve Fund'!L14</f>
        <v>18500</v>
      </c>
      <c r="M42" s="637">
        <f>+'132 Reserve Fund'!M14</f>
        <v>60000</v>
      </c>
      <c r="N42" s="637">
        <f>+'132 Reserve Fund'!N14</f>
        <v>28650</v>
      </c>
      <c r="O42" s="637">
        <f>+'132 Reserve Fund'!O14</f>
        <v>50000</v>
      </c>
      <c r="P42" s="637">
        <f>+'132 Reserve Fund'!P14</f>
        <v>75725</v>
      </c>
      <c r="Q42" s="637">
        <f>+'132 Reserve Fund'!Q14</f>
        <v>50000</v>
      </c>
      <c r="R42" s="622">
        <f>ROUND((+'132 Reserve Fund'!S14),0)</f>
        <v>50000</v>
      </c>
      <c r="S42" s="622">
        <f>ROUND((+'132 Reserve Fund'!T14),0)</f>
        <v>50000</v>
      </c>
      <c r="T42" s="622">
        <f>ROUND((+'132 Reserve Fund'!U14),0)</f>
        <v>50000</v>
      </c>
      <c r="W42" s="622"/>
    </row>
    <row r="43" spans="1:28" x14ac:dyDescent="0.25">
      <c r="A43" s="762">
        <v>135</v>
      </c>
      <c r="B43" s="617" t="s">
        <v>517</v>
      </c>
      <c r="C43" s="622">
        <f>+'135 Acct'!C29</f>
        <v>69678.560000000012</v>
      </c>
      <c r="D43" s="622">
        <f>+'135 Acct'!D29</f>
        <v>69599.66</v>
      </c>
      <c r="E43" s="622">
        <f>+'135 Acct'!E29</f>
        <v>73935.94</v>
      </c>
      <c r="F43" s="622">
        <f>+'135 Acct'!F29</f>
        <v>76437.100000000006</v>
      </c>
      <c r="G43" s="622">
        <f>+'135 Acct'!G29</f>
        <v>75098.350000000006</v>
      </c>
      <c r="H43" s="622">
        <f>+'135 Acct'!H29</f>
        <v>75900.149999999994</v>
      </c>
      <c r="I43" s="622">
        <f>+'135 Acct'!I29</f>
        <v>77521.61</v>
      </c>
      <c r="J43" s="622">
        <f>+'135 Acct'!J29</f>
        <v>80373.84</v>
      </c>
      <c r="K43" s="622">
        <f>+'135 Acct'!K29</f>
        <v>81934</v>
      </c>
      <c r="L43" s="637">
        <f>+'135 Acct'!L29</f>
        <v>81589.320000000007</v>
      </c>
      <c r="M43" s="637">
        <f>+'135 Acct'!M29</f>
        <v>83400</v>
      </c>
      <c r="N43" s="637">
        <f>+'135 Acct'!N29</f>
        <v>82671.81</v>
      </c>
      <c r="O43" s="637">
        <f>+'135 Acct'!O29</f>
        <v>90884</v>
      </c>
      <c r="P43" s="637">
        <f>+'135 Acct'!P29</f>
        <v>87417.45</v>
      </c>
      <c r="Q43" s="637">
        <f>+'135 Acct'!Q29</f>
        <v>90500</v>
      </c>
      <c r="R43" s="622">
        <f>ROUND((+'135 Acct'!S29),0)</f>
        <v>93000</v>
      </c>
      <c r="S43" s="622">
        <f>ROUND((+'135 Acct'!T29),0)</f>
        <v>93000</v>
      </c>
      <c r="T43" s="622">
        <f>ROUND((+'135 Acct'!U29),0)</f>
        <v>93000</v>
      </c>
      <c r="W43" s="622"/>
    </row>
    <row r="44" spans="1:28" x14ac:dyDescent="0.25">
      <c r="A44" s="762">
        <v>141</v>
      </c>
      <c r="B44" s="617" t="s">
        <v>518</v>
      </c>
      <c r="C44" s="622">
        <f>+'141 BOA'!C42</f>
        <v>141651.54</v>
      </c>
      <c r="D44" s="622">
        <f>+'141 BOA'!D42</f>
        <v>144985.04999999999</v>
      </c>
      <c r="E44" s="622">
        <f>+'141 BOA'!E42</f>
        <v>151757</v>
      </c>
      <c r="F44" s="622">
        <f>+'141 BOA'!F42</f>
        <v>159170.29</v>
      </c>
      <c r="G44" s="622">
        <f>+'141 BOA'!G42</f>
        <v>163402.36000000002</v>
      </c>
      <c r="H44" s="622">
        <f>+'141 BOA'!H42</f>
        <v>172805.62</v>
      </c>
      <c r="I44" s="622">
        <f>+'141 BOA'!I42</f>
        <v>172698.83000000002</v>
      </c>
      <c r="J44" s="622">
        <f>+'141 BOA'!J42</f>
        <v>184928.44</v>
      </c>
      <c r="K44" s="622">
        <f>+'141 BOA'!K42</f>
        <v>195422</v>
      </c>
      <c r="L44" s="637">
        <f>+'141 BOA'!L42</f>
        <v>169249.33</v>
      </c>
      <c r="M44" s="637">
        <f>+'141 BOA'!M42</f>
        <v>179761</v>
      </c>
      <c r="N44" s="637">
        <f>+'141 BOA'!N42</f>
        <v>147454.97999999998</v>
      </c>
      <c r="O44" s="637">
        <f>+'141 BOA'!O42</f>
        <v>190623</v>
      </c>
      <c r="P44" s="637">
        <f>+'141 BOA'!P42</f>
        <v>199605.21999999997</v>
      </c>
      <c r="Q44" s="637">
        <f>+'141 BOA'!Q42</f>
        <v>189801</v>
      </c>
      <c r="R44" s="622">
        <f>ROUND((+'141 BOA'!S42),0)</f>
        <v>186059</v>
      </c>
      <c r="S44" s="622">
        <f>ROUND((+'141 BOA'!T42),0)</f>
        <v>186059</v>
      </c>
      <c r="T44" s="622">
        <f>ROUND((+'141 BOA'!U42),0)</f>
        <v>186059</v>
      </c>
      <c r="W44" s="622"/>
    </row>
    <row r="45" spans="1:28" hidden="1" x14ac:dyDescent="0.25">
      <c r="A45" s="762">
        <v>141</v>
      </c>
      <c r="B45" s="617" t="s">
        <v>519</v>
      </c>
      <c r="C45" s="622">
        <f>+'141 BOA'!C40</f>
        <v>0</v>
      </c>
      <c r="D45" s="622">
        <f>+'141 BOA'!D40</f>
        <v>0</v>
      </c>
      <c r="E45" s="622">
        <f>+'141 BOA'!E40</f>
        <v>0</v>
      </c>
      <c r="F45" s="622">
        <f>+'141 BOA'!F40</f>
        <v>3860</v>
      </c>
      <c r="G45" s="622">
        <f>+'141 BOA'!G40</f>
        <v>0</v>
      </c>
      <c r="H45" s="622">
        <f>+'141 BOA'!H40</f>
        <v>0</v>
      </c>
      <c r="I45" s="622">
        <f>+'141 BOA'!I40</f>
        <v>0</v>
      </c>
      <c r="J45" s="622">
        <f>+'141 BOA'!J40</f>
        <v>0</v>
      </c>
      <c r="K45" s="622">
        <f>+'141 BOA'!K40</f>
        <v>0</v>
      </c>
      <c r="L45" s="637">
        <f>+'141 BOA'!L40</f>
        <v>0</v>
      </c>
      <c r="M45" s="637">
        <f>+'141 BOA'!M40</f>
        <v>0</v>
      </c>
      <c r="N45" s="637">
        <f>+'141 BOA'!N40</f>
        <v>0</v>
      </c>
      <c r="O45" s="637">
        <f>+'141 BOA'!O40</f>
        <v>0</v>
      </c>
      <c r="P45" s="637">
        <f>+'141 BOA'!P40</f>
        <v>0</v>
      </c>
      <c r="Q45" s="637">
        <f>+'141 BOA'!Q40</f>
        <v>0</v>
      </c>
      <c r="R45" s="622">
        <f>+'141 BOA'!S40</f>
        <v>0</v>
      </c>
      <c r="S45" s="622">
        <f>+'141 BOA'!T40</f>
        <v>0</v>
      </c>
      <c r="T45" s="622">
        <f>+'141 BOA'!U40</f>
        <v>0</v>
      </c>
      <c r="W45" s="622"/>
    </row>
    <row r="46" spans="1:28" x14ac:dyDescent="0.25">
      <c r="A46" s="762">
        <v>145</v>
      </c>
      <c r="B46" s="617" t="s">
        <v>520</v>
      </c>
      <c r="C46" s="622">
        <f>+'145 Treas'!C34</f>
        <v>191039.90999999997</v>
      </c>
      <c r="D46" s="622">
        <f>+'145 Treas'!D34</f>
        <v>197309.9</v>
      </c>
      <c r="E46" s="622">
        <f>+'145 Treas'!E34</f>
        <v>206758.38</v>
      </c>
      <c r="F46" s="622">
        <f>+'145 Treas'!F34</f>
        <v>218034.8</v>
      </c>
      <c r="G46" s="622">
        <f>+'145 Treas'!G34</f>
        <v>213700.67</v>
      </c>
      <c r="H46" s="622">
        <f>+'145 Treas'!H34</f>
        <v>208670.33</v>
      </c>
      <c r="I46" s="622">
        <f>+'145 Treas'!I34</f>
        <v>206826.21</v>
      </c>
      <c r="J46" s="622">
        <f>+'145 Treas'!J34</f>
        <v>219412.09000000003</v>
      </c>
      <c r="K46" s="622">
        <f>+'145 Treas'!K34</f>
        <v>239560</v>
      </c>
      <c r="L46" s="637">
        <f>+'145 Treas'!L34</f>
        <v>223197.94</v>
      </c>
      <c r="M46" s="637">
        <f>+'145 Treas'!M34</f>
        <v>228963</v>
      </c>
      <c r="N46" s="637">
        <f>+'145 Treas'!N34</f>
        <v>212737.83</v>
      </c>
      <c r="O46" s="637">
        <f>+'145 Treas'!O34</f>
        <v>220713</v>
      </c>
      <c r="P46" s="637">
        <f>+'145 Treas'!P34</f>
        <v>218522.16999999998</v>
      </c>
      <c r="Q46" s="637">
        <f>+'145 Treas'!Q34</f>
        <v>231048</v>
      </c>
      <c r="R46" s="622">
        <f>ROUND((+'145 Treas'!S34),0)</f>
        <v>206965</v>
      </c>
      <c r="S46" s="622">
        <f>ROUND((+'145 Treas'!T34),0)</f>
        <v>206965</v>
      </c>
      <c r="T46" s="622">
        <f>ROUND((+'145 Treas'!U34),0)</f>
        <v>206965</v>
      </c>
      <c r="W46" s="622"/>
    </row>
    <row r="47" spans="1:28" x14ac:dyDescent="0.25">
      <c r="A47" s="762">
        <v>151</v>
      </c>
      <c r="B47" s="617" t="s">
        <v>521</v>
      </c>
      <c r="C47" s="622">
        <f>+'151 Counsel'!C16</f>
        <v>79291.739999999991</v>
      </c>
      <c r="D47" s="622">
        <f>+'151 Counsel'!D16</f>
        <v>68222.33</v>
      </c>
      <c r="E47" s="622">
        <f>+'151 Counsel'!E16</f>
        <v>104258.47</v>
      </c>
      <c r="F47" s="622">
        <f>+'151 Counsel'!F16</f>
        <v>74568.58</v>
      </c>
      <c r="G47" s="622">
        <f>+'151 Counsel'!G16</f>
        <v>94990.93</v>
      </c>
      <c r="H47" s="622">
        <f>+'151 Counsel'!H16</f>
        <v>78752.53</v>
      </c>
      <c r="I47" s="622">
        <f>+'151 Counsel'!I16</f>
        <v>62050.99</v>
      </c>
      <c r="J47" s="622">
        <f>+'151 Counsel'!J16</f>
        <v>47390.289999999994</v>
      </c>
      <c r="K47" s="622">
        <f>+'151 Counsel'!K16</f>
        <v>80000</v>
      </c>
      <c r="L47" s="637">
        <f>+'151 Counsel'!L16</f>
        <v>51028.08</v>
      </c>
      <c r="M47" s="637">
        <f>+'151 Counsel'!M16</f>
        <v>85000</v>
      </c>
      <c r="N47" s="637">
        <f>+'151 Counsel'!N16</f>
        <v>62525.78</v>
      </c>
      <c r="O47" s="637">
        <f>+'151 Counsel'!O16</f>
        <v>75000</v>
      </c>
      <c r="P47" s="637">
        <f>+'151 Counsel'!P16</f>
        <v>66146.42</v>
      </c>
      <c r="Q47" s="637">
        <f>+'151 Counsel'!Q16</f>
        <v>80000</v>
      </c>
      <c r="R47" s="622">
        <f>ROUND((+'151 Counsel'!S16),0)</f>
        <v>87475</v>
      </c>
      <c r="S47" s="622">
        <f>ROUND((+'151 Counsel'!T16),0)</f>
        <v>87475</v>
      </c>
      <c r="T47" s="622">
        <f>ROUND((+'151 Counsel'!U16),0)</f>
        <v>87475</v>
      </c>
      <c r="W47" s="622"/>
    </row>
    <row r="48" spans="1:28" x14ac:dyDescent="0.25">
      <c r="A48" s="762">
        <v>155</v>
      </c>
      <c r="B48" s="617" t="s">
        <v>522</v>
      </c>
      <c r="C48" s="622">
        <f>+'155 IT'!C30</f>
        <v>21070.73</v>
      </c>
      <c r="D48" s="622">
        <f>+'155 IT'!D30</f>
        <v>21720.39</v>
      </c>
      <c r="E48" s="622">
        <f>+'155 IT'!E30</f>
        <v>22312.94</v>
      </c>
      <c r="F48" s="622">
        <f>+'155 IT'!F30</f>
        <v>31491.690000000002</v>
      </c>
      <c r="G48" s="622">
        <f>+'155 IT'!G30</f>
        <v>33814.289999999994</v>
      </c>
      <c r="H48" s="622">
        <f>+'155 IT'!H30</f>
        <v>43349.700000000004</v>
      </c>
      <c r="I48" s="622">
        <f>+'155 IT'!I30</f>
        <v>46323.6</v>
      </c>
      <c r="J48" s="622">
        <f>+'155 IT'!J30</f>
        <v>56002.240000000005</v>
      </c>
      <c r="K48" s="622">
        <f>+'155 IT'!K30</f>
        <v>74100</v>
      </c>
      <c r="L48" s="637">
        <f>+'155 IT'!L30</f>
        <v>71280.13</v>
      </c>
      <c r="M48" s="637">
        <f>+'155 IT'!M30</f>
        <v>97800</v>
      </c>
      <c r="N48" s="637">
        <f>+'155 IT'!N30</f>
        <v>54706.350000000006</v>
      </c>
      <c r="O48" s="637">
        <f>+'155 IT'!O30</f>
        <v>79000</v>
      </c>
      <c r="P48" s="637">
        <f>+'155 IT'!P30</f>
        <v>73547.92</v>
      </c>
      <c r="Q48" s="637">
        <f>+'155 IT'!Q30</f>
        <v>80500</v>
      </c>
      <c r="R48" s="622">
        <f>ROUND((+'155 IT'!S30),0)</f>
        <v>92252</v>
      </c>
      <c r="S48" s="622">
        <f>ROUND((+'155 IT'!T30),0)</f>
        <v>92252</v>
      </c>
      <c r="T48" s="622">
        <f>ROUND((+'155 IT'!U30),0)</f>
        <v>92252</v>
      </c>
      <c r="W48" s="622"/>
    </row>
    <row r="49" spans="1:30" x14ac:dyDescent="0.25">
      <c r="A49" s="762">
        <v>159</v>
      </c>
      <c r="B49" s="617" t="s">
        <v>523</v>
      </c>
      <c r="C49" s="622">
        <f>+'159 Shared Costs'!C24</f>
        <v>41297.370000000003</v>
      </c>
      <c r="D49" s="622">
        <f>+'159 Shared Costs'!D24</f>
        <v>40543.560000000005</v>
      </c>
      <c r="E49" s="622">
        <f>+'159 Shared Costs'!E24</f>
        <v>43387.42</v>
      </c>
      <c r="F49" s="622">
        <f>+'159 Shared Costs'!F24</f>
        <v>43663.680000000008</v>
      </c>
      <c r="G49" s="622">
        <f>+'159 Shared Costs'!G24</f>
        <v>43321.19</v>
      </c>
      <c r="H49" s="622">
        <f>+'159 Shared Costs'!H24</f>
        <v>72116.45</v>
      </c>
      <c r="I49" s="622">
        <f>+'159 Shared Costs'!I24</f>
        <v>81055.099999999991</v>
      </c>
      <c r="J49" s="622">
        <f>+'159 Shared Costs'!J24</f>
        <v>59453.41</v>
      </c>
      <c r="K49" s="622">
        <f>+'159 Shared Costs'!K24</f>
        <v>74759</v>
      </c>
      <c r="L49" s="637">
        <f>+'159 Shared Costs'!L24</f>
        <v>62336.41</v>
      </c>
      <c r="M49" s="637">
        <f>+'159 Shared Costs'!M24</f>
        <v>77579</v>
      </c>
      <c r="N49" s="637">
        <f>+'159 Shared Costs'!N24</f>
        <v>66014.109999999986</v>
      </c>
      <c r="O49" s="637">
        <f>+'159 Shared Costs'!O24</f>
        <v>78079</v>
      </c>
      <c r="P49" s="637">
        <f>+'159 Shared Costs'!P24</f>
        <v>68882.909999999989</v>
      </c>
      <c r="Q49" s="637">
        <f>+'159 Shared Costs'!Q24</f>
        <v>85907</v>
      </c>
      <c r="R49" s="622">
        <f>ROUND((+'159 Shared Costs'!S24),0)</f>
        <v>93499</v>
      </c>
      <c r="S49" s="622">
        <f>ROUND((+'159 Shared Costs'!T24),0)</f>
        <v>93499</v>
      </c>
      <c r="T49" s="622">
        <f>ROUND((+'159 Shared Costs'!U24),0)</f>
        <v>93499</v>
      </c>
      <c r="W49" s="622"/>
    </row>
    <row r="50" spans="1:30" x14ac:dyDescent="0.25">
      <c r="A50" s="762">
        <v>161</v>
      </c>
      <c r="B50" s="617" t="s">
        <v>524</v>
      </c>
      <c r="C50" s="622">
        <f>+'161 Clerk'!C41</f>
        <v>130503.54</v>
      </c>
      <c r="D50" s="622">
        <f>+'161 Clerk'!D41</f>
        <v>113509.36</v>
      </c>
      <c r="E50" s="622">
        <f>+'161 Clerk'!E41</f>
        <v>134637.65</v>
      </c>
      <c r="F50" s="622">
        <f>+'161 Clerk'!F41</f>
        <v>135316.26999999999</v>
      </c>
      <c r="G50" s="622">
        <f>+'161 Clerk'!G41</f>
        <v>142245.75999999998</v>
      </c>
      <c r="H50" s="622">
        <f>+'161 Clerk'!H41</f>
        <v>134774.06</v>
      </c>
      <c r="I50" s="622">
        <f>+'161 Clerk'!I41</f>
        <v>164798.6</v>
      </c>
      <c r="J50" s="622">
        <f>+'161 Clerk'!J41</f>
        <v>152976.47999999998</v>
      </c>
      <c r="K50" s="622">
        <f>+'161 Clerk'!K41</f>
        <v>167001</v>
      </c>
      <c r="L50" s="637">
        <f>+'161 Clerk'!L41</f>
        <v>163415.98000000001</v>
      </c>
      <c r="M50" s="637">
        <f>+'161 Clerk'!M41</f>
        <v>155173</v>
      </c>
      <c r="N50" s="637">
        <f>+'161 Clerk'!N41</f>
        <v>162169.68</v>
      </c>
      <c r="O50" s="637">
        <f>+'161 Clerk'!O41</f>
        <v>195844</v>
      </c>
      <c r="P50" s="637">
        <f>+'161 Clerk'!P41</f>
        <v>193888.09999999998</v>
      </c>
      <c r="Q50" s="637">
        <f>+'161 Clerk'!Q41</f>
        <v>243041</v>
      </c>
      <c r="R50" s="622">
        <f>ROUND((+'161 Clerk'!S41),0)</f>
        <v>237224</v>
      </c>
      <c r="S50" s="622">
        <f>ROUND((+'161 Clerk'!T41),0)</f>
        <v>237224</v>
      </c>
      <c r="T50" s="622">
        <f>ROUND((+'161 Clerk'!U41),0)</f>
        <v>237224</v>
      </c>
      <c r="W50" s="622"/>
    </row>
    <row r="51" spans="1:30" x14ac:dyDescent="0.25">
      <c r="A51" s="762">
        <v>175</v>
      </c>
      <c r="B51" s="617" t="s">
        <v>525</v>
      </c>
      <c r="C51" s="622">
        <f>+'175 Planning'!C32</f>
        <v>64295.68</v>
      </c>
      <c r="D51" s="622">
        <f>+'175 Planning'!D32</f>
        <v>74043.48</v>
      </c>
      <c r="E51" s="622">
        <f>+'175 Planning'!E32</f>
        <v>76609.999999999985</v>
      </c>
      <c r="F51" s="622">
        <f>+'175 Planning'!F32</f>
        <v>78689.919999999998</v>
      </c>
      <c r="G51" s="622">
        <f>+'175 Planning'!G32</f>
        <v>85614.25</v>
      </c>
      <c r="H51" s="622">
        <f>+'175 Planning'!H32</f>
        <v>89106.83</v>
      </c>
      <c r="I51" s="622">
        <f>+'175 Planning'!I32</f>
        <v>113367.35999999999</v>
      </c>
      <c r="J51" s="622">
        <f>+'175 Planning'!J32</f>
        <v>123363.51</v>
      </c>
      <c r="K51" s="622">
        <f>+'175 Planning'!K32</f>
        <v>121187</v>
      </c>
      <c r="L51" s="637">
        <f>+'175 Planning'!L32</f>
        <v>119134.15999999999</v>
      </c>
      <c r="M51" s="637">
        <f>+'175 Planning'!M32</f>
        <v>123121</v>
      </c>
      <c r="N51" s="637">
        <f>+'175 Planning'!N32</f>
        <v>122406.09999999999</v>
      </c>
      <c r="O51" s="637">
        <f>+'175 Planning'!O32</f>
        <v>129007</v>
      </c>
      <c r="P51" s="637">
        <f>+'175 Planning'!P32</f>
        <v>117379.99</v>
      </c>
      <c r="Q51" s="637">
        <f>+'175 Planning'!Q32</f>
        <v>134429</v>
      </c>
      <c r="R51" s="622">
        <f>ROUND((+'175 Planning'!S32),0)</f>
        <v>140788</v>
      </c>
      <c r="S51" s="622">
        <f>ROUND((+'175 Planning'!T32),0)</f>
        <v>140788</v>
      </c>
      <c r="T51" s="622">
        <f>ROUND((+'175 Planning'!U32),0)</f>
        <v>140788</v>
      </c>
      <c r="W51" s="622"/>
    </row>
    <row r="52" spans="1:30" x14ac:dyDescent="0.25">
      <c r="A52" s="762">
        <v>176</v>
      </c>
      <c r="B52" s="617" t="s">
        <v>526</v>
      </c>
      <c r="C52" s="622">
        <f>+'176 ZBA'!C18</f>
        <v>3437.02</v>
      </c>
      <c r="D52" s="622">
        <f>+'176 ZBA'!D18</f>
        <v>1079.7</v>
      </c>
      <c r="E52" s="622">
        <f>+'176 ZBA'!E18</f>
        <v>1238.56</v>
      </c>
      <c r="F52" s="622">
        <f>+'176 ZBA'!F18</f>
        <v>2203.6799999999998</v>
      </c>
      <c r="G52" s="622">
        <f>+'176 ZBA'!G18</f>
        <v>2086.86</v>
      </c>
      <c r="H52" s="622">
        <f>+'176 ZBA'!H18</f>
        <v>3065.5</v>
      </c>
      <c r="I52" s="622">
        <f>+'176 ZBA'!I18</f>
        <v>611.48</v>
      </c>
      <c r="J52" s="622">
        <f>+'176 ZBA'!J18</f>
        <v>789.57</v>
      </c>
      <c r="K52" s="622">
        <f>+'176 ZBA'!K18</f>
        <v>1200</v>
      </c>
      <c r="L52" s="637">
        <f>+'176 ZBA'!L18</f>
        <v>214.56</v>
      </c>
      <c r="M52" s="637">
        <f>+'176 ZBA'!M18</f>
        <v>700</v>
      </c>
      <c r="N52" s="637">
        <f>+'176 ZBA'!N18</f>
        <v>309.42</v>
      </c>
      <c r="O52" s="637">
        <f>+'176 ZBA'!O18</f>
        <v>700</v>
      </c>
      <c r="P52" s="637">
        <f>+'176 ZBA'!P18</f>
        <v>262.33999999999997</v>
      </c>
      <c r="Q52" s="637">
        <f>+'176 ZBA'!Q18</f>
        <v>700</v>
      </c>
      <c r="R52" s="622">
        <f>ROUND((+'176 ZBA'!S18),0)</f>
        <v>700</v>
      </c>
      <c r="S52" s="622">
        <f>ROUND((+'176 ZBA'!T18),0)</f>
        <v>700</v>
      </c>
      <c r="T52" s="622">
        <f>ROUND((+'176 ZBA'!U18),0)</f>
        <v>700</v>
      </c>
      <c r="W52" s="622"/>
    </row>
    <row r="53" spans="1:30" x14ac:dyDescent="0.25">
      <c r="A53" s="762">
        <v>190</v>
      </c>
      <c r="B53" s="617" t="s">
        <v>527</v>
      </c>
      <c r="C53" s="622">
        <f>+'190 Publ Bldg Utilities'!C41</f>
        <v>89938.37</v>
      </c>
      <c r="D53" s="622">
        <f>+'190 Publ Bldg Utilities'!D41</f>
        <v>103744.03</v>
      </c>
      <c r="E53" s="622">
        <f>+'190 Publ Bldg Utilities'!E41</f>
        <v>94949.29</v>
      </c>
      <c r="F53" s="622">
        <f>+'190 Publ Bldg Utilities'!F41</f>
        <v>93004.470000000016</v>
      </c>
      <c r="G53" s="622">
        <f>+'190 Publ Bldg Utilities'!G41</f>
        <v>86631.79</v>
      </c>
      <c r="H53" s="622">
        <f>+'190 Publ Bldg Utilities'!H41</f>
        <v>88374.909999999974</v>
      </c>
      <c r="I53" s="622">
        <f>+'190 Publ Bldg Utilities'!I41</f>
        <v>92714.789999999964</v>
      </c>
      <c r="J53" s="622">
        <f>+'190 Publ Bldg Utilities'!J41</f>
        <v>77501.360000000015</v>
      </c>
      <c r="K53" s="622">
        <f>+'190 Publ Bldg Utilities'!K41</f>
        <v>106320</v>
      </c>
      <c r="L53" s="637">
        <f>+'190 Publ Bldg Utilities'!L41</f>
        <v>85460.26</v>
      </c>
      <c r="M53" s="637">
        <f>+'190 Publ Bldg Utilities'!M41</f>
        <v>109846</v>
      </c>
      <c r="N53" s="637">
        <f>+'190 Publ Bldg Utilities'!N41</f>
        <v>89201.060000000012</v>
      </c>
      <c r="O53" s="637">
        <f>+'190 Publ Bldg Utilities'!O41</f>
        <v>130782</v>
      </c>
      <c r="P53" s="637">
        <f>+'190 Publ Bldg Utilities'!P41</f>
        <v>108132.38</v>
      </c>
      <c r="Q53" s="637">
        <f>+'190 Publ Bldg Utilities'!Q41</f>
        <v>155932</v>
      </c>
      <c r="R53" s="622">
        <f>ROUND((+'190 Publ Bldg Utilities'!S41),0)</f>
        <v>140050</v>
      </c>
      <c r="S53" s="622">
        <f>ROUND((+'190 Publ Bldg Utilities'!T41),0)</f>
        <v>140050</v>
      </c>
      <c r="T53" s="622">
        <f>ROUND((+'190 Publ Bldg Utilities'!U41),0)</f>
        <v>140050</v>
      </c>
      <c r="U53" s="621"/>
      <c r="W53" s="622"/>
    </row>
    <row r="54" spans="1:30" x14ac:dyDescent="0.25">
      <c r="A54" s="762">
        <v>197</v>
      </c>
      <c r="B54" s="617" t="s">
        <v>1938</v>
      </c>
      <c r="C54" s="621">
        <f>+'197 Farm Mkt'!C17</f>
        <v>0</v>
      </c>
      <c r="D54" s="621">
        <f>+'197 Farm Mkt'!D17</f>
        <v>0</v>
      </c>
      <c r="E54" s="621">
        <f>+'197 Farm Mkt'!E17</f>
        <v>0</v>
      </c>
      <c r="F54" s="621">
        <f>+'197 Farm Mkt'!F17</f>
        <v>0</v>
      </c>
      <c r="G54" s="621">
        <f>+'197 Farm Mkt'!G17</f>
        <v>0</v>
      </c>
      <c r="H54" s="621">
        <f>+'197 Farm Mkt'!H17</f>
        <v>0</v>
      </c>
      <c r="I54" s="621">
        <f>+'197 Farm Mkt'!I17</f>
        <v>0</v>
      </c>
      <c r="J54" s="621">
        <f>+'197 Farm Mkt'!J17</f>
        <v>0</v>
      </c>
      <c r="K54" s="621">
        <f>+'197 Farm Mkt'!K17</f>
        <v>0</v>
      </c>
      <c r="L54" s="637">
        <f>+'197 Farm Mkt'!L17</f>
        <v>0</v>
      </c>
      <c r="M54" s="637">
        <f>+'197 Farm Mkt'!M17</f>
        <v>0</v>
      </c>
      <c r="N54" s="637">
        <f>+'197 Farm Mkt'!N17</f>
        <v>0</v>
      </c>
      <c r="O54" s="637">
        <f>+'197 Farm Mkt'!O17</f>
        <v>0</v>
      </c>
      <c r="P54" s="637">
        <f>+'197 Farm Mkt'!P17</f>
        <v>2191.4</v>
      </c>
      <c r="Q54" s="637">
        <f>+'197 Farm Mkt'!Q17</f>
        <v>5000</v>
      </c>
      <c r="R54" s="621">
        <f>ROUND((+'197 Farm Mkt'!S17),0)</f>
        <v>5200</v>
      </c>
      <c r="S54" s="621">
        <f>ROUND((+'197 Farm Mkt'!T17),0)</f>
        <v>5200</v>
      </c>
      <c r="T54" s="621">
        <f>ROUND((+'197 Farm Mkt'!U17),0)</f>
        <v>5200</v>
      </c>
      <c r="W54" s="625"/>
    </row>
    <row r="55" spans="1:30" x14ac:dyDescent="0.25">
      <c r="C55" s="622"/>
      <c r="D55" s="622"/>
      <c r="E55" s="622"/>
      <c r="F55" s="622"/>
      <c r="G55" s="622"/>
      <c r="H55" s="622"/>
      <c r="I55" s="622"/>
      <c r="J55" s="622"/>
      <c r="K55" s="622"/>
      <c r="R55" s="622"/>
      <c r="S55" s="622"/>
      <c r="U55" s="621"/>
      <c r="W55" s="625"/>
      <c r="AD55" s="625"/>
    </row>
    <row r="56" spans="1:30" x14ac:dyDescent="0.25">
      <c r="B56" s="617" t="s">
        <v>528</v>
      </c>
      <c r="C56" s="622">
        <f t="shared" ref="C56:T56" si="7">SUM(C39:C55)</f>
        <v>1008681.63</v>
      </c>
      <c r="D56" s="622">
        <f t="shared" si="7"/>
        <v>1002859.89</v>
      </c>
      <c r="E56" s="622">
        <f t="shared" si="7"/>
        <v>1102099.54</v>
      </c>
      <c r="F56" s="622">
        <f t="shared" si="7"/>
        <v>1129817.1300000004</v>
      </c>
      <c r="G56" s="622">
        <f t="shared" si="7"/>
        <v>1194751.9800000002</v>
      </c>
      <c r="H56" s="622">
        <f t="shared" si="7"/>
        <v>1187643.3699999999</v>
      </c>
      <c r="I56" s="622">
        <f t="shared" si="7"/>
        <v>1213131.75</v>
      </c>
      <c r="J56" s="622">
        <f t="shared" si="7"/>
        <v>1217538.6300000001</v>
      </c>
      <c r="K56" s="622">
        <f t="shared" si="7"/>
        <v>1402587</v>
      </c>
      <c r="L56" s="637">
        <f t="shared" si="7"/>
        <v>1236874.22</v>
      </c>
      <c r="M56" s="637">
        <f t="shared" si="7"/>
        <v>1400212</v>
      </c>
      <c r="N56" s="637">
        <f t="shared" si="7"/>
        <v>1223232.83</v>
      </c>
      <c r="O56" s="637">
        <f t="shared" si="7"/>
        <v>1558532</v>
      </c>
      <c r="P56" s="637">
        <f t="shared" ref="P56:Q56" si="8">SUM(P39:P55)</f>
        <v>1499489.0099999998</v>
      </c>
      <c r="Q56" s="637">
        <f t="shared" si="8"/>
        <v>1682419</v>
      </c>
      <c r="R56" s="622">
        <f t="shared" si="7"/>
        <v>1663222</v>
      </c>
      <c r="S56" s="622">
        <f t="shared" si="7"/>
        <v>1663222</v>
      </c>
      <c r="T56" s="622">
        <f t="shared" si="7"/>
        <v>1663222</v>
      </c>
      <c r="U56" s="621"/>
      <c r="W56" s="625"/>
    </row>
    <row r="57" spans="1:30" x14ac:dyDescent="0.25">
      <c r="C57" s="622"/>
      <c r="D57" s="622"/>
      <c r="E57" s="622"/>
      <c r="F57" s="622"/>
      <c r="G57" s="622"/>
      <c r="H57" s="622"/>
      <c r="I57" s="622"/>
      <c r="J57" s="622"/>
      <c r="K57" s="622"/>
      <c r="R57" s="622"/>
      <c r="S57" s="622"/>
      <c r="U57" s="621"/>
      <c r="W57" s="625"/>
    </row>
    <row r="58" spans="1:30" x14ac:dyDescent="0.25">
      <c r="B58" s="617" t="s">
        <v>529</v>
      </c>
      <c r="C58" s="622"/>
      <c r="D58" s="622"/>
      <c r="E58" s="622"/>
      <c r="F58" s="622"/>
      <c r="G58" s="622"/>
      <c r="H58" s="622"/>
      <c r="I58" s="622"/>
      <c r="J58" s="622"/>
      <c r="K58" s="622"/>
      <c r="R58" s="622"/>
      <c r="S58" s="622"/>
      <c r="U58" s="621"/>
      <c r="W58" s="625"/>
    </row>
    <row r="59" spans="1:30" x14ac:dyDescent="0.25">
      <c r="A59" s="762">
        <v>211</v>
      </c>
      <c r="B59" s="617" t="s">
        <v>530</v>
      </c>
      <c r="C59" s="622">
        <f>+'211 Police'!C59-'211 Police'!C57</f>
        <v>1203014.26</v>
      </c>
      <c r="D59" s="622">
        <f>+'211 Police'!D59-'211 Police'!D57</f>
        <v>1263124.29</v>
      </c>
      <c r="E59" s="622">
        <f>+'211 Police'!E59-'211 Police'!E57</f>
        <v>1370950.0999999999</v>
      </c>
      <c r="F59" s="622">
        <f>+'211 Police'!F59-'211 Police'!F57</f>
        <v>1410262.7999999998</v>
      </c>
      <c r="G59" s="622">
        <f>+'211 Police'!G59-'211 Police'!G57</f>
        <v>1470652.1500000001</v>
      </c>
      <c r="H59" s="622">
        <f>+'211 Police'!H59-'211 Police'!H57</f>
        <v>1309212.4100000001</v>
      </c>
      <c r="I59" s="622">
        <f>+'211 Police'!I59-'211 Police'!I57</f>
        <v>1550896.98</v>
      </c>
      <c r="J59" s="622">
        <f>+'211 Police'!J59-'211 Police'!J57</f>
        <v>1595325.69</v>
      </c>
      <c r="K59" s="622">
        <f>+'211 Police'!K59-'211 Police'!K57</f>
        <v>1652537</v>
      </c>
      <c r="L59" s="637">
        <f>+'211 Police'!L59-'211 Police'!L57</f>
        <v>1627631.8900000001</v>
      </c>
      <c r="M59" s="637">
        <f>+'211 Police'!M59-'211 Police'!M57</f>
        <v>1761945</v>
      </c>
      <c r="N59" s="637">
        <f>+'211 Police'!N59-'211 Police'!N57</f>
        <v>1712935.4700000004</v>
      </c>
      <c r="O59" s="637">
        <f>+'211 Police'!O59-'211 Police'!O57</f>
        <v>1878434</v>
      </c>
      <c r="P59" s="637">
        <f>+'211 Police'!P59-'211 Police'!P57</f>
        <v>1845270.1500000001</v>
      </c>
      <c r="Q59" s="637">
        <f>+'211 Police'!Q59-'211 Police'!Q57</f>
        <v>1970054</v>
      </c>
      <c r="R59" s="622">
        <f>ROUND((+'211 Police'!S59-'211 Police'!S57),0)</f>
        <v>2067608</v>
      </c>
      <c r="S59" s="622">
        <f>+'211 Police'!T59-'211 Police'!T57</f>
        <v>2067608.105</v>
      </c>
      <c r="T59" s="622">
        <f>ROUND((+'211 Police'!U59-'211 Police'!U57),0)</f>
        <v>2067608</v>
      </c>
      <c r="W59" s="625"/>
    </row>
    <row r="60" spans="1:30" x14ac:dyDescent="0.25">
      <c r="A60" s="762">
        <v>211</v>
      </c>
      <c r="B60" s="617" t="s">
        <v>531</v>
      </c>
      <c r="C60" s="622">
        <f>+'211 Police'!C57</f>
        <v>36895.4</v>
      </c>
      <c r="D60" s="622">
        <f>+'211 Police'!D57</f>
        <v>39483.5</v>
      </c>
      <c r="E60" s="622">
        <f>+'211 Police'!E57</f>
        <v>39102.5</v>
      </c>
      <c r="F60" s="622">
        <f>+'211 Police'!F57</f>
        <v>39498.1</v>
      </c>
      <c r="G60" s="622">
        <f>+'211 Police'!G57</f>
        <v>39500</v>
      </c>
      <c r="H60" s="622">
        <f>+'211 Police'!H57</f>
        <v>41424</v>
      </c>
      <c r="I60" s="622">
        <f>+'211 Police'!I57</f>
        <v>34000</v>
      </c>
      <c r="J60" s="622">
        <f>+'211 Police'!J57</f>
        <v>51600</v>
      </c>
      <c r="K60" s="622">
        <f>+'211 Police'!K57</f>
        <v>53000</v>
      </c>
      <c r="L60" s="637">
        <f>+'211 Police'!L57</f>
        <v>22900</v>
      </c>
      <c r="M60" s="637">
        <f>+'211 Police'!M57</f>
        <v>53000</v>
      </c>
      <c r="N60" s="637">
        <f>+'211 Police'!N57</f>
        <v>44982.74</v>
      </c>
      <c r="O60" s="637">
        <f>+'211 Police'!O57</f>
        <v>54000</v>
      </c>
      <c r="P60" s="637">
        <f>+'211 Police'!P57</f>
        <v>54000</v>
      </c>
      <c r="Q60" s="637">
        <f>+'211 Police'!Q57</f>
        <v>68100</v>
      </c>
      <c r="R60" s="622">
        <f>ROUND((+'211 Police'!S57),0)</f>
        <v>60000</v>
      </c>
      <c r="S60" s="622">
        <f>ROUND((+'211 Police'!T57),0)</f>
        <v>60000</v>
      </c>
      <c r="T60" s="622">
        <f>ROUND((+'211 Police'!U57),0)</f>
        <v>60000</v>
      </c>
      <c r="W60" s="625"/>
    </row>
    <row r="61" spans="1:30" x14ac:dyDescent="0.25">
      <c r="A61" s="762">
        <v>212</v>
      </c>
      <c r="B61" s="617" t="s">
        <v>532</v>
      </c>
      <c r="C61" s="622">
        <f>+'212 Dispatch'!C26</f>
        <v>219830.37</v>
      </c>
      <c r="D61" s="622">
        <f>+'212 Dispatch'!D26</f>
        <v>247066.76000000004</v>
      </c>
      <c r="E61" s="622">
        <f>+'212 Dispatch'!E26</f>
        <v>261015.62</v>
      </c>
      <c r="F61" s="622">
        <f>+'212 Dispatch'!F26</f>
        <v>261095.52</v>
      </c>
      <c r="G61" s="622">
        <f>+'212 Dispatch'!G26</f>
        <v>268261.88000000006</v>
      </c>
      <c r="H61" s="622">
        <f>+'212 Dispatch'!H26</f>
        <v>297260.07</v>
      </c>
      <c r="I61" s="622">
        <f>+'212 Dispatch'!I26</f>
        <v>299708.75999999995</v>
      </c>
      <c r="J61" s="622">
        <f>+'212 Dispatch'!J26</f>
        <v>313079.05999999994</v>
      </c>
      <c r="K61" s="622">
        <f>+'212 Dispatch'!K26</f>
        <v>311584</v>
      </c>
      <c r="L61" s="637">
        <f>+'212 Dispatch'!L26</f>
        <v>286236</v>
      </c>
      <c r="M61" s="637">
        <f>+'212 Dispatch'!M26</f>
        <v>310291</v>
      </c>
      <c r="N61" s="637">
        <f>+'212 Dispatch'!N26</f>
        <v>328764.47999999992</v>
      </c>
      <c r="O61" s="637">
        <f>+'212 Dispatch'!O26</f>
        <v>377862</v>
      </c>
      <c r="P61" s="637">
        <f>+'212 Dispatch'!P26</f>
        <v>372260.2099999999</v>
      </c>
      <c r="Q61" s="637">
        <f>+'212 Dispatch'!Q26</f>
        <v>395588</v>
      </c>
      <c r="R61" s="622">
        <f>ROUND((+'212 Dispatch'!S26),0)</f>
        <v>410768</v>
      </c>
      <c r="S61" s="622">
        <f>ROUND((+'212 Dispatch'!T26),0)</f>
        <v>410768</v>
      </c>
      <c r="T61" s="622">
        <f>ROUND((+'212 Dispatch'!U26),0)</f>
        <v>410768</v>
      </c>
      <c r="W61" s="625"/>
    </row>
    <row r="62" spans="1:30" x14ac:dyDescent="0.25">
      <c r="A62" s="762">
        <v>241</v>
      </c>
      <c r="B62" s="617" t="s">
        <v>533</v>
      </c>
      <c r="C62" s="622">
        <f>+'241 Bldg'!C35</f>
        <v>111725.37000000001</v>
      </c>
      <c r="D62" s="622">
        <f>+'241 Bldg'!D35</f>
        <v>114463.61999999998</v>
      </c>
      <c r="E62" s="622">
        <f>+'241 Bldg'!E35</f>
        <v>118337.56</v>
      </c>
      <c r="F62" s="622">
        <f>+'241 Bldg'!F35</f>
        <v>123515.03</v>
      </c>
      <c r="G62" s="622">
        <f>+'241 Bldg'!G35</f>
        <v>124191.90999999999</v>
      </c>
      <c r="H62" s="622">
        <f>+'241 Bldg'!H35</f>
        <v>142151.04999999999</v>
      </c>
      <c r="I62" s="622">
        <f>+'241 Bldg'!I35</f>
        <v>124218.98</v>
      </c>
      <c r="J62" s="622">
        <f>+'241 Bldg'!J35</f>
        <v>135195.35999999999</v>
      </c>
      <c r="K62" s="622">
        <f>+'241 Bldg'!K35</f>
        <v>141444</v>
      </c>
      <c r="L62" s="637">
        <f>+'241 Bldg'!L35</f>
        <v>139843.77000000002</v>
      </c>
      <c r="M62" s="637">
        <f>+'241 Bldg'!M35</f>
        <v>143080</v>
      </c>
      <c r="N62" s="637">
        <f>+'241 Bldg'!N35</f>
        <v>126711.55999999998</v>
      </c>
      <c r="O62" s="637">
        <f>+'241 Bldg'!O35</f>
        <v>140666</v>
      </c>
      <c r="P62" s="637">
        <f>+'241 Bldg'!P35</f>
        <v>133502.16</v>
      </c>
      <c r="Q62" s="637">
        <f>+'241 Bldg'!Q35</f>
        <v>148621</v>
      </c>
      <c r="R62" s="622">
        <f>ROUND((+'241 Bldg'!S35),0)</f>
        <v>155082</v>
      </c>
      <c r="S62" s="622">
        <f>ROUND((+'241 Bldg'!T35),0)</f>
        <v>155082</v>
      </c>
      <c r="T62" s="622">
        <f>ROUND((+'241 Bldg'!U35),0)</f>
        <v>155082</v>
      </c>
      <c r="W62" s="625"/>
    </row>
    <row r="63" spans="1:30" x14ac:dyDescent="0.25">
      <c r="A63" s="762">
        <v>244</v>
      </c>
      <c r="B63" s="617" t="s">
        <v>534</v>
      </c>
      <c r="C63" s="622">
        <f>+'244 Sealer'!C12</f>
        <v>2750</v>
      </c>
      <c r="D63" s="622">
        <f>+'244 Sealer'!D12</f>
        <v>2750</v>
      </c>
      <c r="E63" s="622">
        <f>+'244 Sealer'!E12</f>
        <v>2750</v>
      </c>
      <c r="F63" s="622">
        <f>+'244 Sealer'!F12</f>
        <v>2750</v>
      </c>
      <c r="G63" s="622">
        <f>+'244 Sealer'!G12</f>
        <v>2750</v>
      </c>
      <c r="H63" s="622">
        <f>+'244 Sealer'!H12</f>
        <v>2750</v>
      </c>
      <c r="I63" s="622">
        <f>+'244 Sealer'!I12</f>
        <v>2750</v>
      </c>
      <c r="J63" s="622">
        <f>+'244 Sealer'!J12</f>
        <v>2750</v>
      </c>
      <c r="K63" s="622">
        <f>+'244 Sealer'!K12</f>
        <v>2750</v>
      </c>
      <c r="L63" s="637">
        <f>+'244 Sealer'!L12</f>
        <v>2750</v>
      </c>
      <c r="M63" s="637">
        <f>+'244 Sealer'!M12</f>
        <v>2750</v>
      </c>
      <c r="N63" s="637">
        <f>+'244 Sealer'!N12</f>
        <v>2750</v>
      </c>
      <c r="O63" s="637">
        <f>+'244 Sealer'!O12</f>
        <v>7182</v>
      </c>
      <c r="P63" s="637">
        <f>+'244 Sealer'!P12</f>
        <v>2750</v>
      </c>
      <c r="Q63" s="637">
        <f>+'244 Sealer'!Q12</f>
        <v>7182</v>
      </c>
      <c r="R63" s="622">
        <f>ROUND((+'244 Sealer'!S12),0)</f>
        <v>7182</v>
      </c>
      <c r="S63" s="622">
        <f>ROUND((+'244 Sealer'!T12),0)</f>
        <v>7182</v>
      </c>
      <c r="T63" s="622">
        <f>ROUND((+'244 Sealer'!U12),0)</f>
        <v>7182</v>
      </c>
      <c r="W63" s="625"/>
      <c r="AD63" s="621"/>
    </row>
    <row r="64" spans="1:30" x14ac:dyDescent="0.25">
      <c r="A64" s="762">
        <v>291</v>
      </c>
      <c r="B64" s="617" t="s">
        <v>535</v>
      </c>
      <c r="C64" s="622">
        <f>+'291 Emergency'!C16</f>
        <v>5490</v>
      </c>
      <c r="D64" s="622">
        <f>+'291 Emergency'!D16</f>
        <v>5590</v>
      </c>
      <c r="E64" s="622">
        <f>+'291 Emergency'!E16</f>
        <v>5590</v>
      </c>
      <c r="F64" s="622">
        <f>+'291 Emergency'!F16</f>
        <v>5640</v>
      </c>
      <c r="G64" s="622">
        <f>+'291 Emergency'!G16</f>
        <v>5490</v>
      </c>
      <c r="H64" s="622">
        <f>+'291 Emergency'!H16</f>
        <v>5490</v>
      </c>
      <c r="I64" s="622">
        <f>+'291 Emergency'!I16</f>
        <v>5490</v>
      </c>
      <c r="J64" s="622">
        <f>+'291 Emergency'!J16</f>
        <v>5765</v>
      </c>
      <c r="K64" s="622">
        <f>+'291 Emergency'!K16</f>
        <v>5765</v>
      </c>
      <c r="L64" s="637">
        <f>+'291 Emergency'!L16</f>
        <v>5765</v>
      </c>
      <c r="M64" s="637">
        <f>+'291 Emergency'!M16</f>
        <v>6265</v>
      </c>
      <c r="N64" s="637">
        <f>+'291 Emergency'!N16</f>
        <v>5765</v>
      </c>
      <c r="O64" s="637">
        <f>+'291 Emergency'!O16</f>
        <v>6265</v>
      </c>
      <c r="P64" s="637">
        <f>+'291 Emergency'!P16</f>
        <v>5765</v>
      </c>
      <c r="Q64" s="637">
        <f>+'291 Emergency'!Q16</f>
        <v>6265</v>
      </c>
      <c r="R64" s="622">
        <f>ROUND((+'291 Emergency'!S16),0)</f>
        <v>6944</v>
      </c>
      <c r="S64" s="622">
        <f>ROUND((+'291 Emergency'!T16),0)</f>
        <v>6944</v>
      </c>
      <c r="T64" s="622">
        <f>ROUND((+'291 Emergency'!U16),0)</f>
        <v>6944</v>
      </c>
      <c r="W64" s="625"/>
    </row>
    <row r="65" spans="1:30" x14ac:dyDescent="0.25">
      <c r="A65" s="762">
        <v>292</v>
      </c>
      <c r="B65" s="617" t="s">
        <v>536</v>
      </c>
      <c r="C65" s="622">
        <f>+'292 Animal'!C16</f>
        <v>3869.81</v>
      </c>
      <c r="D65" s="622">
        <f>+'292 Animal'!D16</f>
        <v>12240.720000000001</v>
      </c>
      <c r="E65" s="622">
        <f>+'292 Animal'!E16</f>
        <v>16352.41</v>
      </c>
      <c r="F65" s="622">
        <f>+'292 Animal'!F16</f>
        <v>16526.579999999998</v>
      </c>
      <c r="G65" s="622">
        <f>+'292 Animal'!G16</f>
        <v>17994.600000000002</v>
      </c>
      <c r="H65" s="622">
        <f>+'292 Animal'!H16</f>
        <v>18281.5</v>
      </c>
      <c r="I65" s="622">
        <f>+'292 Animal'!I16</f>
        <v>19156.59</v>
      </c>
      <c r="J65" s="622">
        <f>+'292 Animal'!J16</f>
        <v>20200.080000000002</v>
      </c>
      <c r="K65" s="622">
        <f>+'292 Animal'!K16</f>
        <v>20414</v>
      </c>
      <c r="L65" s="637">
        <f>+'292 Animal'!L16</f>
        <v>20141.48</v>
      </c>
      <c r="M65" s="637">
        <f>+'292 Animal'!M16</f>
        <v>21527</v>
      </c>
      <c r="N65" s="637">
        <f>+'292 Animal'!N16</f>
        <v>20390.28</v>
      </c>
      <c r="O65" s="637">
        <f>+'292 Animal'!O16</f>
        <v>21765</v>
      </c>
      <c r="P65" s="637">
        <f>+'292 Animal'!P16</f>
        <v>21579.09</v>
      </c>
      <c r="Q65" s="637">
        <f>+'292 Animal'!Q16</f>
        <v>23112</v>
      </c>
      <c r="R65" s="622">
        <f>ROUND((+'292 Animal'!S16),0)</f>
        <v>23658</v>
      </c>
      <c r="S65" s="622">
        <f>ROUND((+'292 Animal'!T16),0)</f>
        <v>23658</v>
      </c>
      <c r="T65" s="622">
        <f>ROUND((+'292 Animal'!U16),0)</f>
        <v>23658</v>
      </c>
      <c r="W65" s="625"/>
      <c r="X65" s="617"/>
      <c r="Y65" s="617"/>
      <c r="Z65" s="617"/>
      <c r="AA65" s="617"/>
      <c r="AB65" s="617"/>
      <c r="AC65" s="600"/>
    </row>
    <row r="66" spans="1:30" hidden="1" x14ac:dyDescent="0.25">
      <c r="A66" s="762"/>
      <c r="B66" s="617" t="s">
        <v>537</v>
      </c>
      <c r="C66" s="622">
        <f>+'292 Animal'!C19</f>
        <v>0</v>
      </c>
      <c r="D66" s="622">
        <f>+'292 Animal'!D19</f>
        <v>0</v>
      </c>
      <c r="E66" s="622">
        <f>+'292 Animal'!E19</f>
        <v>0</v>
      </c>
      <c r="F66" s="622">
        <f>+'292 Animal'!F19</f>
        <v>0</v>
      </c>
      <c r="G66" s="622">
        <f>+'292 Animal'!G19</f>
        <v>0</v>
      </c>
      <c r="H66" s="622">
        <f>+'292 Animal'!H19</f>
        <v>7883.74</v>
      </c>
      <c r="I66" s="622">
        <f>+'292 Animal'!I19</f>
        <v>0</v>
      </c>
      <c r="J66" s="622">
        <f>+'292 Animal'!J19</f>
        <v>0</v>
      </c>
      <c r="K66" s="622">
        <f>+'292 Animal'!K19</f>
        <v>0</v>
      </c>
      <c r="L66" s="637">
        <f>+'292 Animal'!L19</f>
        <v>0</v>
      </c>
      <c r="M66" s="637">
        <f>+'292 Animal'!M19</f>
        <v>0</v>
      </c>
      <c r="N66" s="637">
        <f>+'292 Animal'!N19</f>
        <v>0</v>
      </c>
      <c r="O66" s="637">
        <f>+'292 Animal'!O19</f>
        <v>0</v>
      </c>
      <c r="P66" s="637">
        <f>+'292 Animal'!P19</f>
        <v>0</v>
      </c>
      <c r="Q66" s="637">
        <f>+'292 Animal'!Q19</f>
        <v>0</v>
      </c>
      <c r="R66" s="622">
        <f>+'292 Animal'!S19</f>
        <v>0</v>
      </c>
      <c r="S66" s="622">
        <f>+'292 Animal'!T19</f>
        <v>0</v>
      </c>
      <c r="T66" s="622">
        <f>+'292 Animal'!U19</f>
        <v>0</v>
      </c>
      <c r="W66" s="625"/>
      <c r="X66" s="617"/>
      <c r="Y66" s="617"/>
      <c r="Z66" s="617"/>
      <c r="AA66" s="617"/>
      <c r="AB66" s="617"/>
      <c r="AC66" s="600"/>
    </row>
    <row r="67" spans="1:30" x14ac:dyDescent="0.25">
      <c r="A67" s="762">
        <v>294</v>
      </c>
      <c r="B67" s="617" t="s">
        <v>538</v>
      </c>
      <c r="C67" s="622">
        <f>+'294 Forest Warden'!C12</f>
        <v>1584</v>
      </c>
      <c r="D67" s="622">
        <f>+'294 Forest Warden'!D12</f>
        <v>1631</v>
      </c>
      <c r="E67" s="622">
        <f>+'294 Forest Warden'!E12</f>
        <v>1631</v>
      </c>
      <c r="F67" s="622">
        <f>+'294 Forest Warden'!F12</f>
        <v>1631</v>
      </c>
      <c r="G67" s="622">
        <f>+'294 Forest Warden'!G12</f>
        <v>1631</v>
      </c>
      <c r="H67" s="622">
        <f>+'294 Forest Warden'!H12</f>
        <v>1631</v>
      </c>
      <c r="I67" s="622">
        <f>+'294 Forest Warden'!I12</f>
        <v>1631</v>
      </c>
      <c r="J67" s="622">
        <f>+'294 Forest Warden'!J12</f>
        <v>1710</v>
      </c>
      <c r="K67" s="622">
        <f>+'294 Forest Warden'!K12</f>
        <v>1710</v>
      </c>
      <c r="L67" s="637">
        <f>+'294 Forest Warden'!L12</f>
        <v>1710</v>
      </c>
      <c r="M67" s="637">
        <f>+'294 Forest Warden'!M12</f>
        <v>1710</v>
      </c>
      <c r="N67" s="637">
        <f>+'294 Forest Warden'!N12</f>
        <v>1710</v>
      </c>
      <c r="O67" s="637">
        <f>+'294 Forest Warden'!O12</f>
        <v>1710</v>
      </c>
      <c r="P67" s="637">
        <f>+'294 Forest Warden'!P12</f>
        <v>1710</v>
      </c>
      <c r="Q67" s="637">
        <f>+'294 Forest Warden'!Q12</f>
        <v>1710</v>
      </c>
      <c r="R67" s="622">
        <f>ROUND((+'294 Forest Warden'!S12),0)</f>
        <v>1882</v>
      </c>
      <c r="S67" s="622">
        <f>ROUND((+'294 Forest Warden'!T12),0)</f>
        <v>1882</v>
      </c>
      <c r="T67" s="622">
        <f>ROUND((+'294 Forest Warden'!U12),0)</f>
        <v>1882</v>
      </c>
      <c r="W67" s="625"/>
      <c r="X67" s="617"/>
      <c r="Y67" s="617"/>
      <c r="Z67" s="617"/>
      <c r="AA67" s="617"/>
      <c r="AB67" s="617"/>
      <c r="AC67" s="600"/>
    </row>
    <row r="68" spans="1:30" x14ac:dyDescent="0.25">
      <c r="A68" s="762">
        <v>299</v>
      </c>
      <c r="B68" s="617" t="s">
        <v>539</v>
      </c>
      <c r="C68" s="622">
        <f>+'299 Tree Warden'!C19</f>
        <v>11817.089999999998</v>
      </c>
      <c r="D68" s="622">
        <f>+'299 Tree Warden'!D19</f>
        <v>11889.699999999999</v>
      </c>
      <c r="E68" s="622">
        <f>+'299 Tree Warden'!E19</f>
        <v>12951.44</v>
      </c>
      <c r="F68" s="622">
        <f>+'299 Tree Warden'!F19</f>
        <v>12826.49</v>
      </c>
      <c r="G68" s="622">
        <f>+'299 Tree Warden'!G19</f>
        <v>13716</v>
      </c>
      <c r="H68" s="622">
        <f>+'299 Tree Warden'!H19</f>
        <v>16680.8</v>
      </c>
      <c r="I68" s="622">
        <f>+'299 Tree Warden'!I19</f>
        <v>17045.5</v>
      </c>
      <c r="J68" s="622">
        <f>+'299 Tree Warden'!J19</f>
        <v>15710</v>
      </c>
      <c r="K68" s="622">
        <f>+'299 Tree Warden'!K19</f>
        <v>20285</v>
      </c>
      <c r="L68" s="637">
        <f>+'299 Tree Warden'!L19</f>
        <v>19260</v>
      </c>
      <c r="M68" s="637">
        <f>+'299 Tree Warden'!M19</f>
        <v>30285</v>
      </c>
      <c r="N68" s="637">
        <f>+'299 Tree Warden'!N19</f>
        <v>27622.480000000003</v>
      </c>
      <c r="O68" s="637">
        <f>+'299 Tree Warden'!O19</f>
        <v>30285</v>
      </c>
      <c r="P68" s="637">
        <f>+'299 Tree Warden'!P19</f>
        <v>28479.1</v>
      </c>
      <c r="Q68" s="637">
        <f>+'299 Tree Warden'!Q19</f>
        <v>30285</v>
      </c>
      <c r="R68" s="622">
        <f>ROUND((+'299 Tree Warden'!S19),0)</f>
        <v>30474</v>
      </c>
      <c r="S68" s="622">
        <f>ROUND((+'299 Tree Warden'!T19),0)</f>
        <v>30474</v>
      </c>
      <c r="T68" s="622">
        <f>ROUND((+'299 Tree Warden'!U19),0)</f>
        <v>30474</v>
      </c>
      <c r="W68" s="625"/>
      <c r="X68" s="617"/>
      <c r="Y68" s="617"/>
      <c r="Z68" s="617"/>
      <c r="AA68" s="617"/>
      <c r="AB68" s="617"/>
      <c r="AC68" s="600"/>
    </row>
    <row r="69" spans="1:30" x14ac:dyDescent="0.25">
      <c r="A69" s="762"/>
      <c r="C69" s="622"/>
      <c r="D69" s="622"/>
      <c r="E69" s="622"/>
      <c r="F69" s="622"/>
      <c r="G69" s="622"/>
      <c r="H69" s="622"/>
      <c r="I69" s="622"/>
      <c r="J69" s="622"/>
      <c r="K69" s="622"/>
      <c r="R69" s="622"/>
      <c r="S69" s="622"/>
      <c r="W69" s="625"/>
      <c r="X69" s="617"/>
      <c r="Y69" s="617"/>
      <c r="Z69" s="617"/>
      <c r="AA69" s="617"/>
      <c r="AB69" s="617"/>
      <c r="AC69" s="600"/>
    </row>
    <row r="70" spans="1:30" x14ac:dyDescent="0.25">
      <c r="B70" s="617" t="s">
        <v>540</v>
      </c>
      <c r="C70" s="622">
        <f>SUM(C59:C68)</f>
        <v>1596976.3</v>
      </c>
      <c r="D70" s="622">
        <f>SUM(D59:D68)</f>
        <v>1698239.5899999999</v>
      </c>
      <c r="E70" s="622">
        <f>SUM(E59:E68)</f>
        <v>1828680.6299999997</v>
      </c>
      <c r="F70" s="622">
        <f>SUM(F59:F68)</f>
        <v>1873745.52</v>
      </c>
      <c r="G70" s="622">
        <f>SUM(G59:G68)</f>
        <v>1944187.5400000003</v>
      </c>
      <c r="H70" s="622">
        <f t="shared" ref="H70:R70" si="9">SUM(H59:H69)</f>
        <v>1842764.5700000003</v>
      </c>
      <c r="I70" s="622">
        <f t="shared" si="9"/>
        <v>2054897.81</v>
      </c>
      <c r="J70" s="622">
        <f t="shared" si="9"/>
        <v>2141335.19</v>
      </c>
      <c r="K70" s="622">
        <f t="shared" ref="K70" si="10">SUM(K59:K69)</f>
        <v>2209489</v>
      </c>
      <c r="L70" s="637">
        <f>SUM(L59:L69)</f>
        <v>2126238.14</v>
      </c>
      <c r="M70" s="637">
        <f t="shared" ref="M70:N70" si="11">SUM(M59:M69)</f>
        <v>2330853</v>
      </c>
      <c r="N70" s="637">
        <f t="shared" si="11"/>
        <v>2271632.0100000002</v>
      </c>
      <c r="O70" s="637">
        <f>SUM(O59:O69)</f>
        <v>2518169</v>
      </c>
      <c r="P70" s="637">
        <f t="shared" ref="P70:Q70" si="12">SUM(P59:P69)</f>
        <v>2465315.71</v>
      </c>
      <c r="Q70" s="637">
        <f t="shared" si="12"/>
        <v>2650917</v>
      </c>
      <c r="R70" s="622">
        <f t="shared" si="9"/>
        <v>2763598</v>
      </c>
      <c r="S70" s="622">
        <f t="shared" ref="S70:T70" si="13">SUM(S59:S69)</f>
        <v>2763598.105</v>
      </c>
      <c r="T70" s="622">
        <f t="shared" si="13"/>
        <v>2763598</v>
      </c>
      <c r="U70" s="621"/>
      <c r="W70" s="625"/>
      <c r="X70" s="617"/>
      <c r="Y70" s="617"/>
      <c r="Z70" s="617"/>
      <c r="AA70" s="617"/>
      <c r="AB70" s="617"/>
      <c r="AC70" s="600"/>
    </row>
    <row r="71" spans="1:30" x14ac:dyDescent="0.25">
      <c r="C71" s="622"/>
      <c r="D71" s="622"/>
      <c r="E71" s="622"/>
      <c r="F71" s="622"/>
      <c r="G71" s="622"/>
      <c r="H71" s="622"/>
      <c r="I71" s="622"/>
      <c r="J71" s="622"/>
      <c r="K71" s="622"/>
      <c r="R71" s="622"/>
      <c r="S71" s="622"/>
      <c r="U71" s="621"/>
      <c r="W71" s="625"/>
      <c r="X71" s="617"/>
      <c r="Y71" s="617"/>
      <c r="Z71" s="617"/>
      <c r="AA71" s="617"/>
      <c r="AB71" s="617"/>
      <c r="AC71" s="600"/>
    </row>
    <row r="72" spans="1:30" x14ac:dyDescent="0.25">
      <c r="B72" s="617" t="s">
        <v>541</v>
      </c>
      <c r="C72" s="622"/>
      <c r="D72" s="622"/>
      <c r="E72" s="622"/>
      <c r="F72" s="622"/>
      <c r="G72" s="622"/>
      <c r="H72" s="622"/>
      <c r="I72" s="622"/>
      <c r="J72" s="622"/>
      <c r="K72" s="622"/>
      <c r="R72" s="622"/>
      <c r="S72" s="622"/>
      <c r="U72" s="621"/>
      <c r="W72" s="625"/>
      <c r="X72" s="617"/>
      <c r="Y72" s="617"/>
      <c r="Z72" s="617"/>
      <c r="AA72" s="617"/>
      <c r="AB72" s="617"/>
      <c r="AC72" s="600"/>
    </row>
    <row r="73" spans="1:30" x14ac:dyDescent="0.25">
      <c r="A73" s="762">
        <v>420</v>
      </c>
      <c r="B73" s="617" t="s">
        <v>542</v>
      </c>
      <c r="C73" s="622">
        <f>+'420 DPW'!C61</f>
        <v>961847.43</v>
      </c>
      <c r="D73" s="622">
        <f>+'420 DPW'!D61</f>
        <v>1059583.8599999999</v>
      </c>
      <c r="E73" s="622">
        <f>+'420 DPW'!E61</f>
        <v>1131643.6700000004</v>
      </c>
      <c r="F73" s="622">
        <f>+'420 DPW'!F61</f>
        <v>1126607.77</v>
      </c>
      <c r="G73" s="622">
        <f>+'420 DPW'!G61</f>
        <v>1120246.68</v>
      </c>
      <c r="H73" s="622">
        <f>+'420 DPW'!H61</f>
        <v>1203442.93</v>
      </c>
      <c r="I73" s="622">
        <f>+'420 DPW'!I56+'420 DPW'!I17</f>
        <v>1292641</v>
      </c>
      <c r="J73" s="622">
        <f>+'420 DPW'!J56+'420 DPW'!J17</f>
        <v>1354730</v>
      </c>
      <c r="K73" s="622">
        <f>+'420 DPW'!K56+'420 DPW'!K17</f>
        <v>1441408</v>
      </c>
      <c r="L73" s="637">
        <f>+'420 DPW'!L56+'420 DPW'!L17</f>
        <v>1353859.55</v>
      </c>
      <c r="M73" s="637">
        <f>+'420 DPW'!M56+'420 DPW'!M17</f>
        <v>1518825</v>
      </c>
      <c r="N73" s="637">
        <f>+'420 DPW'!N56+'420 DPW'!N17</f>
        <v>1398154.08</v>
      </c>
      <c r="O73" s="637">
        <f>+'420 DPW'!O56+'420 DPW'!O17</f>
        <v>1571829</v>
      </c>
      <c r="P73" s="637">
        <f>+'420 DPW'!P56+'420 DPW'!P17</f>
        <v>1486281.32</v>
      </c>
      <c r="Q73" s="637">
        <f>+'420 DPW'!Q56+'420 DPW'!Q17</f>
        <v>1747506</v>
      </c>
      <c r="R73" s="622">
        <f>ROUND((+'420 DPW'!S56+'420 DPW'!S17),0)</f>
        <v>1772006</v>
      </c>
      <c r="S73" s="622">
        <f>+'420 DPW'!U61</f>
        <v>1772005.5</v>
      </c>
      <c r="T73" s="622">
        <f>ROUND((+'420 DPW'!U56+'420 DPW'!U17),0)</f>
        <v>1772006</v>
      </c>
      <c r="W73" s="625"/>
      <c r="X73" s="617"/>
      <c r="Y73" s="617"/>
      <c r="Z73" s="617"/>
      <c r="AA73" s="617"/>
      <c r="AB73" s="617"/>
      <c r="AC73" s="600"/>
    </row>
    <row r="74" spans="1:30" x14ac:dyDescent="0.25">
      <c r="A74" s="762"/>
      <c r="B74" s="617" t="s">
        <v>543</v>
      </c>
      <c r="C74" s="622"/>
      <c r="D74" s="622"/>
      <c r="E74" s="622"/>
      <c r="F74" s="622"/>
      <c r="G74" s="622"/>
      <c r="H74" s="622"/>
      <c r="I74" s="622">
        <f>+'422 Maintenance'!I52</f>
        <v>21320.41</v>
      </c>
      <c r="J74" s="622">
        <f>+'422 Maintenance'!J52</f>
        <v>21320.41</v>
      </c>
      <c r="K74" s="622">
        <f>+'422 Maintenance'!K52</f>
        <v>24090</v>
      </c>
      <c r="L74" s="637">
        <f>+'420 DPW'!L59</f>
        <v>21320.41</v>
      </c>
      <c r="M74" s="637">
        <f>+'420 DPW'!M59</f>
        <v>21321</v>
      </c>
      <c r="N74" s="637">
        <f>+'420 DPW'!N59</f>
        <v>21320.41</v>
      </c>
      <c r="O74" s="637">
        <f>+'420 DPW'!O59</f>
        <v>40000</v>
      </c>
      <c r="P74" s="637">
        <f>+'420 DPW'!P59</f>
        <v>38715</v>
      </c>
      <c r="Q74" s="637">
        <f>+'420 DPW'!Q59</f>
        <v>0</v>
      </c>
      <c r="R74" s="622">
        <f>ROUND((+'420 DPW'!S59),0)</f>
        <v>0</v>
      </c>
      <c r="S74" s="622">
        <f>ROUND((+'420 DPW'!T59),0)</f>
        <v>0</v>
      </c>
      <c r="T74" s="622">
        <f>ROUND((+'420 DPW'!U59),0)</f>
        <v>0</v>
      </c>
      <c r="W74" s="625"/>
      <c r="X74" s="617"/>
      <c r="Y74" s="617"/>
      <c r="Z74" s="617"/>
      <c r="AA74" s="617"/>
      <c r="AB74" s="617"/>
      <c r="AC74" s="600"/>
    </row>
    <row r="75" spans="1:30" x14ac:dyDescent="0.25">
      <c r="A75" s="762">
        <v>423</v>
      </c>
      <c r="B75" s="617" t="s">
        <v>544</v>
      </c>
      <c r="C75" s="622">
        <f>+'423 Snow'!C20</f>
        <v>160444.29999999999</v>
      </c>
      <c r="D75" s="622">
        <f>+'423 Snow'!D20</f>
        <v>210140.56</v>
      </c>
      <c r="E75" s="622">
        <f>+'423 Snow'!E20</f>
        <v>219244.89</v>
      </c>
      <c r="F75" s="622">
        <f>+'423 Snow'!F20</f>
        <v>123759.04000000001</v>
      </c>
      <c r="G75" s="622">
        <f>+'423 Snow'!G20</f>
        <v>205328.90000000002</v>
      </c>
      <c r="H75" s="622">
        <f>+'423 Snow'!H20</f>
        <v>222597.99</v>
      </c>
      <c r="I75" s="622">
        <f>+'423 Snow'!I20</f>
        <v>200141.16999999998</v>
      </c>
      <c r="J75" s="622">
        <f>+'423 Snow'!J20</f>
        <v>183319.78999999998</v>
      </c>
      <c r="K75" s="622">
        <f>+'423 Snow'!K20</f>
        <v>278050</v>
      </c>
      <c r="L75" s="637">
        <f>+'423 Snow'!L20</f>
        <v>161279.20000000001</v>
      </c>
      <c r="M75" s="637">
        <f>+'423 Snow'!M20</f>
        <v>278050</v>
      </c>
      <c r="N75" s="637">
        <f>+'423 Snow'!N20</f>
        <v>236595.78</v>
      </c>
      <c r="O75" s="637">
        <f>+'423 Snow'!O20</f>
        <v>281050</v>
      </c>
      <c r="P75" s="637">
        <f>+'423 Snow'!P20</f>
        <v>243064.74</v>
      </c>
      <c r="Q75" s="637">
        <f>+'423 Snow'!Q20</f>
        <v>311250</v>
      </c>
      <c r="R75" s="622">
        <f>ROUND((+'423 Snow'!S20),0)</f>
        <v>321250</v>
      </c>
      <c r="S75" s="622">
        <f>ROUND((+'423 Snow'!T20),0)</f>
        <v>321250</v>
      </c>
      <c r="T75" s="622">
        <f>ROUND((+'423 Snow'!U20),0)</f>
        <v>321250</v>
      </c>
      <c r="W75" s="625"/>
      <c r="X75" s="617"/>
      <c r="Y75" s="617"/>
      <c r="Z75" s="617"/>
      <c r="AA75" s="617"/>
      <c r="AB75" s="617"/>
      <c r="AC75" s="600"/>
    </row>
    <row r="76" spans="1:30" x14ac:dyDescent="0.25">
      <c r="A76" s="762">
        <v>433</v>
      </c>
      <c r="B76" s="617" t="s">
        <v>545</v>
      </c>
      <c r="C76" s="622">
        <f>+'433 Solid Waste'!C27</f>
        <v>429438.93999999994</v>
      </c>
      <c r="D76" s="622">
        <f>+'433 Solid Waste'!D27</f>
        <v>431107.1</v>
      </c>
      <c r="E76" s="622">
        <f>+'433 Solid Waste'!E27</f>
        <v>408831.09</v>
      </c>
      <c r="F76" s="622">
        <f>+'433 Solid Waste'!F27</f>
        <v>433084.91999999993</v>
      </c>
      <c r="G76" s="622">
        <f>+'433 Solid Waste'!G27</f>
        <v>424079.87999999995</v>
      </c>
      <c r="H76" s="622">
        <f>+'433 Solid Waste'!H27</f>
        <v>441302.8</v>
      </c>
      <c r="I76" s="622">
        <f>+'433 Solid Waste'!I27</f>
        <v>458147.52</v>
      </c>
      <c r="J76" s="622">
        <f>+'433 Solid Waste'!J27</f>
        <v>517898.2900000001</v>
      </c>
      <c r="K76" s="622">
        <f>+'433 Solid Waste'!K27</f>
        <v>598886</v>
      </c>
      <c r="L76" s="637">
        <f>+'433 Solid Waste'!L27</f>
        <v>564292.41999999993</v>
      </c>
      <c r="M76" s="637">
        <f>+'433 Solid Waste'!M27</f>
        <v>624796</v>
      </c>
      <c r="N76" s="637">
        <f>+'433 Solid Waste'!N27</f>
        <v>565345.15</v>
      </c>
      <c r="O76" s="637">
        <f>+'433 Solid Waste'!O27</f>
        <v>656338</v>
      </c>
      <c r="P76" s="637">
        <f>+'433 Solid Waste'!P27</f>
        <v>617098.09000000008</v>
      </c>
      <c r="Q76" s="637">
        <f>+'433 Solid Waste'!Q27</f>
        <v>679221</v>
      </c>
      <c r="R76" s="622">
        <f>ROUND((+'433 Solid Waste'!S27),0)</f>
        <v>802776</v>
      </c>
      <c r="S76" s="622">
        <f>ROUND((+'433 Solid Waste'!S27),0)</f>
        <v>802776</v>
      </c>
      <c r="T76" s="622">
        <f>ROUND((+'433 Solid Waste'!U27),0)</f>
        <v>802776</v>
      </c>
      <c r="W76" s="625"/>
      <c r="X76" s="617"/>
      <c r="Y76" s="617"/>
      <c r="Z76" s="617"/>
      <c r="AA76" s="617"/>
      <c r="AB76" s="617"/>
      <c r="AC76" s="600"/>
      <c r="AD76" s="625"/>
    </row>
    <row r="77" spans="1:30" x14ac:dyDescent="0.25">
      <c r="A77" s="762">
        <v>480</v>
      </c>
      <c r="B77" s="617" t="s">
        <v>546</v>
      </c>
      <c r="C77" s="622"/>
      <c r="D77" s="622"/>
      <c r="E77" s="622"/>
      <c r="F77" s="622"/>
      <c r="G77" s="622"/>
      <c r="H77" s="622"/>
      <c r="I77" s="622"/>
      <c r="J77" s="622"/>
      <c r="K77" s="622"/>
      <c r="L77" s="637">
        <f>+'480 Charging Stations'!L15</f>
        <v>3227.64</v>
      </c>
      <c r="M77" s="637">
        <f>+'480 Charging Stations'!M15</f>
        <v>6000</v>
      </c>
      <c r="N77" s="637">
        <f>+'480 Charging Stations'!N15</f>
        <v>4250.4799999999996</v>
      </c>
      <c r="O77" s="637">
        <f>+'480 Charging Stations'!O15</f>
        <v>6000</v>
      </c>
      <c r="P77" s="637">
        <f>+'480 Charging Stations'!P15</f>
        <v>6575.48</v>
      </c>
      <c r="Q77" s="637">
        <f>+'480 Charging Stations'!Q15</f>
        <v>7380</v>
      </c>
      <c r="R77" s="622">
        <f>ROUND((+'480 Charging Stations'!S15),0)</f>
        <v>11980</v>
      </c>
      <c r="S77" s="622">
        <f>ROUND((+'480 Charging Stations'!T15),0)</f>
        <v>11980</v>
      </c>
      <c r="T77" s="622">
        <f>ROUND((+'480 Charging Stations'!U15),0)</f>
        <v>11980</v>
      </c>
      <c r="W77" s="625"/>
      <c r="X77" s="617"/>
      <c r="Y77" s="617"/>
      <c r="Z77" s="617"/>
      <c r="AA77" s="617"/>
      <c r="AB77" s="617"/>
      <c r="AC77" s="600"/>
    </row>
    <row r="78" spans="1:30" x14ac:dyDescent="0.25">
      <c r="A78" s="762">
        <v>491</v>
      </c>
      <c r="B78" s="617" t="s">
        <v>547</v>
      </c>
      <c r="C78" s="622">
        <f>+'491 Cemetery'!C22</f>
        <v>4741</v>
      </c>
      <c r="D78" s="622">
        <f>+'491 Cemetery'!D22</f>
        <v>2715</v>
      </c>
      <c r="E78" s="622">
        <f>+'491 Cemetery'!E22</f>
        <v>5850</v>
      </c>
      <c r="F78" s="622">
        <f>+'491 Cemetery'!F22</f>
        <v>6360</v>
      </c>
      <c r="G78" s="622">
        <f>+'491 Cemetery'!G22</f>
        <v>6040</v>
      </c>
      <c r="H78" s="622">
        <f>+'491 Cemetery'!H22</f>
        <v>5440</v>
      </c>
      <c r="I78" s="622">
        <f>+'491 Cemetery'!I22</f>
        <v>6955</v>
      </c>
      <c r="J78" s="622">
        <f>+'491 Cemetery'!J22</f>
        <v>6845</v>
      </c>
      <c r="K78" s="622">
        <f>+'491 Cemetery'!K22</f>
        <v>7000</v>
      </c>
      <c r="L78" s="637">
        <f>+'491 Cemetery'!L22</f>
        <v>3227.64</v>
      </c>
      <c r="M78" s="637">
        <f>+'491 Cemetery'!M22</f>
        <v>13440</v>
      </c>
      <c r="N78" s="637">
        <f>+'491 Cemetery'!N22</f>
        <v>13366.84</v>
      </c>
      <c r="O78" s="637">
        <f>+'491 Cemetery'!O22</f>
        <v>14165</v>
      </c>
      <c r="P78" s="637">
        <f>+'491 Cemetery'!P22</f>
        <v>14165</v>
      </c>
      <c r="Q78" s="637">
        <f>+'491 Cemetery'!Q22</f>
        <v>30150</v>
      </c>
      <c r="R78" s="622">
        <f>ROUND((+'491 Cemetery'!S22),0)</f>
        <v>32150</v>
      </c>
      <c r="S78" s="622">
        <f>ROUND((+'491 Cemetery'!T22),0)</f>
        <v>32150</v>
      </c>
      <c r="T78" s="622">
        <f>ROUND((+'491 Cemetery'!U22),0)</f>
        <v>32150</v>
      </c>
      <c r="W78" s="625"/>
      <c r="X78" s="617"/>
      <c r="Y78" s="617"/>
      <c r="Z78" s="617"/>
      <c r="AA78" s="617"/>
      <c r="AB78" s="617"/>
      <c r="AC78" s="600"/>
    </row>
    <row r="79" spans="1:30" x14ac:dyDescent="0.25">
      <c r="C79" s="622"/>
      <c r="D79" s="622"/>
      <c r="E79" s="622"/>
      <c r="F79" s="622"/>
      <c r="G79" s="622"/>
      <c r="H79" s="622"/>
      <c r="I79" s="622"/>
      <c r="J79" s="622"/>
      <c r="K79" s="622"/>
      <c r="R79" s="622"/>
      <c r="S79" s="622"/>
      <c r="U79" s="621"/>
      <c r="W79" s="625"/>
      <c r="X79" s="617"/>
      <c r="Y79" s="617"/>
      <c r="Z79" s="617"/>
      <c r="AA79" s="617"/>
      <c r="AB79" s="617"/>
      <c r="AC79" s="600"/>
    </row>
    <row r="80" spans="1:30" x14ac:dyDescent="0.25">
      <c r="B80" s="617" t="s">
        <v>548</v>
      </c>
      <c r="C80" s="622">
        <f t="shared" ref="C80:R80" si="14">SUM(C73:C79)</f>
        <v>1556471.67</v>
      </c>
      <c r="D80" s="622">
        <f t="shared" si="14"/>
        <v>1703546.52</v>
      </c>
      <c r="E80" s="622">
        <f t="shared" si="14"/>
        <v>1765569.6500000006</v>
      </c>
      <c r="F80" s="622">
        <f t="shared" si="14"/>
        <v>1689811.73</v>
      </c>
      <c r="G80" s="622">
        <f t="shared" si="14"/>
        <v>1755695.46</v>
      </c>
      <c r="H80" s="622">
        <f t="shared" si="14"/>
        <v>1872783.72</v>
      </c>
      <c r="I80" s="622">
        <f>SUM(I73:I79)</f>
        <v>1979205.0999999999</v>
      </c>
      <c r="J80" s="622">
        <f>SUM(J73:J79)</f>
        <v>2084113.49</v>
      </c>
      <c r="K80" s="622">
        <f>SUM(K73:K79)</f>
        <v>2349434</v>
      </c>
      <c r="L80" s="637">
        <f>SUM(L73:L79)</f>
        <v>2107206.8600000003</v>
      </c>
      <c r="M80" s="637">
        <f t="shared" ref="M80:N80" si="15">SUM(M73:M79)</f>
        <v>2462432</v>
      </c>
      <c r="N80" s="637">
        <f t="shared" si="15"/>
        <v>2239032.7399999998</v>
      </c>
      <c r="O80" s="637">
        <f>SUM(O73:O79)</f>
        <v>2569382</v>
      </c>
      <c r="P80" s="637">
        <f t="shared" ref="P80:Q80" si="16">SUM(P73:P79)</f>
        <v>2405899.6300000004</v>
      </c>
      <c r="Q80" s="637">
        <f t="shared" si="16"/>
        <v>2775507</v>
      </c>
      <c r="R80" s="622">
        <f t="shared" si="14"/>
        <v>2940162</v>
      </c>
      <c r="S80" s="622">
        <f t="shared" ref="S80:T80" si="17">SUM(S73:S79)</f>
        <v>2940161.5</v>
      </c>
      <c r="T80" s="622">
        <f t="shared" si="17"/>
        <v>2940162</v>
      </c>
      <c r="U80" s="621"/>
      <c r="W80" s="625"/>
      <c r="X80" s="617"/>
      <c r="Y80" s="617"/>
      <c r="Z80" s="617"/>
      <c r="AA80" s="617"/>
      <c r="AB80" s="617"/>
      <c r="AC80" s="600"/>
    </row>
    <row r="81" spans="1:30" x14ac:dyDescent="0.25">
      <c r="C81" s="622"/>
      <c r="D81" s="622"/>
      <c r="E81" s="622"/>
      <c r="F81" s="622"/>
      <c r="G81" s="622"/>
      <c r="H81" s="622"/>
      <c r="I81" s="622"/>
      <c r="J81" s="622"/>
      <c r="K81" s="622"/>
      <c r="R81" s="622"/>
      <c r="S81" s="622"/>
      <c r="U81" s="621"/>
      <c r="W81" s="625"/>
      <c r="X81" s="617"/>
      <c r="Y81" s="617"/>
      <c r="Z81" s="617"/>
      <c r="AA81" s="617"/>
      <c r="AB81" s="617"/>
      <c r="AC81" s="600"/>
    </row>
    <row r="82" spans="1:30" x14ac:dyDescent="0.25">
      <c r="B82" s="617" t="s">
        <v>549</v>
      </c>
      <c r="C82" s="622"/>
      <c r="D82" s="622"/>
      <c r="E82" s="622"/>
      <c r="F82" s="622"/>
      <c r="G82" s="622"/>
      <c r="H82" s="622"/>
      <c r="I82" s="622"/>
      <c r="J82" s="622"/>
      <c r="K82" s="622"/>
      <c r="R82" s="622"/>
      <c r="S82" s="622"/>
      <c r="U82" s="621"/>
      <c r="W82" s="625"/>
      <c r="X82" s="617"/>
      <c r="Y82" s="617"/>
      <c r="Z82" s="617"/>
      <c r="AA82" s="617"/>
      <c r="AB82" s="617"/>
      <c r="AC82" s="600"/>
    </row>
    <row r="83" spans="1:30" x14ac:dyDescent="0.25">
      <c r="C83" s="622"/>
      <c r="D83" s="622"/>
      <c r="E83" s="622"/>
      <c r="F83" s="622"/>
      <c r="G83" s="622"/>
      <c r="H83" s="622"/>
      <c r="I83" s="622"/>
      <c r="J83" s="622"/>
      <c r="K83" s="622"/>
      <c r="R83" s="622"/>
      <c r="S83" s="622"/>
      <c r="U83" s="621"/>
      <c r="W83" s="625"/>
      <c r="X83" s="617"/>
      <c r="Y83" s="617"/>
      <c r="Z83" s="617"/>
      <c r="AA83" s="617"/>
      <c r="AB83" s="617"/>
      <c r="AC83" s="600"/>
    </row>
    <row r="84" spans="1:30" x14ac:dyDescent="0.25">
      <c r="A84" s="762">
        <v>511</v>
      </c>
      <c r="B84" s="617" t="s">
        <v>550</v>
      </c>
      <c r="C84" s="622">
        <f>+'511 BOH'!C41</f>
        <v>97293.04</v>
      </c>
      <c r="D84" s="622">
        <f>+'511 BOH'!D41</f>
        <v>98685.689999999988</v>
      </c>
      <c r="E84" s="622">
        <f>+'511 BOH'!E41</f>
        <v>103003.68</v>
      </c>
      <c r="F84" s="622">
        <f>+'511 BOH'!F41</f>
        <v>102608.92</v>
      </c>
      <c r="G84" s="622">
        <f>+'511 BOH'!G41</f>
        <v>99526.229999999981</v>
      </c>
      <c r="H84" s="622">
        <f>+'511 BOH'!H41</f>
        <v>101704.90000000001</v>
      </c>
      <c r="I84" s="622">
        <f>+'511 BOH'!I41</f>
        <v>118527.73000000001</v>
      </c>
      <c r="J84" s="622">
        <f>+'511 BOH'!J41</f>
        <v>122512.12</v>
      </c>
      <c r="K84" s="622">
        <f>+'511 BOH'!K41</f>
        <v>135948</v>
      </c>
      <c r="L84" s="637">
        <f>+'511 BOH'!L41</f>
        <v>135821.25</v>
      </c>
      <c r="M84" s="637">
        <f>+'511 BOH'!M41</f>
        <v>160324</v>
      </c>
      <c r="N84" s="637">
        <f>+'511 BOH'!N41</f>
        <v>160829.24</v>
      </c>
      <c r="O84" s="637">
        <f>+'511 BOH'!O41</f>
        <v>165193</v>
      </c>
      <c r="P84" s="637">
        <f>+'511 BOH'!P41</f>
        <v>133762.22999999998</v>
      </c>
      <c r="Q84" s="637">
        <f>+'511 BOH'!Q41</f>
        <v>175444</v>
      </c>
      <c r="R84" s="622">
        <f>ROUND((+'511 BOH'!S41),0)</f>
        <v>168004</v>
      </c>
      <c r="S84" s="625">
        <f>ROUND((+'511 BOH'!T41),0)</f>
        <v>168004</v>
      </c>
      <c r="T84" s="622">
        <f>ROUND((+'511 BOH'!U41),0)</f>
        <v>168004</v>
      </c>
      <c r="W84" s="625"/>
      <c r="X84" s="617"/>
      <c r="Y84" s="617"/>
      <c r="Z84" s="617"/>
      <c r="AA84" s="617"/>
      <c r="AB84" s="617"/>
      <c r="AC84" s="600"/>
      <c r="AD84" s="625"/>
    </row>
    <row r="85" spans="1:30" x14ac:dyDescent="0.25">
      <c r="A85" s="762">
        <v>541</v>
      </c>
      <c r="B85" s="617" t="s">
        <v>551</v>
      </c>
      <c r="C85" s="622">
        <f>+'541 COA'!C26</f>
        <v>27212.79</v>
      </c>
      <c r="D85" s="622">
        <f>+'541 COA'!D26</f>
        <v>36745</v>
      </c>
      <c r="E85" s="622">
        <f>+'541 COA'!E26</f>
        <v>37843.519999999997</v>
      </c>
      <c r="F85" s="622">
        <f>+'541 COA'!F26</f>
        <v>38245.67</v>
      </c>
      <c r="G85" s="622">
        <f>+'541 COA'!G26</f>
        <v>42457.31</v>
      </c>
      <c r="H85" s="622">
        <f>+'541 COA'!H26</f>
        <v>42878.82</v>
      </c>
      <c r="I85" s="622">
        <f>+'541 COA'!I26</f>
        <v>43889</v>
      </c>
      <c r="J85" s="622">
        <f>+'541 COA'!J26</f>
        <v>42131.199999999997</v>
      </c>
      <c r="K85" s="622">
        <f>+'541 COA'!K26</f>
        <v>46980</v>
      </c>
      <c r="L85" s="637">
        <f>+'541 COA'!L26</f>
        <v>38774.019999999997</v>
      </c>
      <c r="M85" s="637">
        <f>+'541 COA'!M26</f>
        <v>46521</v>
      </c>
      <c r="N85" s="637">
        <f>+'541 COA'!N26</f>
        <v>38780.04</v>
      </c>
      <c r="O85" s="637">
        <f>+'541 COA'!O26</f>
        <v>56594</v>
      </c>
      <c r="P85" s="637">
        <f>+'541 COA'!P26</f>
        <v>52671.199999999997</v>
      </c>
      <c r="Q85" s="637">
        <f>+'541 COA'!Q26</f>
        <v>58593</v>
      </c>
      <c r="R85" s="622">
        <f>ROUND((+'541 COA'!S26),0)</f>
        <v>59272</v>
      </c>
      <c r="S85" s="622">
        <f>ROUND((+'541 COA'!T26),0)</f>
        <v>59272</v>
      </c>
      <c r="T85" s="622">
        <f>ROUND((+'541 COA'!U26),0)</f>
        <v>59272</v>
      </c>
      <c r="W85" s="625"/>
      <c r="X85" s="617"/>
      <c r="Y85" s="617"/>
      <c r="Z85" s="617"/>
      <c r="AA85" s="617"/>
      <c r="AB85" s="617"/>
      <c r="AC85" s="600"/>
    </row>
    <row r="86" spans="1:30" x14ac:dyDescent="0.25">
      <c r="A86" s="762">
        <v>543</v>
      </c>
      <c r="B86" s="617" t="s">
        <v>552</v>
      </c>
      <c r="C86" s="622">
        <f>+'543 Vets'!C15</f>
        <v>143993.04</v>
      </c>
      <c r="D86" s="622">
        <f>+'543 Vets'!D15</f>
        <v>154826.14000000001</v>
      </c>
      <c r="E86" s="622">
        <f>+'543 Vets'!E15</f>
        <v>161951.34</v>
      </c>
      <c r="F86" s="622">
        <f>+'543 Vets'!F15</f>
        <v>144534.15</v>
      </c>
      <c r="G86" s="622">
        <f>+'543 Vets'!G15</f>
        <v>113174.07</v>
      </c>
      <c r="H86" s="622">
        <f>+'543 Vets'!H15</f>
        <v>84869.32</v>
      </c>
      <c r="I86" s="622">
        <f>+'543 Vets'!I15</f>
        <v>74175.16</v>
      </c>
      <c r="J86" s="622">
        <f>+'543 Vets'!J15</f>
        <v>74474.489999999991</v>
      </c>
      <c r="K86" s="622">
        <f>+'543 Vets'!K15</f>
        <v>88400</v>
      </c>
      <c r="L86" s="637">
        <f>+'543 Vets'!L15</f>
        <v>73756.39</v>
      </c>
      <c r="M86" s="637">
        <f>+'543 Vets'!M15</f>
        <v>87800</v>
      </c>
      <c r="N86" s="637">
        <f>+'543 Vets'!N15</f>
        <v>58767.73</v>
      </c>
      <c r="O86" s="637">
        <f>+'543 Vets'!O15</f>
        <v>76500</v>
      </c>
      <c r="P86" s="637">
        <f>+'543 Vets'!P15</f>
        <v>52147.09</v>
      </c>
      <c r="Q86" s="637">
        <f>+'543 Vets'!Q15</f>
        <v>76500</v>
      </c>
      <c r="R86" s="622">
        <f>ROUND((+'543 Vets'!S15),0)</f>
        <v>77897</v>
      </c>
      <c r="S86" s="622">
        <f>ROUND((+'543 Vets'!T15),0)</f>
        <v>77897</v>
      </c>
      <c r="T86" s="622">
        <f>ROUND((+'543 Vets'!U15),0)</f>
        <v>77897</v>
      </c>
      <c r="W86" s="625"/>
      <c r="X86" s="617"/>
      <c r="Y86" s="617"/>
      <c r="Z86" s="617"/>
      <c r="AA86" s="617"/>
      <c r="AB86" s="617"/>
      <c r="AC86" s="600"/>
    </row>
    <row r="87" spans="1:30" x14ac:dyDescent="0.25">
      <c r="C87" s="622"/>
      <c r="D87" s="622"/>
      <c r="E87" s="622"/>
      <c r="F87" s="622"/>
      <c r="G87" s="622"/>
      <c r="H87" s="622"/>
      <c r="I87" s="622"/>
      <c r="J87" s="622"/>
      <c r="K87" s="622"/>
      <c r="R87" s="622"/>
      <c r="S87" s="622"/>
      <c r="W87" s="622"/>
      <c r="X87" s="617"/>
      <c r="Y87" s="617"/>
      <c r="Z87" s="617"/>
      <c r="AA87" s="617"/>
      <c r="AB87" s="617"/>
      <c r="AC87" s="600"/>
    </row>
    <row r="88" spans="1:30" x14ac:dyDescent="0.25">
      <c r="B88" s="617" t="s">
        <v>553</v>
      </c>
      <c r="C88" s="622">
        <f>SUM(C69:C87)</f>
        <v>4978418.51</v>
      </c>
      <c r="D88" s="622">
        <f>SUM(D69:D87)</f>
        <v>5395589.46</v>
      </c>
      <c r="E88" s="622">
        <f>SUM(E69:E87)</f>
        <v>5662618.4699999997</v>
      </c>
      <c r="F88" s="622">
        <f>SUM(F69:F87)</f>
        <v>5538757.7200000007</v>
      </c>
      <c r="G88" s="622">
        <f>SUM(G69:G87)</f>
        <v>5710736.0699999994</v>
      </c>
      <c r="H88" s="622">
        <f t="shared" ref="H88:R88" si="18">SUM(H84:H87)</f>
        <v>229453.04</v>
      </c>
      <c r="I88" s="622">
        <f t="shared" si="18"/>
        <v>236591.89</v>
      </c>
      <c r="J88" s="622">
        <f t="shared" si="18"/>
        <v>239117.81</v>
      </c>
      <c r="K88" s="622">
        <f t="shared" ref="K88" si="19">SUM(K84:K87)</f>
        <v>271328</v>
      </c>
      <c r="L88" s="637">
        <f>SUM(L84:L87)</f>
        <v>248351.65999999997</v>
      </c>
      <c r="M88" s="637">
        <f t="shared" ref="M88:N88" si="20">SUM(M84:M87)</f>
        <v>294645</v>
      </c>
      <c r="N88" s="637">
        <f t="shared" si="20"/>
        <v>258377.01</v>
      </c>
      <c r="O88" s="637">
        <f>SUM(O84:O87)</f>
        <v>298287</v>
      </c>
      <c r="P88" s="637">
        <f t="shared" ref="P88:Q88" si="21">SUM(P84:P87)</f>
        <v>238580.52</v>
      </c>
      <c r="Q88" s="637">
        <f t="shared" si="21"/>
        <v>310537</v>
      </c>
      <c r="R88" s="622">
        <f t="shared" si="18"/>
        <v>305173</v>
      </c>
      <c r="S88" s="622">
        <f t="shared" ref="S88:T88" si="22">SUM(S84:S87)</f>
        <v>305173</v>
      </c>
      <c r="T88" s="622">
        <f t="shared" si="22"/>
        <v>305173</v>
      </c>
      <c r="U88" s="621"/>
      <c r="W88" s="622"/>
      <c r="X88" s="617"/>
      <c r="Y88" s="617"/>
      <c r="Z88" s="617"/>
      <c r="AA88" s="617"/>
      <c r="AB88" s="617"/>
      <c r="AC88" s="600"/>
    </row>
    <row r="89" spans="1:30" x14ac:dyDescent="0.25">
      <c r="C89" s="622"/>
      <c r="D89" s="622"/>
      <c r="E89" s="622"/>
      <c r="F89" s="622"/>
      <c r="G89" s="622"/>
      <c r="H89" s="622"/>
      <c r="I89" s="622"/>
      <c r="J89" s="622"/>
      <c r="K89" s="622"/>
      <c r="R89" s="622"/>
      <c r="S89" s="622"/>
      <c r="U89" s="621"/>
      <c r="W89" s="622"/>
      <c r="X89" s="617"/>
      <c r="Y89" s="617"/>
      <c r="Z89" s="617"/>
      <c r="AA89" s="617"/>
      <c r="AB89" s="617"/>
      <c r="AC89" s="600"/>
    </row>
    <row r="90" spans="1:30" x14ac:dyDescent="0.25">
      <c r="B90" s="617" t="s">
        <v>554</v>
      </c>
      <c r="C90" s="622"/>
      <c r="D90" s="622"/>
      <c r="E90" s="622"/>
      <c r="F90" s="622"/>
      <c r="G90" s="622"/>
      <c r="H90" s="622"/>
      <c r="I90" s="622"/>
      <c r="J90" s="622"/>
      <c r="K90" s="622"/>
      <c r="R90" s="622"/>
      <c r="S90" s="622"/>
      <c r="U90" s="621"/>
      <c r="W90" s="622"/>
      <c r="X90" s="617"/>
      <c r="Y90" s="617"/>
      <c r="Z90" s="617"/>
      <c r="AA90" s="617"/>
      <c r="AB90" s="617"/>
      <c r="AC90" s="600"/>
    </row>
    <row r="91" spans="1:30" x14ac:dyDescent="0.25">
      <c r="A91" s="762">
        <v>610</v>
      </c>
      <c r="B91" s="617" t="s">
        <v>555</v>
      </c>
      <c r="C91" s="622">
        <f>+'610 Library'!C46</f>
        <v>303901</v>
      </c>
      <c r="D91" s="622">
        <f>+'610 Library'!D46</f>
        <v>325233</v>
      </c>
      <c r="E91" s="622">
        <f>+'610 Library'!E46</f>
        <v>337643</v>
      </c>
      <c r="F91" s="622">
        <f>+'610 Library'!F46</f>
        <v>351149.00000000006</v>
      </c>
      <c r="G91" s="622">
        <f>+'610 Library'!G46</f>
        <v>364970</v>
      </c>
      <c r="H91" s="622">
        <f>+'610 Library'!H46</f>
        <v>386328.00000000006</v>
      </c>
      <c r="I91" s="622">
        <f>+'610 Library'!I46</f>
        <v>401962</v>
      </c>
      <c r="J91" s="622">
        <f>+'610 Library'!J46</f>
        <v>411071</v>
      </c>
      <c r="K91" s="622">
        <f>+'610 Library'!K46</f>
        <v>426950</v>
      </c>
      <c r="L91" s="637">
        <f>+'610 Library'!L46</f>
        <v>426453.92999999993</v>
      </c>
      <c r="M91" s="637">
        <f>+'610 Library'!M46</f>
        <v>437744</v>
      </c>
      <c r="N91" s="637">
        <f>+'610 Library'!N46</f>
        <v>446390.26999999996</v>
      </c>
      <c r="O91" s="637">
        <f>+'610 Library'!O46</f>
        <v>465607</v>
      </c>
      <c r="P91" s="637">
        <f>+'610 Library'!P46</f>
        <v>459387.24</v>
      </c>
      <c r="Q91" s="637">
        <f>+'610 Library'!Q46</f>
        <v>503336</v>
      </c>
      <c r="R91" s="622">
        <f>ROUND((+'610 Library'!S46),0)</f>
        <v>518233</v>
      </c>
      <c r="S91" s="622">
        <f>ROUND((+'610 Library'!T46),0)</f>
        <v>518233</v>
      </c>
      <c r="T91" s="622">
        <f>ROUND((+'610 Library'!U46),0)</f>
        <v>518233</v>
      </c>
      <c r="W91" s="622"/>
      <c r="X91" s="617"/>
      <c r="Y91" s="617"/>
      <c r="Z91" s="617"/>
      <c r="AA91" s="617"/>
      <c r="AB91" s="617"/>
      <c r="AC91" s="600"/>
    </row>
    <row r="92" spans="1:30" x14ac:dyDescent="0.25">
      <c r="A92" s="762">
        <v>630</v>
      </c>
      <c r="B92" s="617" t="s">
        <v>556</v>
      </c>
      <c r="C92" s="622">
        <f>+'630 Recreation'!C29</f>
        <v>93539.86</v>
      </c>
      <c r="D92" s="622">
        <f>+'630 Recreation'!D29</f>
        <v>101235.73999999999</v>
      </c>
      <c r="E92" s="622">
        <f>+'630 Recreation'!E29</f>
        <v>104042.40999999999</v>
      </c>
      <c r="F92" s="622">
        <f>+'630 Recreation'!F29</f>
        <v>116111.64</v>
      </c>
      <c r="G92" s="622">
        <f>+'630 Recreation'!G29</f>
        <v>120911.25</v>
      </c>
      <c r="H92" s="622">
        <f>+'630 Recreation'!H29</f>
        <v>128193.00000000001</v>
      </c>
      <c r="I92" s="622">
        <f>+'630 Recreation'!I29</f>
        <v>130539.37</v>
      </c>
      <c r="J92" s="622">
        <f>+'630 Recreation'!J29</f>
        <v>141325.91</v>
      </c>
      <c r="K92" s="622">
        <f>+'630 Recreation'!K29</f>
        <v>143539</v>
      </c>
      <c r="L92" s="637">
        <f>+'630 Recreation'!L29</f>
        <v>143294.66999999998</v>
      </c>
      <c r="M92" s="637">
        <f>+'630 Recreation'!M29</f>
        <v>147944</v>
      </c>
      <c r="N92" s="637">
        <f>+'630 Recreation'!N29</f>
        <v>150684.97</v>
      </c>
      <c r="O92" s="637">
        <f>+'630 Recreation'!O29</f>
        <v>155657</v>
      </c>
      <c r="P92" s="637">
        <f>+'630 Recreation'!P29</f>
        <v>155502.64000000001</v>
      </c>
      <c r="Q92" s="637">
        <f>+'630 Recreation'!Q29</f>
        <v>160703</v>
      </c>
      <c r="R92" s="622">
        <f>ROUND((+'630 Recreation'!S29),0)</f>
        <v>164826</v>
      </c>
      <c r="S92" s="622">
        <f>ROUND((+'630 Recreation'!T29),0)</f>
        <v>164826</v>
      </c>
      <c r="T92" s="622">
        <f>ROUND((+'630 Recreation'!U29),0)</f>
        <v>164826</v>
      </c>
      <c r="W92" s="622"/>
      <c r="X92" s="617"/>
      <c r="Y92" s="617"/>
      <c r="Z92" s="617"/>
      <c r="AA92" s="617"/>
      <c r="AB92" s="617"/>
      <c r="AC92" s="600"/>
    </row>
    <row r="93" spans="1:30" x14ac:dyDescent="0.25">
      <c r="A93" s="762">
        <v>691</v>
      </c>
      <c r="B93" s="617" t="s">
        <v>557</v>
      </c>
      <c r="C93" s="622">
        <f>+'691 Historical Comm'!C15</f>
        <v>253.28</v>
      </c>
      <c r="D93" s="622">
        <f>+'691 Historical Comm'!D15</f>
        <v>0</v>
      </c>
      <c r="E93" s="622">
        <f>+'691 Historical Comm'!E15</f>
        <v>434.33</v>
      </c>
      <c r="F93" s="622">
        <f>+'691 Historical Comm'!F15</f>
        <v>0</v>
      </c>
      <c r="G93" s="622">
        <f>+'691 Historical Comm'!G15</f>
        <v>0</v>
      </c>
      <c r="H93" s="622">
        <f>+'691 Historical Comm'!H15</f>
        <v>253.19</v>
      </c>
      <c r="I93" s="622">
        <f>+'691 Historical Comm'!I15</f>
        <v>0</v>
      </c>
      <c r="J93" s="622">
        <f>+'691 Historical Comm'!J15</f>
        <v>0</v>
      </c>
      <c r="K93" s="622">
        <f>+'691 Historical Comm'!K15</f>
        <v>500</v>
      </c>
      <c r="L93" s="637">
        <f>+'691 Historical Comm'!L15</f>
        <v>500</v>
      </c>
      <c r="M93" s="637">
        <f>+'691 Historical Comm'!M15</f>
        <v>500</v>
      </c>
      <c r="N93" s="637">
        <f>+'691 Historical Comm'!N15</f>
        <v>0</v>
      </c>
      <c r="O93" s="637">
        <f>+'691 Historical Comm'!O15</f>
        <v>500</v>
      </c>
      <c r="P93" s="637">
        <f>+'691 Historical Comm'!P15</f>
        <v>0</v>
      </c>
      <c r="Q93" s="637">
        <f>+'691 Historical Comm'!Q15</f>
        <v>500</v>
      </c>
      <c r="R93" s="622">
        <f>ROUND((+'691 Historical Comm'!S15),0)</f>
        <v>500</v>
      </c>
      <c r="S93" s="622">
        <f>ROUND((+'691 Historical Comm'!T15),0)</f>
        <v>500</v>
      </c>
      <c r="T93" s="622">
        <f>ROUND((+'691 Historical Comm'!U15),0)</f>
        <v>500</v>
      </c>
      <c r="W93" s="622"/>
      <c r="X93" s="617"/>
      <c r="Y93" s="617"/>
      <c r="Z93" s="617"/>
      <c r="AA93" s="617"/>
      <c r="AB93" s="617"/>
      <c r="AC93" s="600"/>
    </row>
    <row r="94" spans="1:30" x14ac:dyDescent="0.25">
      <c r="A94" s="762">
        <v>693</v>
      </c>
      <c r="B94" s="617" t="s">
        <v>558</v>
      </c>
      <c r="C94" s="622">
        <f>+'693 Memorials'!C14</f>
        <v>1230.25</v>
      </c>
      <c r="D94" s="622">
        <f>+'693 Memorials'!D14</f>
        <v>819.41</v>
      </c>
      <c r="E94" s="622">
        <f>+'693 Memorials'!E14</f>
        <v>1049.43</v>
      </c>
      <c r="F94" s="622">
        <f>+'693 Memorials'!F14</f>
        <v>1189.6199999999999</v>
      </c>
      <c r="G94" s="622">
        <f>+'693 Memorials'!G14</f>
        <v>1188.96</v>
      </c>
      <c r="H94" s="622">
        <f>+'693 Memorials'!H14</f>
        <v>1200</v>
      </c>
      <c r="I94" s="622">
        <f>+'693 Memorials'!I14</f>
        <v>800.77</v>
      </c>
      <c r="J94" s="622">
        <f>+'693 Memorials'!J14</f>
        <v>937.62</v>
      </c>
      <c r="K94" s="622">
        <f>+'693 Memorials'!K14</f>
        <v>1300</v>
      </c>
      <c r="L94" s="637">
        <f>+'693 Memorials'!L14</f>
        <v>791.89</v>
      </c>
      <c r="M94" s="637">
        <f>+'693 Memorials'!M14</f>
        <v>1300</v>
      </c>
      <c r="N94" s="637">
        <f>+'693 Memorials'!N14</f>
        <v>1192.21</v>
      </c>
      <c r="O94" s="637">
        <f>+'693 Memorials'!O14</f>
        <v>1400</v>
      </c>
      <c r="P94" s="637">
        <f>+'693 Memorials'!P14</f>
        <v>1342.9499999999998</v>
      </c>
      <c r="Q94" s="637">
        <f>+'693 Memorials'!Q14</f>
        <v>1600</v>
      </c>
      <c r="R94" s="622">
        <f>ROUND((+'693 Memorials'!S14),0)</f>
        <v>1600</v>
      </c>
      <c r="S94" s="622">
        <f>ROUND((+'693 Memorials'!T14),0)</f>
        <v>1600</v>
      </c>
      <c r="T94" s="622">
        <f>ROUND((+'693 Memorials'!U14),0)</f>
        <v>1600</v>
      </c>
      <c r="W94" s="622"/>
      <c r="X94" s="617"/>
      <c r="Y94" s="617"/>
      <c r="Z94" s="617"/>
      <c r="AA94" s="617"/>
      <c r="AB94" s="617"/>
      <c r="AC94" s="600"/>
    </row>
    <row r="95" spans="1:30" x14ac:dyDescent="0.25">
      <c r="C95" s="622"/>
      <c r="D95" s="622"/>
      <c r="E95" s="622"/>
      <c r="F95" s="622"/>
      <c r="G95" s="622"/>
      <c r="H95" s="622"/>
      <c r="I95" s="622"/>
      <c r="J95" s="622"/>
      <c r="K95" s="622"/>
      <c r="R95" s="622"/>
      <c r="S95" s="622"/>
      <c r="W95" s="622"/>
      <c r="X95" s="617"/>
      <c r="Y95" s="617"/>
      <c r="Z95" s="617"/>
      <c r="AA95" s="617"/>
      <c r="AB95" s="617"/>
      <c r="AC95" s="600"/>
    </row>
    <row r="96" spans="1:30" x14ac:dyDescent="0.25">
      <c r="B96" s="617" t="s">
        <v>559</v>
      </c>
      <c r="C96" s="622">
        <f t="shared" ref="C96:R96" si="23">SUM(C91:C95)</f>
        <v>398924.39</v>
      </c>
      <c r="D96" s="622">
        <f t="shared" si="23"/>
        <v>427288.14999999997</v>
      </c>
      <c r="E96" s="622">
        <f t="shared" si="23"/>
        <v>443169.17</v>
      </c>
      <c r="F96" s="622">
        <f t="shared" si="23"/>
        <v>468450.26000000007</v>
      </c>
      <c r="G96" s="622">
        <f t="shared" si="23"/>
        <v>487070.21</v>
      </c>
      <c r="H96" s="622">
        <f t="shared" si="23"/>
        <v>515974.19000000006</v>
      </c>
      <c r="I96" s="622">
        <f t="shared" si="23"/>
        <v>533302.14</v>
      </c>
      <c r="J96" s="622">
        <f t="shared" ref="J96:K96" si="24">SUM(J91:J95)</f>
        <v>553334.53</v>
      </c>
      <c r="K96" s="622">
        <f t="shared" si="24"/>
        <v>572289</v>
      </c>
      <c r="L96" s="637">
        <f>SUM(L91:L95)</f>
        <v>571040.48999999987</v>
      </c>
      <c r="M96" s="637">
        <f t="shared" ref="M96:N96" si="25">SUM(M91:M95)</f>
        <v>587488</v>
      </c>
      <c r="N96" s="637">
        <f t="shared" si="25"/>
        <v>598267.44999999995</v>
      </c>
      <c r="O96" s="637">
        <f>SUM(O91:O95)</f>
        <v>623164</v>
      </c>
      <c r="P96" s="637">
        <f t="shared" ref="P96:Q96" si="26">SUM(P91:P95)</f>
        <v>616232.82999999996</v>
      </c>
      <c r="Q96" s="637">
        <f t="shared" si="26"/>
        <v>666139</v>
      </c>
      <c r="R96" s="622">
        <f t="shared" si="23"/>
        <v>685159</v>
      </c>
      <c r="S96" s="622">
        <f t="shared" ref="S96:T96" si="27">SUM(S91:S95)</f>
        <v>685159</v>
      </c>
      <c r="T96" s="622">
        <f t="shared" si="27"/>
        <v>685159</v>
      </c>
      <c r="U96" s="621"/>
      <c r="W96" s="622"/>
      <c r="X96" s="617"/>
      <c r="Y96" s="617"/>
      <c r="Z96" s="617"/>
      <c r="AA96" s="617"/>
      <c r="AB96" s="617"/>
      <c r="AC96" s="600"/>
    </row>
    <row r="97" spans="1:29" x14ac:dyDescent="0.25">
      <c r="C97" s="622"/>
      <c r="D97" s="622"/>
      <c r="E97" s="622"/>
      <c r="F97" s="622"/>
      <c r="G97" s="622"/>
      <c r="H97" s="622"/>
      <c r="I97" s="622"/>
      <c r="J97" s="622"/>
      <c r="K97" s="622"/>
      <c r="R97" s="622"/>
      <c r="S97" s="622"/>
      <c r="U97" s="621"/>
      <c r="W97" s="622"/>
      <c r="X97" s="617"/>
      <c r="Y97" s="617"/>
      <c r="Z97" s="617"/>
      <c r="AA97" s="617"/>
      <c r="AB97" s="617"/>
      <c r="AC97" s="600"/>
    </row>
    <row r="98" spans="1:29" x14ac:dyDescent="0.25">
      <c r="B98" s="617" t="s">
        <v>560</v>
      </c>
      <c r="C98" s="622"/>
      <c r="D98" s="622"/>
      <c r="E98" s="622"/>
      <c r="F98" s="622"/>
      <c r="G98" s="622"/>
      <c r="H98" s="622"/>
      <c r="I98" s="622"/>
      <c r="J98" s="622"/>
      <c r="K98" s="622"/>
      <c r="R98" s="622"/>
      <c r="S98" s="622"/>
      <c r="U98" s="621"/>
      <c r="W98" s="622"/>
      <c r="X98" s="617"/>
      <c r="Y98" s="617"/>
      <c r="Z98" s="617"/>
      <c r="AA98" s="617"/>
      <c r="AB98" s="617"/>
      <c r="AC98" s="600"/>
    </row>
    <row r="99" spans="1:29" x14ac:dyDescent="0.25">
      <c r="A99" s="762">
        <v>700</v>
      </c>
      <c r="B99" s="617" t="s">
        <v>560</v>
      </c>
      <c r="C99" s="622">
        <f>+'700 Debt '!C64</f>
        <v>624059.19999999995</v>
      </c>
      <c r="D99" s="622">
        <f>+'700 Debt '!D64</f>
        <v>627106.03000000014</v>
      </c>
      <c r="E99" s="622">
        <f>+'700 Debt '!E64</f>
        <v>653275.82999999996</v>
      </c>
      <c r="F99" s="622">
        <f>+'700 Debt '!F64</f>
        <v>651031.29</v>
      </c>
      <c r="G99" s="622">
        <f>+'700 Debt '!G64</f>
        <v>655052.56000000006</v>
      </c>
      <c r="H99" s="622">
        <f>+'700 Debt '!H64</f>
        <v>630911.34</v>
      </c>
      <c r="I99" s="622">
        <f>+'700 Debt '!I64</f>
        <v>625348.28</v>
      </c>
      <c r="J99" s="622">
        <f>+'700 Debt '!J64</f>
        <v>824346.28999999992</v>
      </c>
      <c r="K99" s="622">
        <f>+'700 Debt '!K64</f>
        <v>1128500</v>
      </c>
      <c r="L99" s="637">
        <f>+'700 Debt '!L64</f>
        <v>1057873.57</v>
      </c>
      <c r="M99" s="637">
        <f>+'700 Debt '!M64</f>
        <v>1066809</v>
      </c>
      <c r="N99" s="637">
        <f>+'700 Debt '!N64</f>
        <v>1054154.5900000001</v>
      </c>
      <c r="O99" s="637">
        <f>+'700 Debt '!O64</f>
        <v>1162190</v>
      </c>
      <c r="P99" s="637">
        <f>+'700 Debt '!P64</f>
        <v>1135979.8400000001</v>
      </c>
      <c r="Q99" s="637">
        <f>+'700 Debt '!Q64</f>
        <v>1154319</v>
      </c>
      <c r="R99" s="622">
        <f>ROUND((+'700 Debt '!S64),0)</f>
        <v>1158857</v>
      </c>
      <c r="S99" s="622">
        <f>ROUND((+'700 Debt '!T64),0)</f>
        <v>1158857</v>
      </c>
      <c r="T99" s="622">
        <f>ROUND((+'700 Debt '!U64),0)</f>
        <v>1158857</v>
      </c>
      <c r="W99" s="622"/>
      <c r="X99" s="617"/>
      <c r="Y99" s="617"/>
      <c r="Z99" s="617"/>
      <c r="AA99" s="617"/>
      <c r="AB99" s="617"/>
      <c r="AC99" s="600"/>
    </row>
    <row r="100" spans="1:29" x14ac:dyDescent="0.25">
      <c r="C100" s="622"/>
      <c r="D100" s="622"/>
      <c r="E100" s="622"/>
      <c r="F100" s="622"/>
      <c r="G100" s="622"/>
      <c r="H100" s="622"/>
      <c r="I100" s="622"/>
      <c r="J100" s="622"/>
      <c r="K100" s="622"/>
      <c r="R100" s="622"/>
      <c r="S100" s="622"/>
      <c r="U100" s="621"/>
      <c r="W100" s="622"/>
      <c r="X100" s="617"/>
      <c r="Y100" s="617"/>
      <c r="Z100" s="617"/>
      <c r="AA100" s="617"/>
      <c r="AB100" s="617"/>
      <c r="AC100" s="600"/>
    </row>
    <row r="101" spans="1:29" x14ac:dyDescent="0.25">
      <c r="B101" s="617" t="s">
        <v>561</v>
      </c>
      <c r="C101" s="622"/>
      <c r="D101" s="622"/>
      <c r="E101" s="622"/>
      <c r="F101" s="622"/>
      <c r="G101" s="622"/>
      <c r="H101" s="622"/>
      <c r="I101" s="622"/>
      <c r="J101" s="622"/>
      <c r="K101" s="622"/>
      <c r="R101" s="622"/>
      <c r="S101" s="622"/>
      <c r="U101" s="621"/>
      <c r="W101" s="622"/>
      <c r="X101" s="617"/>
      <c r="Y101" s="617"/>
      <c r="Z101" s="617"/>
      <c r="AA101" s="617"/>
      <c r="AB101" s="617"/>
      <c r="AC101" s="600"/>
    </row>
    <row r="102" spans="1:29" x14ac:dyDescent="0.25">
      <c r="A102" s="762">
        <v>840</v>
      </c>
      <c r="B102" s="617" t="s">
        <v>561</v>
      </c>
      <c r="C102" s="622">
        <f>+'840 Intergovt'!C16</f>
        <v>83074.820000000007</v>
      </c>
      <c r="D102" s="622">
        <f>+'840 Intergovt'!D16</f>
        <v>87874.209999999992</v>
      </c>
      <c r="E102" s="622">
        <f>+'840 Intergovt'!E16</f>
        <v>71938.12</v>
      </c>
      <c r="F102" s="622">
        <f>+'840 Intergovt'!F16</f>
        <v>94258.209999999992</v>
      </c>
      <c r="G102" s="622">
        <f>+'840 Intergovt'!G16</f>
        <v>92495.299999999988</v>
      </c>
      <c r="H102" s="622">
        <f>+'840 Intergovt'!H16</f>
        <v>99251.89</v>
      </c>
      <c r="I102" s="622">
        <f>+'840 Intergovt'!I16</f>
        <v>100824.36000000002</v>
      </c>
      <c r="J102" s="622">
        <f>+'840 Intergovt'!J16</f>
        <v>104701.44</v>
      </c>
      <c r="K102" s="622">
        <f>+'840 Intergovt'!K16</f>
        <v>111179</v>
      </c>
      <c r="L102" s="637">
        <f>+'840 Intergovt'!L16</f>
        <v>111175.8</v>
      </c>
      <c r="M102" s="637">
        <f>+'840 Intergovt'!M16</f>
        <v>110720</v>
      </c>
      <c r="N102" s="637">
        <f>+'840 Intergovt'!N16</f>
        <v>111384</v>
      </c>
      <c r="O102" s="637">
        <f>+'840 Intergovt'!O16</f>
        <v>110647</v>
      </c>
      <c r="P102" s="637">
        <f>+'840 Intergovt'!P16</f>
        <v>110300.84999999999</v>
      </c>
      <c r="Q102" s="637">
        <f>+'840 Intergovt'!Q16</f>
        <v>113924</v>
      </c>
      <c r="R102" s="622">
        <f>ROUND((+'840 Intergovt'!S16),0)</f>
        <v>116874</v>
      </c>
      <c r="S102" s="622">
        <f>ROUND((+'840 Intergovt'!T16),0)</f>
        <v>116874</v>
      </c>
      <c r="T102" s="622">
        <f>ROUND((+'840 Intergovt'!U16),0)</f>
        <v>116874</v>
      </c>
      <c r="W102" s="622"/>
      <c r="X102" s="617"/>
      <c r="Y102" s="617"/>
      <c r="Z102" s="617"/>
      <c r="AA102" s="617"/>
      <c r="AB102" s="617"/>
      <c r="AC102" s="600"/>
    </row>
    <row r="103" spans="1:29" x14ac:dyDescent="0.25">
      <c r="C103" s="622"/>
      <c r="D103" s="622"/>
      <c r="E103" s="622"/>
      <c r="F103" s="622"/>
      <c r="G103" s="622"/>
      <c r="H103" s="622"/>
      <c r="I103" s="622"/>
      <c r="J103" s="622"/>
      <c r="K103" s="622"/>
      <c r="R103" s="622"/>
      <c r="S103" s="622"/>
      <c r="U103" s="621"/>
      <c r="W103" s="622"/>
      <c r="X103" s="617"/>
      <c r="Y103" s="617"/>
      <c r="Z103" s="617"/>
      <c r="AA103" s="617"/>
      <c r="AB103" s="617"/>
      <c r="AC103" s="600"/>
    </row>
    <row r="104" spans="1:29" x14ac:dyDescent="0.25">
      <c r="B104" s="617" t="s">
        <v>562</v>
      </c>
      <c r="C104" s="622"/>
      <c r="D104" s="622"/>
      <c r="E104" s="622"/>
      <c r="F104" s="622"/>
      <c r="G104" s="622"/>
      <c r="H104" s="622"/>
      <c r="I104" s="622"/>
      <c r="J104" s="622"/>
      <c r="K104" s="622"/>
      <c r="R104" s="622"/>
      <c r="S104" s="622"/>
      <c r="U104" s="621"/>
      <c r="W104" s="622"/>
      <c r="X104" s="617"/>
      <c r="Y104" s="617"/>
      <c r="Z104" s="617"/>
      <c r="AA104" s="617"/>
      <c r="AB104" s="617"/>
      <c r="AC104" s="600"/>
    </row>
    <row r="105" spans="1:29" x14ac:dyDescent="0.25">
      <c r="A105" s="762">
        <v>910</v>
      </c>
      <c r="B105" s="617" t="s">
        <v>563</v>
      </c>
      <c r="C105" s="622">
        <f>+'910 Benefits'!C20</f>
        <v>1760819.2100000002</v>
      </c>
      <c r="D105" s="622">
        <f>+'910 Benefits'!D20</f>
        <v>1730791.4</v>
      </c>
      <c r="E105" s="622">
        <f>+'910 Benefits'!E20</f>
        <v>1748594.09</v>
      </c>
      <c r="F105" s="622">
        <f>+'910 Benefits'!F20</f>
        <v>1789352.1499999997</v>
      </c>
      <c r="G105" s="622">
        <f>+'910 Benefits'!G20</f>
        <v>1878957.3699999999</v>
      </c>
      <c r="H105" s="622">
        <f>+'910 Benefits'!H20</f>
        <v>2008426.33</v>
      </c>
      <c r="I105" s="622">
        <f>+'910 Benefits'!I20</f>
        <v>2068987.7100000002</v>
      </c>
      <c r="J105" s="622">
        <f>+'910 Benefits'!J20</f>
        <v>2040807.01</v>
      </c>
      <c r="K105" s="622">
        <f>+'910 Benefits'!K20</f>
        <v>2238057</v>
      </c>
      <c r="L105" s="637">
        <f>+'910 Benefits'!L20</f>
        <v>2116132.61</v>
      </c>
      <c r="M105" s="637">
        <f>+'910 Benefits'!M20</f>
        <v>2397861</v>
      </c>
      <c r="N105" s="637">
        <f>+'910 Benefits'!N20</f>
        <v>2161814.6400000006</v>
      </c>
      <c r="O105" s="637">
        <f>+'910 Benefits'!O20</f>
        <v>2391280</v>
      </c>
      <c r="P105" s="637">
        <f>+'910 Benefits'!P20</f>
        <v>2250863.0599999996</v>
      </c>
      <c r="Q105" s="637">
        <f>+'910 Benefits'!Q20</f>
        <v>2490334</v>
      </c>
      <c r="R105" s="622">
        <f>ROUND((+'910 Benefits'!S20),0)</f>
        <v>2657083</v>
      </c>
      <c r="S105" s="622">
        <f>ROUND((+'910 Benefits'!T20),0)</f>
        <v>2657083</v>
      </c>
      <c r="T105" s="622">
        <f>ROUND((+'910 Benefits'!U20),0)</f>
        <v>2657083</v>
      </c>
      <c r="W105" s="622"/>
      <c r="X105" s="617"/>
      <c r="Y105" s="617"/>
      <c r="Z105" s="617"/>
      <c r="AA105" s="617"/>
      <c r="AB105" s="617"/>
      <c r="AC105" s="600"/>
    </row>
    <row r="106" spans="1:29" x14ac:dyDescent="0.25">
      <c r="A106" s="762">
        <v>946</v>
      </c>
      <c r="B106" s="617" t="s">
        <v>564</v>
      </c>
      <c r="C106" s="622">
        <f>+'946 Insurance'!C21</f>
        <v>63586.85</v>
      </c>
      <c r="D106" s="622">
        <f>+'946 Insurance'!D21</f>
        <v>81915.03</v>
      </c>
      <c r="E106" s="622">
        <f>+'946 Insurance'!E21</f>
        <v>90801.61</v>
      </c>
      <c r="F106" s="622">
        <f>+'946 Insurance'!F21</f>
        <v>84898.93</v>
      </c>
      <c r="G106" s="622">
        <f>+'946 Insurance'!G21</f>
        <v>87959.99</v>
      </c>
      <c r="H106" s="622">
        <f>+'946 Insurance'!H21</f>
        <v>95065.72</v>
      </c>
      <c r="I106" s="622">
        <f>+'946 Insurance'!I21</f>
        <v>85911.72</v>
      </c>
      <c r="J106" s="622">
        <f>+'946 Insurance'!J21</f>
        <v>92318.19</v>
      </c>
      <c r="K106" s="622">
        <f>+'946 Insurance'!K21</f>
        <v>96000</v>
      </c>
      <c r="L106" s="637">
        <f>+'946 Insurance'!L21</f>
        <v>108176.48</v>
      </c>
      <c r="M106" s="637">
        <f>+'946 Insurance'!M21</f>
        <v>115000</v>
      </c>
      <c r="N106" s="637">
        <f>+'946 Insurance'!N21</f>
        <v>104258.71</v>
      </c>
      <c r="O106" s="637">
        <f>+'946 Insurance'!O21</f>
        <v>119600</v>
      </c>
      <c r="P106" s="637">
        <f>+'946 Insurance'!P21</f>
        <v>105911.64</v>
      </c>
      <c r="Q106" s="637">
        <f>+'946 Insurance'!Q21</f>
        <v>120600</v>
      </c>
      <c r="R106" s="622">
        <f>ROUND((+'946 Insurance'!S21),0)</f>
        <v>119600</v>
      </c>
      <c r="S106" s="622">
        <f>ROUND((+'946 Insurance'!T21),0)</f>
        <v>119600</v>
      </c>
      <c r="T106" s="622">
        <f>ROUND((+'946 Insurance'!U21),0)</f>
        <v>119600</v>
      </c>
      <c r="W106" s="622"/>
      <c r="X106" s="617"/>
      <c r="Y106" s="617"/>
      <c r="Z106" s="617"/>
      <c r="AA106" s="617"/>
      <c r="AB106" s="617"/>
      <c r="AC106" s="600"/>
    </row>
    <row r="107" spans="1:29" x14ac:dyDescent="0.25">
      <c r="C107" s="622"/>
      <c r="D107" s="622"/>
      <c r="E107" s="622"/>
      <c r="F107" s="622"/>
      <c r="G107" s="622"/>
      <c r="H107" s="622"/>
      <c r="I107" s="622"/>
      <c r="J107" s="622"/>
      <c r="K107" s="622"/>
      <c r="R107" s="622"/>
      <c r="S107" s="622"/>
      <c r="W107" s="622"/>
      <c r="AC107" s="600"/>
    </row>
    <row r="108" spans="1:29" x14ac:dyDescent="0.25">
      <c r="B108" s="617" t="s">
        <v>565</v>
      </c>
      <c r="C108" s="622">
        <f t="shared" ref="C108:R108" si="28">SUM(C105:C107)</f>
        <v>1824406.0600000003</v>
      </c>
      <c r="D108" s="622">
        <f t="shared" si="28"/>
        <v>1812706.43</v>
      </c>
      <c r="E108" s="622">
        <f t="shared" si="28"/>
        <v>1839395.7000000002</v>
      </c>
      <c r="F108" s="622">
        <f t="shared" si="28"/>
        <v>1874251.0799999996</v>
      </c>
      <c r="G108" s="622">
        <f t="shared" si="28"/>
        <v>1966917.3599999999</v>
      </c>
      <c r="H108" s="622">
        <f t="shared" si="28"/>
        <v>2103492.0500000003</v>
      </c>
      <c r="I108" s="622">
        <f t="shared" si="28"/>
        <v>2154899.4300000002</v>
      </c>
      <c r="J108" s="622">
        <f t="shared" ref="J108:K108" si="29">SUM(J105:J107)</f>
        <v>2133125.2000000002</v>
      </c>
      <c r="K108" s="622">
        <f t="shared" si="29"/>
        <v>2334057</v>
      </c>
      <c r="L108" s="637">
        <f>SUM(L105:L107)</f>
        <v>2224309.09</v>
      </c>
      <c r="M108" s="637">
        <f t="shared" ref="M108:N108" si="30">SUM(M105:M107)</f>
        <v>2512861</v>
      </c>
      <c r="N108" s="637">
        <f t="shared" si="30"/>
        <v>2266073.3500000006</v>
      </c>
      <c r="O108" s="637">
        <f>SUM(O105:O107)</f>
        <v>2510880</v>
      </c>
      <c r="P108" s="637">
        <f t="shared" ref="P108:Q108" si="31">SUM(P105:P107)</f>
        <v>2356774.6999999997</v>
      </c>
      <c r="Q108" s="637">
        <f t="shared" si="31"/>
        <v>2610934</v>
      </c>
      <c r="R108" s="622">
        <f t="shared" si="28"/>
        <v>2776683</v>
      </c>
      <c r="S108" s="622">
        <f t="shared" ref="S108:T108" si="32">SUM(S105:S107)</f>
        <v>2776683</v>
      </c>
      <c r="T108" s="622">
        <f t="shared" si="32"/>
        <v>2776683</v>
      </c>
      <c r="U108" s="621"/>
      <c r="W108" s="622"/>
      <c r="AC108" s="600"/>
    </row>
    <row r="109" spans="1:29" x14ac:dyDescent="0.25">
      <c r="C109" s="622"/>
      <c r="D109" s="622"/>
      <c r="E109" s="622"/>
      <c r="F109" s="622"/>
      <c r="G109" s="622"/>
      <c r="H109" s="622"/>
      <c r="I109" s="622"/>
      <c r="J109" s="622"/>
      <c r="K109" s="622"/>
      <c r="R109" s="622"/>
      <c r="S109" s="622"/>
      <c r="V109" s="620"/>
      <c r="W109" s="619"/>
      <c r="X109" s="620"/>
      <c r="Y109" s="620"/>
      <c r="AC109" s="600"/>
    </row>
    <row r="110" spans="1:29" x14ac:dyDescent="0.25">
      <c r="B110" s="617" t="s">
        <v>566</v>
      </c>
      <c r="C110" s="622">
        <f t="shared" ref="C110:I110" si="33">+C108+C102+C99+C96+C88+C80+C70+C56</f>
        <v>12071012.580000002</v>
      </c>
      <c r="D110" s="622">
        <f t="shared" si="33"/>
        <v>12755210.279999999</v>
      </c>
      <c r="E110" s="622">
        <f t="shared" si="33"/>
        <v>13366747.109999999</v>
      </c>
      <c r="F110" s="622">
        <f t="shared" si="33"/>
        <v>13320122.940000001</v>
      </c>
      <c r="G110" s="622">
        <f t="shared" si="33"/>
        <v>13806906.480000002</v>
      </c>
      <c r="H110" s="622">
        <f t="shared" si="33"/>
        <v>8482274.1699999999</v>
      </c>
      <c r="I110" s="622">
        <f t="shared" si="33"/>
        <v>8898200.7599999998</v>
      </c>
      <c r="J110" s="622">
        <f t="shared" ref="J110:K110" si="34">+J108+J102+J99+J96+J88+J80+J70+J56</f>
        <v>9297612.5800000001</v>
      </c>
      <c r="K110" s="622">
        <f t="shared" si="34"/>
        <v>10378863</v>
      </c>
      <c r="L110" s="637">
        <f>+L108+L102+L99+L96+L88+L80+L70+L56</f>
        <v>9683069.8300000001</v>
      </c>
      <c r="M110" s="637">
        <f t="shared" ref="M110:N110" si="35">+M108+M102+M99+M96+M88+M80+M70+M56</f>
        <v>10766020</v>
      </c>
      <c r="N110" s="637">
        <f t="shared" si="35"/>
        <v>10022153.98</v>
      </c>
      <c r="O110" s="637">
        <f>+O108+O102+O99+O96+O88+O80+O70+O56</f>
        <v>11351251</v>
      </c>
      <c r="P110" s="637">
        <f t="shared" ref="P110:Q110" si="36">+P108+P102+P99+P96+P88+P80+P70+P56</f>
        <v>10828573.089999998</v>
      </c>
      <c r="Q110" s="637">
        <f t="shared" si="36"/>
        <v>11964696</v>
      </c>
      <c r="R110" s="622">
        <f>ROUND((+R108+R102+R99+R96+R88+R80+R70+R56),)</f>
        <v>12409728</v>
      </c>
      <c r="S110" s="622">
        <f t="shared" ref="S110:T110" si="37">ROUND((+S108+S102+S99+S96+S88+S80+S70+S56),)</f>
        <v>12409728</v>
      </c>
      <c r="T110" s="622">
        <f t="shared" si="37"/>
        <v>12409728</v>
      </c>
      <c r="U110" s="622">
        <f>+T110-V110-W110</f>
        <v>12409241</v>
      </c>
      <c r="W110" s="622">
        <f>+W13</f>
        <v>487</v>
      </c>
      <c r="Y110" s="621">
        <f>SUM(Y38:Y109)</f>
        <v>0</v>
      </c>
      <c r="Z110" s="621">
        <f>SUM(Z38:Z109)</f>
        <v>0</v>
      </c>
      <c r="AA110" s="621">
        <f>SUM(AA38:AA109)</f>
        <v>0</v>
      </c>
      <c r="AB110" s="621">
        <f>SUM(AB38:AB109)</f>
        <v>0</v>
      </c>
      <c r="AC110" s="600"/>
    </row>
    <row r="111" spans="1:29" s="317" customFormat="1" x14ac:dyDescent="0.25">
      <c r="A111" s="1102"/>
      <c r="B111" s="1103" t="s">
        <v>2177</v>
      </c>
      <c r="C111" s="1104"/>
      <c r="D111" s="1104"/>
      <c r="E111" s="1104"/>
      <c r="F111" s="1104"/>
      <c r="G111" s="1104"/>
      <c r="H111" s="1105">
        <f t="shared" ref="H111:P111" si="38">(H110-G110)/G110</f>
        <v>-0.38564991496922207</v>
      </c>
      <c r="I111" s="1105">
        <f t="shared" si="38"/>
        <v>4.9034796761350127E-2</v>
      </c>
      <c r="J111" s="1105">
        <f t="shared" si="38"/>
        <v>4.4886806981864535E-2</v>
      </c>
      <c r="K111" s="1105">
        <f t="shared" si="38"/>
        <v>0.11629333989736965</v>
      </c>
      <c r="L111" s="1105">
        <f t="shared" si="38"/>
        <v>-6.7039440640077816E-2</v>
      </c>
      <c r="M111" s="1105">
        <f t="shared" si="38"/>
        <v>0.11183954975154815</v>
      </c>
      <c r="N111" s="1105">
        <f t="shared" si="38"/>
        <v>-6.909387313046042E-2</v>
      </c>
      <c r="O111" s="1105">
        <f t="shared" si="38"/>
        <v>0.13261590498931841</v>
      </c>
      <c r="P111" s="1105">
        <f t="shared" si="38"/>
        <v>-4.6045841995741438E-2</v>
      </c>
      <c r="Q111" s="1105">
        <f>(Q110-P110)/P110</f>
        <v>0.10491898614501592</v>
      </c>
      <c r="R111" s="1105">
        <f>(R110-Q110)/Q110</f>
        <v>3.7195428951976715E-2</v>
      </c>
      <c r="S111" s="1104"/>
      <c r="T111" s="1104"/>
      <c r="U111" s="1104"/>
      <c r="V111" s="1106"/>
      <c r="W111" s="1104"/>
      <c r="X111" s="1106"/>
      <c r="Y111" s="1106"/>
      <c r="Z111" s="1106"/>
      <c r="AA111" s="1106"/>
      <c r="AB111" s="1106"/>
      <c r="AC111" s="1107"/>
    </row>
    <row r="112" spans="1:29" x14ac:dyDescent="0.25">
      <c r="B112" s="621"/>
      <c r="C112" s="622"/>
      <c r="D112" s="622"/>
      <c r="E112" s="622"/>
      <c r="F112" s="622"/>
      <c r="G112" s="622"/>
      <c r="H112" s="622"/>
      <c r="I112" s="622"/>
      <c r="J112" s="622"/>
      <c r="K112" s="622"/>
      <c r="R112" s="622"/>
      <c r="S112" s="622"/>
      <c r="T112" s="625"/>
      <c r="U112" s="621"/>
      <c r="V112" s="622"/>
      <c r="W112" s="622"/>
      <c r="AC112" s="600"/>
    </row>
    <row r="113" spans="1:29" x14ac:dyDescent="0.25">
      <c r="B113" s="617" t="s">
        <v>1964</v>
      </c>
      <c r="C113" s="622"/>
      <c r="D113" s="622"/>
      <c r="E113" s="622"/>
      <c r="F113" s="622"/>
      <c r="G113" s="622"/>
      <c r="H113" s="622"/>
      <c r="I113" s="622"/>
      <c r="J113" s="622"/>
      <c r="K113" s="622"/>
      <c r="R113" s="622"/>
      <c r="S113" s="622"/>
      <c r="T113" s="625"/>
      <c r="U113" s="621"/>
      <c r="W113" s="622"/>
      <c r="AC113" s="600"/>
    </row>
    <row r="114" spans="1:29" x14ac:dyDescent="0.25">
      <c r="A114" s="762">
        <v>440</v>
      </c>
      <c r="B114" s="617" t="s">
        <v>1964</v>
      </c>
      <c r="C114" s="622">
        <f>+'661 440 CWF'!C69</f>
        <v>1232852.1600000001</v>
      </c>
      <c r="D114" s="622">
        <f>+'661 440 CWF'!D69</f>
        <v>1332110.5999999999</v>
      </c>
      <c r="E114" s="622">
        <f>+'661 440 CWF'!E69</f>
        <v>1415714.64</v>
      </c>
      <c r="F114" s="622">
        <f>+'661 440 CWF'!F69</f>
        <v>1411128.35</v>
      </c>
      <c r="G114" s="622">
        <f>+'661 440 CWF'!G69</f>
        <v>1411401.52</v>
      </c>
      <c r="H114" s="622">
        <f>+'661 440 CWF'!H69</f>
        <v>1459773.7000000002</v>
      </c>
      <c r="I114" s="622">
        <f>+'661 440 CWF'!I69</f>
        <v>1523345.5699999998</v>
      </c>
      <c r="J114" s="622">
        <f>+'661 440 CWF'!J69</f>
        <v>1546577.2100000002</v>
      </c>
      <c r="K114" s="622">
        <f>+'661 440 CWF'!K69</f>
        <v>1585763</v>
      </c>
      <c r="L114" s="637">
        <f>+'661 440 CWF'!L69</f>
        <v>1480090.73</v>
      </c>
      <c r="M114" s="637">
        <f>+'661 440 CWF'!M69</f>
        <v>1751791</v>
      </c>
      <c r="N114" s="637">
        <f>+'661 440 CWF'!N69</f>
        <v>1662652.6700000002</v>
      </c>
      <c r="O114" s="637">
        <f>+'661 440 CWF'!O69</f>
        <v>1962430</v>
      </c>
      <c r="P114" s="637">
        <f>+'661 440 CWF'!P69</f>
        <v>1725358.45</v>
      </c>
      <c r="Q114" s="637">
        <f>+'661 440 CWF'!Q69-Q115</f>
        <v>2015729</v>
      </c>
      <c r="R114" s="622">
        <f>ROUND((+'661 440 CWF'!S69),0)-R115</f>
        <v>2116590</v>
      </c>
      <c r="S114" s="622">
        <f>ROUND((+'661 440 CWF'!T69),0)-S115</f>
        <v>2116590</v>
      </c>
      <c r="T114" s="625">
        <f>+'661 440 CWF'!U69-T115</f>
        <v>2116590</v>
      </c>
      <c r="W114" s="622"/>
      <c r="AC114" s="600"/>
    </row>
    <row r="115" spans="1:29" x14ac:dyDescent="0.25">
      <c r="A115" s="762"/>
      <c r="B115" s="617" t="s">
        <v>1965</v>
      </c>
      <c r="C115" s="622"/>
      <c r="D115" s="622"/>
      <c r="E115" s="622"/>
      <c r="F115" s="622"/>
      <c r="G115" s="622"/>
      <c r="H115" s="622"/>
      <c r="I115" s="622"/>
      <c r="J115" s="622"/>
      <c r="K115" s="622"/>
      <c r="Q115" s="637">
        <f>+'661 440 CWF'!Q66</f>
        <v>58500</v>
      </c>
      <c r="R115" s="622">
        <f>+'661 440 CWF'!S66</f>
        <v>58500</v>
      </c>
      <c r="S115" s="622">
        <f>+'661 440 CWF'!T66</f>
        <v>58500</v>
      </c>
      <c r="T115" s="622">
        <f>+'661 440 CWF'!U66</f>
        <v>58500</v>
      </c>
      <c r="W115" s="622"/>
      <c r="AC115" s="600"/>
    </row>
    <row r="116" spans="1:29" x14ac:dyDescent="0.25">
      <c r="A116" s="762">
        <v>449</v>
      </c>
      <c r="B116" s="617" t="s">
        <v>567</v>
      </c>
      <c r="C116" s="622">
        <f>+'661 449 Hwy'!C29</f>
        <v>24510.879999999997</v>
      </c>
      <c r="D116" s="622">
        <f>+'661 449 Hwy'!D29</f>
        <v>17339.32</v>
      </c>
      <c r="E116" s="622">
        <f>+'661 449 Hwy'!E29</f>
        <v>41678.6</v>
      </c>
      <c r="F116" s="622">
        <f>+'661 449 Hwy'!F29</f>
        <v>53420.14</v>
      </c>
      <c r="G116" s="622">
        <f>+'661 449 Hwy'!G29</f>
        <v>19605.989999999998</v>
      </c>
      <c r="H116" s="622">
        <f>+'661 449 Hwy'!H29</f>
        <v>19157.71</v>
      </c>
      <c r="I116" s="622">
        <f>+'661 449 Hwy'!I29</f>
        <v>26987.78</v>
      </c>
      <c r="J116" s="622">
        <f>+'661 449 Hwy'!J29</f>
        <v>11306.64</v>
      </c>
      <c r="K116" s="622">
        <f>+'661 449 Hwy'!K29</f>
        <v>50800</v>
      </c>
      <c r="L116" s="637">
        <f>+'661 449 Hwy'!L29</f>
        <v>27083.379999999997</v>
      </c>
      <c r="M116" s="637">
        <f>+'661 449 Hwy'!M29</f>
        <v>50800</v>
      </c>
      <c r="N116" s="637">
        <f>+'661 449 Hwy'!N29</f>
        <v>34832.729999999996</v>
      </c>
      <c r="O116" s="637">
        <f>+'661 449 Hwy'!O29</f>
        <v>50800</v>
      </c>
      <c r="P116" s="637">
        <f>+'661 449 Hwy'!P29</f>
        <v>34183.39</v>
      </c>
      <c r="Q116" s="637">
        <f>+'661 449 Hwy'!Q29</f>
        <v>84650</v>
      </c>
      <c r="R116" s="622">
        <f>ROUND((+'661 449 Hwy'!S29),0)</f>
        <v>85150</v>
      </c>
      <c r="S116" s="622">
        <f>ROUND((+'661 449 Hwy'!T29),0)</f>
        <v>85150</v>
      </c>
      <c r="T116" s="625">
        <f>+'661 449 Hwy'!U29</f>
        <v>85150</v>
      </c>
      <c r="W116" s="622"/>
      <c r="AC116" s="600"/>
    </row>
    <row r="117" spans="1:29" x14ac:dyDescent="0.25">
      <c r="A117" s="762">
        <v>700</v>
      </c>
      <c r="B117" s="617" t="s">
        <v>1966</v>
      </c>
      <c r="C117" s="622">
        <f>+'661 700 CWF Debt'!C61</f>
        <v>339561.32000000007</v>
      </c>
      <c r="D117" s="622">
        <f>+'661 700 CWF Debt'!D61</f>
        <v>333169.57</v>
      </c>
      <c r="E117" s="622">
        <f>+'661 700 CWF Debt'!E61</f>
        <v>430365.07</v>
      </c>
      <c r="F117" s="622">
        <f>+'661 700 CWF Debt'!F61</f>
        <v>426045.84</v>
      </c>
      <c r="G117" s="622">
        <f>+'661 700 CWF Debt'!G61</f>
        <v>432071.62</v>
      </c>
      <c r="H117" s="622">
        <f>+'661 700 CWF Debt'!H61</f>
        <v>363646.25</v>
      </c>
      <c r="I117" s="622">
        <f>+'661 700 CWF Debt'!I61</f>
        <v>363127.97</v>
      </c>
      <c r="J117" s="622">
        <f>+'661 700 CWF Debt'!J61</f>
        <v>513019.85</v>
      </c>
      <c r="K117" s="622">
        <f>+'661 700 CWF Debt'!K61</f>
        <v>520551</v>
      </c>
      <c r="L117" s="637">
        <f>+'661 700 CWF Debt'!L61</f>
        <v>495060.53</v>
      </c>
      <c r="M117" s="637">
        <f>+'661 700 CWF Debt'!M61</f>
        <v>514047</v>
      </c>
      <c r="N117" s="637">
        <f>+'661 700 CWF Debt'!N61</f>
        <v>489041.95000000007</v>
      </c>
      <c r="O117" s="637">
        <f>+'661 700 CWF Debt'!O61</f>
        <v>505270</v>
      </c>
      <c r="P117" s="637">
        <f>+'661 700 CWF Debt'!P61</f>
        <v>480263.57000000007</v>
      </c>
      <c r="Q117" s="637">
        <f>+'661 700 CWF Debt'!Q61</f>
        <v>483614</v>
      </c>
      <c r="R117" s="622">
        <f>ROUND((+'661 700 CWF Debt'!S61),0)</f>
        <v>478365</v>
      </c>
      <c r="S117" s="622">
        <f>ROUND((+'661 700 CWF Debt'!T61),0)</f>
        <v>478365</v>
      </c>
      <c r="T117" s="622">
        <f>ROUND((+'661 700 CWF Debt'!U61),0)</f>
        <v>478365</v>
      </c>
      <c r="W117" s="622"/>
      <c r="AC117" s="600"/>
    </row>
    <row r="118" spans="1:29" x14ac:dyDescent="0.25">
      <c r="A118" s="762">
        <v>910</v>
      </c>
      <c r="B118" s="617" t="s">
        <v>1967</v>
      </c>
      <c r="C118" s="622">
        <f>+'661 910 CWF Benefits'!C18</f>
        <v>162428.75000000003</v>
      </c>
      <c r="D118" s="622">
        <f>+'661 910 CWF Benefits'!D18</f>
        <v>160893.16</v>
      </c>
      <c r="E118" s="622">
        <f>+'661 910 CWF Benefits'!E18</f>
        <v>181400.05999999997</v>
      </c>
      <c r="F118" s="622">
        <f>+'661 910 CWF Benefits'!F18</f>
        <v>194173.2</v>
      </c>
      <c r="G118" s="622">
        <f>+'661 910 CWF Benefits'!G18</f>
        <v>221112.49</v>
      </c>
      <c r="H118" s="622">
        <f>+'661 910 CWF Benefits'!H18</f>
        <v>224380.71000000002</v>
      </c>
      <c r="I118" s="622">
        <f>+'661 910 CWF Benefits'!I18</f>
        <v>234658.48</v>
      </c>
      <c r="J118" s="622">
        <f>+'661 910 CWF Benefits'!J18</f>
        <v>225455.12</v>
      </c>
      <c r="K118" s="622">
        <f>+'661 910 CWF Benefits'!K18</f>
        <v>291954</v>
      </c>
      <c r="L118" s="637">
        <f>+'661 910 CWF Benefits'!L18</f>
        <v>222372.35</v>
      </c>
      <c r="M118" s="637">
        <f>+'661 910 CWF Benefits'!M18</f>
        <v>270333</v>
      </c>
      <c r="N118" s="637">
        <f>+'661 910 CWF Benefits'!N18</f>
        <v>228342.64</v>
      </c>
      <c r="O118" s="637">
        <f>+'661 910 CWF Benefits'!O18</f>
        <v>359152</v>
      </c>
      <c r="P118" s="637">
        <f>+'661 910 CWF Benefits'!P18</f>
        <v>280039.43</v>
      </c>
      <c r="Q118" s="637">
        <f>+'661 910 CWF Benefits'!Q18</f>
        <v>363631</v>
      </c>
      <c r="R118" s="622">
        <f>ROUND((+'661 910 CWF Benefits'!S18),)</f>
        <v>380719</v>
      </c>
      <c r="S118" s="622">
        <f>ROUND((+'661 910 CWF Benefits'!T18),)</f>
        <v>380719</v>
      </c>
      <c r="T118" s="625">
        <f>+R118</f>
        <v>380719</v>
      </c>
      <c r="W118" s="622"/>
      <c r="AC118" s="600"/>
    </row>
    <row r="119" spans="1:29" x14ac:dyDescent="0.25">
      <c r="C119" s="622"/>
      <c r="D119" s="622"/>
      <c r="E119" s="622"/>
      <c r="F119" s="622"/>
      <c r="G119" s="622"/>
      <c r="H119" s="622"/>
      <c r="I119" s="622"/>
      <c r="J119" s="622"/>
      <c r="K119" s="622"/>
      <c r="R119" s="622"/>
      <c r="S119" s="622"/>
      <c r="T119" s="625"/>
      <c r="V119" s="620"/>
      <c r="W119" s="619"/>
      <c r="X119" s="620"/>
      <c r="Y119" s="620"/>
      <c r="AC119" s="600"/>
    </row>
    <row r="120" spans="1:29" x14ac:dyDescent="0.25">
      <c r="B120" s="617" t="s">
        <v>1971</v>
      </c>
      <c r="C120" s="622">
        <f t="shared" ref="C120:T120" si="39">SUM(C114:C119)</f>
        <v>1759353.11</v>
      </c>
      <c r="D120" s="622">
        <f t="shared" si="39"/>
        <v>1843512.65</v>
      </c>
      <c r="E120" s="622">
        <f t="shared" si="39"/>
        <v>2069158.37</v>
      </c>
      <c r="F120" s="622">
        <f t="shared" si="39"/>
        <v>2084767.53</v>
      </c>
      <c r="G120" s="622">
        <f t="shared" si="39"/>
        <v>2084191.6199999999</v>
      </c>
      <c r="H120" s="622">
        <f t="shared" si="39"/>
        <v>2066958.37</v>
      </c>
      <c r="I120" s="622">
        <f t="shared" si="39"/>
        <v>2148119.7999999998</v>
      </c>
      <c r="J120" s="622">
        <f t="shared" si="39"/>
        <v>2296358.8200000003</v>
      </c>
      <c r="K120" s="622">
        <f t="shared" ref="K120" si="40">SUM(K114:K119)</f>
        <v>2449068</v>
      </c>
      <c r="L120" s="637">
        <f>SUM(L114:L119)</f>
        <v>2224606.9899999998</v>
      </c>
      <c r="M120" s="637">
        <f t="shared" ref="M120:N120" si="41">SUM(M114:M119)</f>
        <v>2586971</v>
      </c>
      <c r="N120" s="637">
        <f t="shared" si="41"/>
        <v>2414869.9900000002</v>
      </c>
      <c r="O120" s="637">
        <f>SUM(O114:O119)</f>
        <v>2877652</v>
      </c>
      <c r="P120" s="637">
        <f t="shared" ref="P120:Q120" si="42">SUM(P114:P119)</f>
        <v>2519844.8400000003</v>
      </c>
      <c r="Q120" s="637">
        <f t="shared" si="42"/>
        <v>3006124</v>
      </c>
      <c r="R120" s="622">
        <f t="shared" si="39"/>
        <v>3119324</v>
      </c>
      <c r="S120" s="622">
        <f t="shared" ref="S120" si="43">SUM(S114:S119)</f>
        <v>3119324</v>
      </c>
      <c r="T120" s="625">
        <f t="shared" si="39"/>
        <v>3119324</v>
      </c>
      <c r="U120" s="621">
        <f>+'Tax share CWF'!D42</f>
        <v>359499</v>
      </c>
      <c r="W120" s="622"/>
      <c r="AA120" s="621">
        <f>+R120-U120</f>
        <v>2759825</v>
      </c>
      <c r="AC120" s="600"/>
    </row>
    <row r="121" spans="1:29" x14ac:dyDescent="0.25">
      <c r="C121" s="622"/>
      <c r="D121" s="622"/>
      <c r="E121" s="622"/>
      <c r="F121" s="622"/>
      <c r="G121" s="622"/>
      <c r="H121" s="622"/>
      <c r="I121" s="622"/>
      <c r="J121" s="622"/>
      <c r="K121" s="622"/>
      <c r="R121" s="622"/>
      <c r="S121" s="622"/>
      <c r="T121" s="625"/>
      <c r="U121" s="621"/>
      <c r="W121" s="622"/>
      <c r="AC121" s="600"/>
    </row>
    <row r="122" spans="1:29" x14ac:dyDescent="0.25">
      <c r="C122" s="622"/>
      <c r="D122" s="622"/>
      <c r="E122" s="622"/>
      <c r="F122" s="622"/>
      <c r="G122" s="622"/>
      <c r="H122" s="622"/>
      <c r="I122" s="622"/>
      <c r="J122" s="622"/>
      <c r="K122" s="622"/>
      <c r="R122" s="622"/>
      <c r="S122" s="622"/>
      <c r="T122" s="625"/>
      <c r="U122" s="621"/>
      <c r="W122" s="622"/>
      <c r="AC122" s="600"/>
    </row>
    <row r="123" spans="1:29" x14ac:dyDescent="0.25">
      <c r="A123" s="762">
        <v>482</v>
      </c>
      <c r="B123" s="617" t="s">
        <v>570</v>
      </c>
      <c r="C123" s="622">
        <f>+'600 482 Airport'!C54</f>
        <v>36905.490000000005</v>
      </c>
      <c r="D123" s="622">
        <f>+'600 482 Airport'!D54</f>
        <v>44653.43</v>
      </c>
      <c r="E123" s="622">
        <f>+'600 482 Airport'!E54</f>
        <v>45769.880000000005</v>
      </c>
      <c r="F123" s="622">
        <f>+'600 482 Airport'!F54</f>
        <v>44520.340000000011</v>
      </c>
      <c r="G123" s="622">
        <f>+'600 482 Airport'!G54</f>
        <v>51918.03</v>
      </c>
      <c r="H123" s="622">
        <f>+'600 482 Airport'!H54</f>
        <v>48770.28</v>
      </c>
      <c r="I123" s="622">
        <f>+'600 482 Airport'!I54</f>
        <v>48391.540000000008</v>
      </c>
      <c r="J123" s="622">
        <f>+'600 482 Airport'!J54</f>
        <v>39812.629999999997</v>
      </c>
      <c r="K123" s="622">
        <f>+'600 482 Airport'!K54</f>
        <v>95494</v>
      </c>
      <c r="L123" s="637">
        <f>+'600 482 Airport'!L54</f>
        <v>95493.999999999985</v>
      </c>
      <c r="M123" s="637">
        <f>+'600 482 Airport'!M54</f>
        <v>211419.45</v>
      </c>
      <c r="N123" s="637">
        <f>+'600 482 Airport'!N54</f>
        <v>210949.27000000002</v>
      </c>
      <c r="O123" s="637">
        <f>+'600 482 Airport'!O54</f>
        <v>211894</v>
      </c>
      <c r="P123" s="637">
        <f>+'600 482 Airport'!P54</f>
        <v>211533.59999999998</v>
      </c>
      <c r="Q123" s="637">
        <f>+'600 482 Airport'!Q54</f>
        <v>284915</v>
      </c>
      <c r="R123" s="622">
        <f>ROUND((+'600 482 Airport'!S54),0)</f>
        <v>255238</v>
      </c>
      <c r="S123" s="622">
        <f>ROUND((+'600 482 Airport'!T54),0)</f>
        <v>255238</v>
      </c>
      <c r="T123" s="625">
        <f>+R123</f>
        <v>255238</v>
      </c>
      <c r="U123" s="622">
        <f>+'600 482 Airport'!A69</f>
        <v>107593</v>
      </c>
      <c r="W123" s="622">
        <f>+'600 482 Airport'!A70</f>
        <v>26041</v>
      </c>
      <c r="AC123" s="600"/>
    </row>
    <row r="124" spans="1:29" x14ac:dyDescent="0.25">
      <c r="A124" s="762">
        <v>700</v>
      </c>
      <c r="B124" s="617" t="s">
        <v>571</v>
      </c>
      <c r="C124" s="622"/>
      <c r="D124" s="622"/>
      <c r="E124" s="622"/>
      <c r="F124" s="622"/>
      <c r="G124" s="622"/>
      <c r="H124" s="622"/>
      <c r="I124" s="622"/>
      <c r="J124" s="622"/>
      <c r="K124" s="622"/>
      <c r="O124" s="637">
        <f>+'600-700 Airport Debt'!O21</f>
        <v>101120</v>
      </c>
      <c r="P124" s="637">
        <f>+'600-700 Airport Debt'!P21</f>
        <v>101119.38</v>
      </c>
      <c r="Q124" s="637">
        <f>+'600-700 Airport Debt'!Q21</f>
        <v>101535</v>
      </c>
      <c r="R124" s="622">
        <f>+'600-700 Airport Debt'!S21</f>
        <v>102775</v>
      </c>
      <c r="S124" s="622">
        <f>+'600-700 Airport Debt'!T21</f>
        <v>102775</v>
      </c>
      <c r="T124" s="622">
        <f>+'600-700 Airport Debt'!U21</f>
        <v>102775</v>
      </c>
      <c r="W124" s="622"/>
      <c r="AC124" s="600"/>
    </row>
    <row r="125" spans="1:29" x14ac:dyDescent="0.25">
      <c r="A125" s="762">
        <v>910</v>
      </c>
      <c r="B125" s="617" t="s">
        <v>572</v>
      </c>
      <c r="C125" s="622"/>
      <c r="D125" s="622"/>
      <c r="E125" s="622"/>
      <c r="F125" s="622"/>
      <c r="G125" s="622"/>
      <c r="H125" s="622"/>
      <c r="I125" s="622"/>
      <c r="J125" s="622"/>
      <c r="K125" s="622"/>
      <c r="O125" s="637">
        <f>+'600-900 Airport Benefits'!O17</f>
        <v>33188</v>
      </c>
      <c r="P125" s="637">
        <f>+'600-900 Airport Benefits'!P17</f>
        <v>22982.829999999998</v>
      </c>
      <c r="Q125" s="637">
        <f>+'600-900 Airport Benefits'!Q17</f>
        <v>40515</v>
      </c>
      <c r="R125" s="622">
        <f>+'600-900 Airport Benefits'!S17</f>
        <v>61664</v>
      </c>
      <c r="S125" s="622">
        <f>+'600-900 Airport Benefits'!T17</f>
        <v>61664</v>
      </c>
      <c r="T125" s="622">
        <f>+'600-900 Airport Benefits'!U17</f>
        <v>61664</v>
      </c>
      <c r="W125" s="622"/>
      <c r="AC125" s="600"/>
    </row>
    <row r="126" spans="1:29" x14ac:dyDescent="0.25">
      <c r="A126" s="762"/>
      <c r="C126" s="622"/>
      <c r="D126" s="622"/>
      <c r="E126" s="622"/>
      <c r="F126" s="622"/>
      <c r="G126" s="622"/>
      <c r="H126" s="622"/>
      <c r="I126" s="622"/>
      <c r="J126" s="622"/>
      <c r="K126" s="622"/>
      <c r="R126" s="622"/>
      <c r="S126" s="622"/>
      <c r="T126" s="625"/>
      <c r="W126" s="622"/>
      <c r="AC126" s="600"/>
    </row>
    <row r="127" spans="1:29" x14ac:dyDescent="0.25">
      <c r="A127" s="762"/>
      <c r="B127" s="617" t="s">
        <v>573</v>
      </c>
      <c r="C127" s="622"/>
      <c r="D127" s="622"/>
      <c r="E127" s="622"/>
      <c r="F127" s="622"/>
      <c r="G127" s="622"/>
      <c r="H127" s="622"/>
      <c r="I127" s="622"/>
      <c r="J127" s="622"/>
      <c r="K127" s="622"/>
      <c r="O127" s="622">
        <f>SUM(O123:O126)</f>
        <v>346202</v>
      </c>
      <c r="P127" s="622">
        <f t="shared" ref="P127:Q127" si="44">SUM(P123:P126)</f>
        <v>335635.81</v>
      </c>
      <c r="Q127" s="622">
        <f t="shared" si="44"/>
        <v>426965</v>
      </c>
      <c r="R127" s="622">
        <f>SUM(R123:R126)</f>
        <v>419677</v>
      </c>
      <c r="S127" s="622">
        <f>SUM(S123:S126)</f>
        <v>419677</v>
      </c>
      <c r="T127" s="622">
        <f>SUM(T123:T126)</f>
        <v>419677</v>
      </c>
      <c r="U127" s="622">
        <f>SUM(U123:U126)</f>
        <v>107593</v>
      </c>
      <c r="W127" s="622">
        <f>SUM(W123:W126)</f>
        <v>26041</v>
      </c>
      <c r="AB127" s="621">
        <f>+T127-U127-W127</f>
        <v>286043</v>
      </c>
      <c r="AC127" s="600"/>
    </row>
    <row r="128" spans="1:29" x14ac:dyDescent="0.25">
      <c r="C128" s="622"/>
      <c r="D128" s="622"/>
      <c r="E128" s="622"/>
      <c r="F128" s="622"/>
      <c r="G128" s="622"/>
      <c r="H128" s="622"/>
      <c r="I128" s="622"/>
      <c r="J128" s="622"/>
      <c r="K128" s="622"/>
      <c r="R128" s="622"/>
      <c r="S128" s="622"/>
      <c r="U128" s="621"/>
      <c r="W128" s="622"/>
      <c r="AC128" s="600"/>
    </row>
    <row r="129" spans="1:30" x14ac:dyDescent="0.25">
      <c r="A129" s="764">
        <v>300</v>
      </c>
      <c r="B129" s="617" t="s">
        <v>574</v>
      </c>
      <c r="C129" s="622"/>
      <c r="D129" s="622"/>
      <c r="E129" s="622"/>
      <c r="F129" s="622"/>
      <c r="G129" s="622"/>
      <c r="H129" s="622"/>
      <c r="I129" s="622"/>
      <c r="J129" s="622"/>
      <c r="K129" s="622"/>
      <c r="R129" s="622"/>
      <c r="S129" s="622"/>
      <c r="U129" s="621"/>
      <c r="W129" s="622"/>
      <c r="AC129" s="600"/>
    </row>
    <row r="130" spans="1:30" ht="15.6" x14ac:dyDescent="0.3">
      <c r="B130" s="617" t="s">
        <v>575</v>
      </c>
      <c r="C130" s="622">
        <f>+'300 Schools'!C11</f>
        <v>737865</v>
      </c>
      <c r="D130" s="622">
        <f>+'300 Schools'!D11</f>
        <v>731659</v>
      </c>
      <c r="E130" s="622">
        <f>+'300 Schools'!E11</f>
        <v>682601</v>
      </c>
      <c r="F130" s="622">
        <f>+'300 Schools'!F11</f>
        <v>760615</v>
      </c>
      <c r="G130" s="622">
        <f>+'300 Schools'!G11</f>
        <v>659356</v>
      </c>
      <c r="H130" s="622">
        <f>+'300 Schools'!H11</f>
        <v>747340</v>
      </c>
      <c r="I130" s="622">
        <f>+'300 Schools'!I11</f>
        <v>974337.89</v>
      </c>
      <c r="J130" s="622">
        <f>+'300 Schools'!J11</f>
        <v>1085003.6299999999</v>
      </c>
      <c r="K130" s="622">
        <f>+'300 Schools'!K11</f>
        <v>1255456</v>
      </c>
      <c r="L130" s="637">
        <f>+'300 Schools'!L11</f>
        <v>1255455.8400000001</v>
      </c>
      <c r="M130" s="637">
        <f>+'300 Schools'!M11</f>
        <v>1221005</v>
      </c>
      <c r="N130" s="637">
        <f>+'300 Schools'!N11</f>
        <v>1221005</v>
      </c>
      <c r="O130" s="637">
        <f>+'300 Schools'!O11</f>
        <v>1029566</v>
      </c>
      <c r="P130" s="637">
        <f>+'300 Schools'!P11</f>
        <v>1029565.91</v>
      </c>
      <c r="Q130" s="637">
        <f>+'300 Schools'!Q11</f>
        <v>1053018</v>
      </c>
      <c r="R130" s="622">
        <f>ROUND((+'300 Schools'!S11),0)</f>
        <v>837356</v>
      </c>
      <c r="S130" s="622">
        <f>ROUND((+'300 Schools'!T11),0)</f>
        <v>837356</v>
      </c>
      <c r="T130" s="622">
        <f>+R130</f>
        <v>837356</v>
      </c>
      <c r="U130" s="621">
        <f>+R130-Y130</f>
        <v>837356</v>
      </c>
      <c r="W130" s="625">
        <f>+W20</f>
        <v>0</v>
      </c>
      <c r="AC130" s="600"/>
      <c r="AD130" s="787"/>
    </row>
    <row r="131" spans="1:30" x14ac:dyDescent="0.25">
      <c r="B131" s="617" t="s">
        <v>477</v>
      </c>
      <c r="C131" s="622">
        <f>+'300 Schools'!C14</f>
        <v>7850604</v>
      </c>
      <c r="D131" s="622">
        <f>+'300 Schools'!D14</f>
        <v>7965557</v>
      </c>
      <c r="E131" s="622">
        <f>+'300 Schools'!E14</f>
        <v>8293458</v>
      </c>
      <c r="F131" s="622">
        <f>+'300 Schools'!F14</f>
        <v>8498343</v>
      </c>
      <c r="G131" s="622">
        <f>+'300 Schools'!G14</f>
        <v>8852114</v>
      </c>
      <c r="H131" s="622">
        <f>+'300 Schools'!H14</f>
        <v>9356560</v>
      </c>
      <c r="I131" s="622">
        <f>+'300 Schools'!I14</f>
        <v>9811160</v>
      </c>
      <c r="J131" s="622">
        <f>+'300 Schools'!J14</f>
        <v>10229737</v>
      </c>
      <c r="K131" s="622">
        <f>+'300 Schools'!K14</f>
        <v>10732268</v>
      </c>
      <c r="L131" s="637">
        <f>+'300 Schools'!L14</f>
        <v>10732268</v>
      </c>
      <c r="M131" s="637">
        <f>+'300 Schools'!M14</f>
        <v>10950854</v>
      </c>
      <c r="N131" s="637">
        <f>+'300 Schools'!N14</f>
        <v>10950854</v>
      </c>
      <c r="O131" s="637">
        <f>+'300 Schools'!O14</f>
        <v>11341466</v>
      </c>
      <c r="P131" s="637">
        <f>+'300 Schools'!P14</f>
        <v>11341466</v>
      </c>
      <c r="Q131" s="637">
        <f>+'300 Schools'!Q14</f>
        <v>11809191</v>
      </c>
      <c r="R131" s="622">
        <f>ROUND((+'300 Schools'!S14),0)</f>
        <v>12143442</v>
      </c>
      <c r="S131" s="622">
        <f>ROUND((+'300 Schools'!T14),0)</f>
        <v>12143442</v>
      </c>
      <c r="T131" s="622">
        <f>+R131</f>
        <v>12143442</v>
      </c>
      <c r="U131" s="622">
        <f>+T131-V131</f>
        <v>12143442</v>
      </c>
      <c r="W131" s="622"/>
      <c r="X131" s="621">
        <f>+'Revenue Projections Detail'!D73</f>
        <v>0</v>
      </c>
      <c r="AC131" s="600"/>
    </row>
    <row r="132" spans="1:30" x14ac:dyDescent="0.25">
      <c r="B132" s="617" t="s">
        <v>576</v>
      </c>
      <c r="C132" s="622">
        <f t="shared" ref="C132:U132" si="45">SUM(C130:C131)</f>
        <v>8588469</v>
      </c>
      <c r="D132" s="622">
        <f t="shared" si="45"/>
        <v>8697216</v>
      </c>
      <c r="E132" s="622">
        <f t="shared" si="45"/>
        <v>8976059</v>
      </c>
      <c r="F132" s="622">
        <f t="shared" si="45"/>
        <v>9258958</v>
      </c>
      <c r="G132" s="622">
        <f t="shared" si="45"/>
        <v>9511470</v>
      </c>
      <c r="H132" s="622">
        <f t="shared" si="45"/>
        <v>10103900</v>
      </c>
      <c r="I132" s="622">
        <f t="shared" si="45"/>
        <v>10785497.890000001</v>
      </c>
      <c r="J132" s="622">
        <f t="shared" ref="J132:K132" si="46">SUM(J130:J131)</f>
        <v>11314740.629999999</v>
      </c>
      <c r="K132" s="622">
        <f t="shared" si="46"/>
        <v>11987724</v>
      </c>
      <c r="L132" s="637">
        <f>SUM(L130:L131)</f>
        <v>11987723.84</v>
      </c>
      <c r="M132" s="637">
        <f t="shared" ref="M132:N132" si="47">SUM(M130:M131)</f>
        <v>12171859</v>
      </c>
      <c r="N132" s="637">
        <f t="shared" si="47"/>
        <v>12171859</v>
      </c>
      <c r="O132" s="637">
        <f>SUM(O130:O131)</f>
        <v>12371032</v>
      </c>
      <c r="P132" s="637">
        <f t="shared" ref="P132:Q132" si="48">SUM(P130:P131)</f>
        <v>12371031.91</v>
      </c>
      <c r="Q132" s="637">
        <f t="shared" si="48"/>
        <v>12862209</v>
      </c>
      <c r="R132" s="622">
        <f t="shared" si="45"/>
        <v>12980798</v>
      </c>
      <c r="S132" s="622">
        <f t="shared" ref="S132" si="49">SUM(S130:S131)</f>
        <v>12980798</v>
      </c>
      <c r="T132" s="622">
        <f t="shared" si="45"/>
        <v>12980798</v>
      </c>
      <c r="U132" s="622">
        <f t="shared" si="45"/>
        <v>12980798</v>
      </c>
      <c r="V132" s="621">
        <f>+V131</f>
        <v>0</v>
      </c>
      <c r="W132" s="621">
        <f t="shared" ref="W132:AB132" si="50">SUM(W130:W131)</f>
        <v>0</v>
      </c>
      <c r="X132" s="621">
        <f t="shared" si="50"/>
        <v>0</v>
      </c>
      <c r="Y132" s="621">
        <f t="shared" si="50"/>
        <v>0</v>
      </c>
      <c r="Z132" s="621">
        <f t="shared" si="50"/>
        <v>0</v>
      </c>
      <c r="AA132" s="621">
        <f t="shared" si="50"/>
        <v>0</v>
      </c>
      <c r="AB132" s="621">
        <f t="shared" si="50"/>
        <v>0</v>
      </c>
      <c r="AC132" s="600"/>
    </row>
    <row r="133" spans="1:30" x14ac:dyDescent="0.25">
      <c r="B133" s="621"/>
      <c r="C133" s="622"/>
      <c r="D133" s="622"/>
      <c r="E133" s="622"/>
      <c r="F133" s="622"/>
      <c r="G133" s="622"/>
      <c r="H133" s="622"/>
      <c r="I133" s="622"/>
      <c r="J133" s="622"/>
      <c r="K133" s="622"/>
      <c r="R133" s="622"/>
      <c r="S133" s="622"/>
      <c r="U133" s="621"/>
      <c r="AC133" s="600"/>
    </row>
    <row r="134" spans="1:30" x14ac:dyDescent="0.25">
      <c r="B134" s="617" t="s">
        <v>577</v>
      </c>
      <c r="C134" s="622"/>
      <c r="D134" s="622"/>
      <c r="E134" s="622"/>
      <c r="F134" s="622"/>
      <c r="G134" s="622"/>
      <c r="H134" s="622"/>
      <c r="I134" s="622"/>
      <c r="J134" s="622"/>
      <c r="K134" s="622"/>
      <c r="R134" s="622"/>
      <c r="S134" s="622"/>
      <c r="U134" s="621">
        <f>+R134</f>
        <v>0</v>
      </c>
      <c r="AC134" s="600"/>
    </row>
    <row r="135" spans="1:30" x14ac:dyDescent="0.25">
      <c r="C135" s="622"/>
      <c r="D135" s="622"/>
      <c r="E135" s="622"/>
      <c r="F135" s="622"/>
      <c r="G135" s="622"/>
      <c r="H135" s="622"/>
      <c r="I135" s="622"/>
      <c r="J135" s="622"/>
      <c r="K135" s="622"/>
      <c r="R135" s="622"/>
      <c r="S135" s="622"/>
      <c r="U135" s="621"/>
      <c r="V135" s="620"/>
      <c r="W135" s="619"/>
      <c r="X135" s="620"/>
      <c r="Y135" s="620"/>
      <c r="AC135" s="600"/>
    </row>
    <row r="136" spans="1:30" x14ac:dyDescent="0.25">
      <c r="B136" s="617" t="s">
        <v>578</v>
      </c>
      <c r="C136" s="622">
        <f t="shared" ref="C136:J136" si="51">+C132+C120+C110+C123+C134</f>
        <v>22455740.18</v>
      </c>
      <c r="D136" s="622">
        <f t="shared" si="51"/>
        <v>23340592.359999999</v>
      </c>
      <c r="E136" s="622">
        <f t="shared" si="51"/>
        <v>24457734.359999999</v>
      </c>
      <c r="F136" s="622">
        <f t="shared" si="51"/>
        <v>24708368.809999999</v>
      </c>
      <c r="G136" s="622">
        <f t="shared" si="51"/>
        <v>25454486.130000003</v>
      </c>
      <c r="H136" s="622">
        <f t="shared" si="51"/>
        <v>20701902.82</v>
      </c>
      <c r="I136" s="622">
        <f t="shared" si="51"/>
        <v>21880209.990000002</v>
      </c>
      <c r="J136" s="622">
        <f t="shared" si="51"/>
        <v>22948524.66</v>
      </c>
      <c r="K136" s="622">
        <f t="shared" ref="K136" si="52">+K132+K120+K110+K123+K134</f>
        <v>24911149</v>
      </c>
      <c r="L136" s="637">
        <f>+L132+L120+L110+L123+L134</f>
        <v>23990894.66</v>
      </c>
      <c r="M136" s="637">
        <f t="shared" ref="M136:N136" si="53">+M132+M120+M110+M123+M134</f>
        <v>25736269.449999999</v>
      </c>
      <c r="N136" s="637">
        <f t="shared" si="53"/>
        <v>24819832.239999998</v>
      </c>
      <c r="O136" s="637">
        <f>+O132+O120+O110+O127+O134</f>
        <v>26946137</v>
      </c>
      <c r="P136" s="637">
        <f t="shared" ref="P136:Q136" si="54">+P132+P120+P110+P127+P134</f>
        <v>26055085.649999995</v>
      </c>
      <c r="Q136" s="637">
        <f t="shared" si="54"/>
        <v>28259994</v>
      </c>
      <c r="R136" s="622">
        <f>+R132+R120+R110+R127+R134</f>
        <v>28929527</v>
      </c>
      <c r="S136" s="622">
        <f>+S132+S120+S110+S127+S134</f>
        <v>28929527</v>
      </c>
      <c r="T136" s="622">
        <f>ROUND((+T132+T120+T110+T127+T134),0)</f>
        <v>28929527</v>
      </c>
      <c r="U136" s="621">
        <f>+U132+U120+U110+U123+U134</f>
        <v>25857131</v>
      </c>
      <c r="V136" s="622">
        <f>+V132+V120+V110+V123+V134</f>
        <v>0</v>
      </c>
      <c r="W136" s="621">
        <f>+W132+W120+W110+W123</f>
        <v>26528</v>
      </c>
      <c r="X136" s="621">
        <f>+X132+X120+X110+X123</f>
        <v>0</v>
      </c>
      <c r="Y136" s="621">
        <f>+Y132+Y120+Y110+Y123</f>
        <v>0</v>
      </c>
      <c r="Z136" s="621">
        <f>+Z132+Z120+Z110+Z123</f>
        <v>0</v>
      </c>
      <c r="AA136" s="621">
        <f>+AA132+AA120+AA110+AA123</f>
        <v>2759825</v>
      </c>
      <c r="AB136" s="621">
        <f>+AB132+AB120+AB110+AB123+AB127</f>
        <v>286043</v>
      </c>
      <c r="AC136" s="600"/>
    </row>
    <row r="137" spans="1:30" x14ac:dyDescent="0.25">
      <c r="R137" s="622"/>
      <c r="S137" s="622"/>
      <c r="U137" s="621"/>
      <c r="AC137" s="600"/>
    </row>
    <row r="138" spans="1:30" x14ac:dyDescent="0.25">
      <c r="R138" s="622"/>
      <c r="S138" s="622"/>
      <c r="U138" s="621"/>
      <c r="W138" s="622"/>
      <c r="AC138" s="600"/>
    </row>
    <row r="139" spans="1:30" x14ac:dyDescent="0.25">
      <c r="B139" s="617" t="s">
        <v>579</v>
      </c>
      <c r="I139" s="618" t="s">
        <v>467</v>
      </c>
      <c r="J139" s="619" t="s">
        <v>468</v>
      </c>
      <c r="K139" s="619"/>
      <c r="L139" s="636" t="s">
        <v>251</v>
      </c>
      <c r="M139" s="619" t="s">
        <v>252</v>
      </c>
      <c r="N139" s="619" t="s">
        <v>253</v>
      </c>
      <c r="O139" s="619" t="s">
        <v>253</v>
      </c>
      <c r="P139" s="619" t="s">
        <v>253</v>
      </c>
      <c r="Q139" s="619" t="s">
        <v>469</v>
      </c>
      <c r="R139" s="619" t="s">
        <v>1345</v>
      </c>
      <c r="S139" s="619" t="s">
        <v>1345</v>
      </c>
      <c r="T139" s="619" t="s">
        <v>1345</v>
      </c>
      <c r="U139" s="619"/>
      <c r="V139" s="620"/>
      <c r="W139" s="619"/>
      <c r="X139" s="620"/>
      <c r="Y139" s="620"/>
      <c r="Z139" s="620"/>
      <c r="AA139" s="620"/>
      <c r="AB139" s="620"/>
      <c r="AC139" s="600"/>
    </row>
    <row r="140" spans="1:30" x14ac:dyDescent="0.25">
      <c r="L140" s="640"/>
      <c r="M140" s="640"/>
      <c r="N140" s="640"/>
      <c r="O140" s="640"/>
      <c r="P140" s="640"/>
      <c r="Q140" s="640"/>
      <c r="R140" s="625"/>
      <c r="S140" s="625"/>
      <c r="U140" s="621"/>
      <c r="V140" s="620"/>
      <c r="W140" s="619"/>
      <c r="X140" s="620"/>
      <c r="Y140" s="620"/>
      <c r="Z140" s="620"/>
      <c r="AA140" s="620"/>
      <c r="AB140" s="620"/>
      <c r="AC140" s="600"/>
    </row>
    <row r="141" spans="1:30" x14ac:dyDescent="0.25">
      <c r="B141" s="617" t="s">
        <v>580</v>
      </c>
      <c r="L141" s="640"/>
      <c r="M141" s="640"/>
      <c r="N141" s="640"/>
      <c r="O141" s="640"/>
      <c r="P141" s="640"/>
      <c r="Q141" s="640"/>
      <c r="R141" s="625"/>
      <c r="S141" s="625"/>
      <c r="U141" s="621"/>
      <c r="V141" s="620"/>
      <c r="W141" s="619"/>
      <c r="X141" s="620"/>
      <c r="Y141" s="620"/>
      <c r="Z141" s="620"/>
      <c r="AA141" s="620"/>
      <c r="AB141" s="620"/>
      <c r="AC141" s="600"/>
    </row>
    <row r="142" spans="1:30" ht="15.6" x14ac:dyDescent="0.3">
      <c r="L142" s="640"/>
      <c r="M142" s="640"/>
      <c r="N142" s="640"/>
      <c r="O142" s="640"/>
      <c r="P142" s="640"/>
      <c r="Q142" s="640"/>
      <c r="R142" s="625"/>
      <c r="S142" s="625"/>
      <c r="T142" s="626"/>
      <c r="U142" s="627"/>
      <c r="V142" s="620"/>
      <c r="W142" s="619"/>
      <c r="X142" s="620"/>
      <c r="Y142" s="620"/>
      <c r="Z142" s="620"/>
      <c r="AA142" s="620"/>
      <c r="AB142" s="620"/>
      <c r="AC142" s="600"/>
    </row>
    <row r="143" spans="1:30" ht="15.6" x14ac:dyDescent="0.3">
      <c r="B143" s="628" t="s">
        <v>581</v>
      </c>
      <c r="C143" s="628"/>
      <c r="D143" s="628"/>
      <c r="E143" s="628"/>
      <c r="F143" s="628"/>
      <c r="G143" s="628"/>
      <c r="H143" s="628"/>
      <c r="I143" s="628"/>
      <c r="J143" s="628"/>
      <c r="K143" s="628"/>
      <c r="R143" s="622"/>
      <c r="S143" s="622"/>
      <c r="T143" s="626"/>
      <c r="U143" s="627"/>
      <c r="V143" s="620"/>
      <c r="W143" s="619"/>
      <c r="X143" s="620"/>
      <c r="Y143" s="620"/>
      <c r="Z143" s="620"/>
      <c r="AA143" s="620"/>
      <c r="AB143" s="620"/>
      <c r="AC143" s="600"/>
    </row>
    <row r="144" spans="1:30" x14ac:dyDescent="0.25">
      <c r="B144" s="617" t="s">
        <v>582</v>
      </c>
      <c r="I144" s="621">
        <v>50000</v>
      </c>
      <c r="J144" s="621">
        <v>50000</v>
      </c>
      <c r="K144" s="621"/>
      <c r="L144" s="637">
        <v>50000</v>
      </c>
      <c r="M144" s="625">
        <v>50000</v>
      </c>
      <c r="O144" s="621">
        <v>50000</v>
      </c>
      <c r="P144" s="621"/>
      <c r="Q144" s="621">
        <v>50000</v>
      </c>
      <c r="R144" s="621">
        <v>50000</v>
      </c>
      <c r="S144" s="621">
        <v>50000</v>
      </c>
      <c r="T144" s="625">
        <v>50000</v>
      </c>
      <c r="U144" s="621">
        <f>+O144</f>
        <v>50000</v>
      </c>
      <c r="V144" s="620"/>
      <c r="W144" s="619"/>
      <c r="X144" s="620"/>
      <c r="Y144" s="620"/>
      <c r="Z144" s="620"/>
      <c r="AA144" s="620"/>
      <c r="AB144" s="620"/>
      <c r="AC144" s="600"/>
    </row>
    <row r="145" spans="2:29" x14ac:dyDescent="0.25">
      <c r="B145" s="617" t="s">
        <v>583</v>
      </c>
      <c r="I145" s="621"/>
      <c r="J145" s="621"/>
      <c r="K145" s="621"/>
      <c r="L145" s="637">
        <v>68000</v>
      </c>
      <c r="M145" s="625"/>
      <c r="O145" s="621"/>
      <c r="P145" s="621"/>
      <c r="Q145" s="621"/>
      <c r="T145" s="625"/>
      <c r="U145" s="621"/>
      <c r="V145" s="620">
        <f>+O145</f>
        <v>0</v>
      </c>
      <c r="W145" s="619"/>
      <c r="X145" s="620"/>
      <c r="Y145" s="620"/>
      <c r="Z145" s="620"/>
      <c r="AA145" s="620"/>
      <c r="AB145" s="620"/>
      <c r="AC145" s="600"/>
    </row>
    <row r="146" spans="2:29" x14ac:dyDescent="0.25">
      <c r="B146" s="617" t="s">
        <v>584</v>
      </c>
      <c r="C146" s="616"/>
      <c r="D146" s="616"/>
      <c r="E146" s="616"/>
      <c r="F146" s="616"/>
      <c r="G146" s="616"/>
      <c r="H146" s="616"/>
      <c r="I146" s="629">
        <v>36144</v>
      </c>
      <c r="J146" s="629">
        <v>39237</v>
      </c>
      <c r="K146" s="629"/>
      <c r="L146" s="637">
        <v>40651</v>
      </c>
      <c r="M146" s="625">
        <v>42976</v>
      </c>
      <c r="O146" s="621">
        <v>44960</v>
      </c>
      <c r="P146" s="621"/>
      <c r="Q146" s="621">
        <v>47099</v>
      </c>
      <c r="R146" s="621">
        <f>+T146</f>
        <v>46761</v>
      </c>
      <c r="S146" s="621">
        <f>+T146</f>
        <v>46761</v>
      </c>
      <c r="T146" s="625">
        <f>ROUND((+'Financial Policy Numbers'!C58),0)</f>
        <v>46761</v>
      </c>
      <c r="U146" s="625">
        <f>+T146</f>
        <v>46761</v>
      </c>
      <c r="V146" s="620"/>
      <c r="W146" s="619"/>
      <c r="X146" s="620"/>
      <c r="Y146" s="620"/>
      <c r="Z146" s="620"/>
      <c r="AA146" s="620"/>
      <c r="AB146" s="620"/>
      <c r="AC146" s="600"/>
    </row>
    <row r="147" spans="2:29" x14ac:dyDescent="0.25">
      <c r="B147" s="617" t="s">
        <v>585</v>
      </c>
      <c r="I147" s="621">
        <v>54216</v>
      </c>
      <c r="J147" s="621">
        <v>57654</v>
      </c>
      <c r="K147" s="621"/>
      <c r="L147" s="640">
        <v>61507</v>
      </c>
      <c r="M147" s="625"/>
      <c r="N147" s="640"/>
      <c r="O147" s="621"/>
      <c r="P147" s="621"/>
      <c r="Q147" s="621">
        <v>37388</v>
      </c>
      <c r="S147" s="621">
        <f>+R147</f>
        <v>0</v>
      </c>
      <c r="T147" s="625">
        <f>+R147</f>
        <v>0</v>
      </c>
      <c r="U147" s="625">
        <f>+T147</f>
        <v>0</v>
      </c>
      <c r="V147" s="620"/>
      <c r="W147" s="619"/>
      <c r="X147" s="620"/>
      <c r="Y147" s="620"/>
      <c r="Z147" s="620"/>
      <c r="AA147" s="620"/>
      <c r="AB147" s="620"/>
      <c r="AC147" s="600"/>
    </row>
    <row r="148" spans="2:29" x14ac:dyDescent="0.25">
      <c r="B148" s="617" t="s">
        <v>586</v>
      </c>
      <c r="I148" s="621">
        <v>67510</v>
      </c>
      <c r="J148" s="621"/>
      <c r="K148" s="621"/>
      <c r="L148" s="640"/>
      <c r="M148" s="625"/>
      <c r="N148" s="640"/>
      <c r="O148" s="621"/>
      <c r="P148" s="621"/>
      <c r="Q148" s="621"/>
      <c r="T148" s="625">
        <f>+R148</f>
        <v>0</v>
      </c>
      <c r="U148" s="625">
        <f>+T148</f>
        <v>0</v>
      </c>
      <c r="V148" s="620"/>
      <c r="W148" s="619"/>
      <c r="X148" s="620"/>
      <c r="Y148" s="620"/>
      <c r="Z148" s="620"/>
      <c r="AA148" s="620"/>
      <c r="AB148" s="620"/>
      <c r="AC148" s="600"/>
    </row>
    <row r="149" spans="2:29" x14ac:dyDescent="0.25">
      <c r="B149" s="617" t="s">
        <v>587</v>
      </c>
      <c r="I149" s="621"/>
      <c r="J149" s="621">
        <v>5100</v>
      </c>
      <c r="K149" s="621"/>
      <c r="L149" s="640">
        <v>68000</v>
      </c>
      <c r="M149" s="625"/>
      <c r="N149" s="640"/>
      <c r="O149" s="621">
        <v>124356</v>
      </c>
      <c r="P149" s="621"/>
      <c r="Q149" s="621">
        <v>21940</v>
      </c>
      <c r="S149" s="621">
        <f>+R149</f>
        <v>0</v>
      </c>
      <c r="T149" s="625">
        <f>+S149</f>
        <v>0</v>
      </c>
      <c r="U149" s="625">
        <f>+S149</f>
        <v>0</v>
      </c>
      <c r="V149" s="620"/>
      <c r="W149" s="619"/>
      <c r="X149" s="620"/>
      <c r="Y149" s="620"/>
      <c r="Z149" s="620"/>
      <c r="AA149" s="620"/>
      <c r="AB149" s="620"/>
      <c r="AC149" s="600"/>
    </row>
    <row r="150" spans="2:29" x14ac:dyDescent="0.25">
      <c r="B150" s="617" t="s">
        <v>588</v>
      </c>
      <c r="I150" s="621">
        <v>37811</v>
      </c>
      <c r="J150" s="621">
        <v>38507</v>
      </c>
      <c r="K150" s="621"/>
      <c r="L150" s="640">
        <v>39185</v>
      </c>
      <c r="M150" s="625">
        <v>39890</v>
      </c>
      <c r="N150" s="640"/>
      <c r="O150" s="621">
        <v>40608</v>
      </c>
      <c r="P150" s="621"/>
      <c r="Q150" s="621">
        <v>41339</v>
      </c>
      <c r="R150" s="621">
        <f t="shared" ref="R150:R152" si="55">+T150</f>
        <v>34323</v>
      </c>
      <c r="S150" s="621">
        <f>+T150</f>
        <v>34323</v>
      </c>
      <c r="T150" s="625">
        <f>ROUND((+'Revenue Projections Detail'!R111),0)</f>
        <v>34323</v>
      </c>
      <c r="U150" s="625">
        <f>+T150</f>
        <v>34323</v>
      </c>
      <c r="V150" s="620"/>
      <c r="W150" s="619"/>
      <c r="X150" s="620"/>
      <c r="Y150" s="620"/>
      <c r="Z150" s="620"/>
      <c r="AA150" s="620"/>
      <c r="AB150" s="620"/>
      <c r="AC150" s="600"/>
    </row>
    <row r="151" spans="2:29" x14ac:dyDescent="0.25">
      <c r="B151" s="617" t="s">
        <v>589</v>
      </c>
      <c r="I151" s="621">
        <v>40150</v>
      </c>
      <c r="J151" s="621">
        <v>40889</v>
      </c>
      <c r="K151" s="621"/>
      <c r="L151" s="640">
        <v>41608</v>
      </c>
      <c r="M151" s="625">
        <v>42357</v>
      </c>
      <c r="N151" s="640"/>
      <c r="O151" s="621">
        <v>43120</v>
      </c>
      <c r="P151" s="621"/>
      <c r="Q151" s="621">
        <v>43896</v>
      </c>
      <c r="R151" s="621">
        <f t="shared" si="55"/>
        <v>36446</v>
      </c>
      <c r="S151" s="621">
        <f>+T151</f>
        <v>36446</v>
      </c>
      <c r="T151" s="625">
        <f>ROUND((+'Revenue Projections Detail'!R109),0)</f>
        <v>36446</v>
      </c>
      <c r="U151" s="625">
        <f>+T151</f>
        <v>36446</v>
      </c>
      <c r="V151" s="620"/>
      <c r="W151" s="619"/>
      <c r="X151" s="620"/>
      <c r="Y151" s="620"/>
      <c r="Z151" s="620"/>
      <c r="AA151" s="620"/>
      <c r="AB151" s="620"/>
      <c r="AC151" s="600"/>
    </row>
    <row r="152" spans="2:29" x14ac:dyDescent="0.25">
      <c r="B152" s="617" t="s">
        <v>589</v>
      </c>
      <c r="I152" s="621"/>
      <c r="J152" s="621">
        <v>40889</v>
      </c>
      <c r="K152" s="621"/>
      <c r="L152" s="640">
        <v>41608</v>
      </c>
      <c r="M152" s="625">
        <v>42357</v>
      </c>
      <c r="N152" s="640"/>
      <c r="O152" s="621">
        <v>43120</v>
      </c>
      <c r="P152" s="621"/>
      <c r="Q152" s="621">
        <v>43896</v>
      </c>
      <c r="R152" s="621">
        <f t="shared" si="55"/>
        <v>36446</v>
      </c>
      <c r="S152" s="621">
        <f>+T152</f>
        <v>36446</v>
      </c>
      <c r="T152" s="625">
        <f>ROUND((+'Revenue Projections Detail'!R112),0)</f>
        <v>36446</v>
      </c>
      <c r="U152" s="625">
        <f>+T152</f>
        <v>36446</v>
      </c>
      <c r="V152" s="620"/>
      <c r="W152" s="619"/>
      <c r="X152" s="620"/>
      <c r="Y152" s="620"/>
      <c r="Z152" s="620"/>
      <c r="AA152" s="620"/>
      <c r="AB152" s="620"/>
      <c r="AC152" s="600"/>
    </row>
    <row r="153" spans="2:29" x14ac:dyDescent="0.25">
      <c r="B153" s="617" t="s">
        <v>590</v>
      </c>
      <c r="I153" s="621"/>
      <c r="J153" s="621"/>
      <c r="K153" s="621"/>
      <c r="L153" s="640">
        <v>118000</v>
      </c>
      <c r="M153" s="625"/>
      <c r="N153" s="640"/>
      <c r="O153" s="621"/>
      <c r="P153" s="621"/>
      <c r="Q153" s="621"/>
      <c r="T153" s="625"/>
      <c r="U153" s="625"/>
      <c r="V153" s="620">
        <f>+O153</f>
        <v>0</v>
      </c>
      <c r="W153" s="619"/>
      <c r="X153" s="620"/>
      <c r="Y153" s="620"/>
      <c r="Z153" s="620"/>
      <c r="AA153" s="620"/>
      <c r="AB153" s="620"/>
      <c r="AC153" s="600"/>
    </row>
    <row r="154" spans="2:29" x14ac:dyDescent="0.25">
      <c r="B154" s="617" t="s">
        <v>1968</v>
      </c>
      <c r="I154" s="621"/>
      <c r="J154" s="621"/>
      <c r="K154" s="621"/>
      <c r="L154" s="640"/>
      <c r="M154" s="625">
        <v>180000</v>
      </c>
      <c r="N154" s="640"/>
      <c r="O154" s="621"/>
      <c r="P154" s="621"/>
      <c r="Q154" s="621"/>
      <c r="T154" s="625"/>
      <c r="U154" s="625"/>
      <c r="V154" s="620"/>
      <c r="W154" s="630"/>
      <c r="X154" s="620"/>
      <c r="Y154" s="620"/>
      <c r="Z154" s="620"/>
      <c r="AA154" s="620"/>
      <c r="AB154" s="620"/>
      <c r="AC154" s="600"/>
    </row>
    <row r="155" spans="2:29" hidden="1" x14ac:dyDescent="0.25">
      <c r="B155" s="617" t="s">
        <v>591</v>
      </c>
      <c r="I155" s="621"/>
      <c r="J155" s="621"/>
      <c r="K155" s="621"/>
      <c r="L155" s="640">
        <v>73652</v>
      </c>
      <c r="M155" s="625"/>
      <c r="N155" s="640"/>
      <c r="O155" s="621"/>
      <c r="P155" s="621"/>
      <c r="Q155" s="621"/>
      <c r="T155" s="625"/>
      <c r="U155" s="625"/>
      <c r="V155" s="620"/>
      <c r="W155" s="619"/>
      <c r="X155" s="620"/>
      <c r="Y155" s="620"/>
      <c r="Z155" s="620"/>
      <c r="AA155" s="620"/>
      <c r="AB155" s="620"/>
      <c r="AC155" s="600"/>
    </row>
    <row r="156" spans="2:29" hidden="1" x14ac:dyDescent="0.25">
      <c r="B156" s="617" t="s">
        <v>592</v>
      </c>
      <c r="I156" s="621"/>
      <c r="J156" s="621"/>
      <c r="K156" s="621"/>
      <c r="L156" s="640">
        <v>35791</v>
      </c>
      <c r="M156" s="625"/>
      <c r="N156" s="640"/>
      <c r="O156" s="621"/>
      <c r="P156" s="621"/>
      <c r="Q156" s="621"/>
      <c r="T156" s="625"/>
      <c r="U156" s="625"/>
      <c r="V156" s="620"/>
      <c r="W156" s="619"/>
      <c r="X156" s="620"/>
      <c r="Y156" s="620"/>
      <c r="Z156" s="620"/>
      <c r="AA156" s="620"/>
      <c r="AB156" s="620"/>
      <c r="AC156" s="600"/>
    </row>
    <row r="157" spans="2:29" x14ac:dyDescent="0.25">
      <c r="B157" s="1363" t="s">
        <v>2636</v>
      </c>
      <c r="C157" s="1363"/>
      <c r="D157" s="1363"/>
      <c r="E157" s="1363"/>
      <c r="F157" s="1363"/>
      <c r="G157" s="1363"/>
      <c r="H157" s="1363"/>
      <c r="I157" s="1364"/>
      <c r="J157" s="1364"/>
      <c r="K157" s="1364"/>
      <c r="L157" s="640"/>
      <c r="M157" s="625"/>
      <c r="N157" s="640"/>
      <c r="O157" s="1364"/>
      <c r="P157" s="1364"/>
      <c r="Q157" s="1364"/>
      <c r="R157" s="1364">
        <v>260000</v>
      </c>
      <c r="S157" s="1364">
        <f>+R157</f>
        <v>260000</v>
      </c>
      <c r="T157" s="625">
        <f>+R157</f>
        <v>260000</v>
      </c>
      <c r="U157" s="625"/>
      <c r="V157" s="1365">
        <f>+T157</f>
        <v>260000</v>
      </c>
      <c r="W157" s="630"/>
      <c r="X157" s="1365"/>
      <c r="Y157" s="1365"/>
      <c r="Z157" s="1365"/>
      <c r="AA157" s="620"/>
      <c r="AB157" s="620"/>
      <c r="AC157" s="600"/>
    </row>
    <row r="158" spans="2:29" x14ac:dyDescent="0.25">
      <c r="B158" s="1363" t="s">
        <v>604</v>
      </c>
      <c r="C158" s="1363"/>
      <c r="D158" s="1363"/>
      <c r="E158" s="1363"/>
      <c r="F158" s="1363"/>
      <c r="G158" s="1363"/>
      <c r="H158" s="1363"/>
      <c r="I158" s="1363"/>
      <c r="J158" s="1364"/>
      <c r="K158" s="1364"/>
      <c r="L158" s="640"/>
      <c r="M158" s="1364"/>
      <c r="N158" s="640"/>
      <c r="O158" s="1364">
        <v>10000</v>
      </c>
      <c r="P158" s="1364"/>
      <c r="Q158" s="1364">
        <v>10000</v>
      </c>
      <c r="R158" s="1364">
        <v>10000</v>
      </c>
      <c r="S158" s="1364">
        <f>+R158</f>
        <v>10000</v>
      </c>
      <c r="T158" s="625">
        <f>+R158</f>
        <v>10000</v>
      </c>
      <c r="U158" s="1364">
        <f>+T158</f>
        <v>10000</v>
      </c>
      <c r="V158" s="1365"/>
      <c r="W158" s="630"/>
      <c r="X158" s="1365"/>
      <c r="Y158" s="1365"/>
      <c r="Z158" s="1365"/>
      <c r="AA158" s="620"/>
      <c r="AB158" s="620"/>
      <c r="AC158" s="600"/>
    </row>
    <row r="159" spans="2:29" hidden="1" x14ac:dyDescent="0.25">
      <c r="B159" s="1363" t="s">
        <v>593</v>
      </c>
      <c r="C159" s="1363"/>
      <c r="D159" s="1363"/>
      <c r="E159" s="1363"/>
      <c r="F159" s="1363"/>
      <c r="G159" s="1363"/>
      <c r="H159" s="1363"/>
      <c r="I159" s="1364"/>
      <c r="J159" s="1364"/>
      <c r="K159" s="1364"/>
      <c r="L159" s="640"/>
      <c r="M159" s="625"/>
      <c r="N159" s="640"/>
      <c r="O159" s="1364">
        <v>125000</v>
      </c>
      <c r="P159" s="1364"/>
      <c r="Q159" s="1364"/>
      <c r="R159" s="1364"/>
      <c r="S159" s="1364">
        <f>+R159</f>
        <v>0</v>
      </c>
      <c r="T159" s="625">
        <f>+R159</f>
        <v>0</v>
      </c>
      <c r="U159" s="625"/>
      <c r="V159" s="1365"/>
      <c r="W159" s="630"/>
      <c r="X159" s="1365">
        <f>+T159</f>
        <v>0</v>
      </c>
      <c r="Y159" s="1365"/>
      <c r="Z159" s="1365"/>
      <c r="AA159" s="620"/>
      <c r="AB159" s="620"/>
      <c r="AC159" s="600"/>
    </row>
    <row r="160" spans="2:29" hidden="1" x14ac:dyDescent="0.25">
      <c r="B160" s="1363" t="s">
        <v>594</v>
      </c>
      <c r="C160" s="1363"/>
      <c r="D160" s="1363"/>
      <c r="E160" s="1363"/>
      <c r="F160" s="1363"/>
      <c r="G160" s="1363"/>
      <c r="H160" s="1363"/>
      <c r="I160" s="1364"/>
      <c r="J160" s="1364"/>
      <c r="K160" s="1364"/>
      <c r="L160" s="640"/>
      <c r="M160" s="625"/>
      <c r="N160" s="640"/>
      <c r="O160" s="1364">
        <v>60000</v>
      </c>
      <c r="P160" s="1364"/>
      <c r="Q160" s="1364"/>
      <c r="R160" s="1364"/>
      <c r="S160" s="1364"/>
      <c r="T160" s="625">
        <f>+R160</f>
        <v>0</v>
      </c>
      <c r="U160" s="625"/>
      <c r="V160" s="1365">
        <f>+T160</f>
        <v>0</v>
      </c>
      <c r="W160" s="630"/>
      <c r="X160" s="1365"/>
      <c r="Y160" s="1365"/>
      <c r="Z160" s="1365"/>
      <c r="AA160" s="620"/>
      <c r="AB160" s="620"/>
      <c r="AC160" s="600"/>
    </row>
    <row r="161" spans="2:29" hidden="1" x14ac:dyDescent="0.25">
      <c r="B161" s="1363"/>
      <c r="C161" s="1363"/>
      <c r="D161" s="1363"/>
      <c r="E161" s="1363"/>
      <c r="F161" s="1363"/>
      <c r="G161" s="1363"/>
      <c r="H161" s="1363"/>
      <c r="I161" s="1364"/>
      <c r="J161" s="1364"/>
      <c r="K161" s="1364"/>
      <c r="L161" s="640"/>
      <c r="M161" s="625"/>
      <c r="N161" s="640"/>
      <c r="O161" s="1364"/>
      <c r="P161" s="1364"/>
      <c r="Q161" s="1364"/>
      <c r="R161" s="1364"/>
      <c r="S161" s="1364"/>
      <c r="T161" s="625"/>
      <c r="U161" s="625"/>
      <c r="V161" s="1365"/>
      <c r="W161" s="630"/>
      <c r="X161" s="1365"/>
      <c r="Y161" s="1365"/>
      <c r="Z161" s="1365"/>
      <c r="AA161" s="620"/>
      <c r="AB161" s="620"/>
      <c r="AC161" s="600"/>
    </row>
    <row r="162" spans="2:29" hidden="1" x14ac:dyDescent="0.25">
      <c r="B162" s="1363" t="s">
        <v>595</v>
      </c>
      <c r="C162" s="1363"/>
      <c r="D162" s="1363"/>
      <c r="E162" s="1363"/>
      <c r="F162" s="1363"/>
      <c r="G162" s="1363"/>
      <c r="H162" s="1363"/>
      <c r="I162" s="1364"/>
      <c r="J162" s="625">
        <v>16250</v>
      </c>
      <c r="K162" s="625"/>
      <c r="L162" s="640">
        <v>16250</v>
      </c>
      <c r="M162" s="625"/>
      <c r="N162" s="640"/>
      <c r="O162" s="1364"/>
      <c r="P162" s="1364"/>
      <c r="Q162" s="1364"/>
      <c r="R162" s="1364"/>
      <c r="S162" s="1364"/>
      <c r="T162" s="625"/>
      <c r="U162" s="1364"/>
      <c r="V162" s="1365"/>
      <c r="W162" s="630"/>
      <c r="X162" s="1365"/>
      <c r="Y162" s="1365"/>
      <c r="Z162" s="1365"/>
      <c r="AA162" s="620"/>
      <c r="AB162" s="620"/>
      <c r="AC162" s="600"/>
    </row>
    <row r="163" spans="2:29" hidden="1" x14ac:dyDescent="0.25">
      <c r="B163" s="1363" t="s">
        <v>596</v>
      </c>
      <c r="C163" s="1363"/>
      <c r="D163" s="1363"/>
      <c r="E163" s="1363"/>
      <c r="F163" s="1363"/>
      <c r="G163" s="1363"/>
      <c r="H163" s="1363"/>
      <c r="I163" s="1364"/>
      <c r="J163" s="625">
        <v>50000</v>
      </c>
      <c r="K163" s="625"/>
      <c r="L163" s="640"/>
      <c r="M163" s="625"/>
      <c r="N163" s="640"/>
      <c r="O163" s="1364"/>
      <c r="P163" s="1364"/>
      <c r="Q163" s="1364"/>
      <c r="R163" s="1364"/>
      <c r="S163" s="1364"/>
      <c r="T163" s="625"/>
      <c r="U163" s="1364"/>
      <c r="V163" s="1365"/>
      <c r="W163" s="630"/>
      <c r="X163" s="1365"/>
      <c r="Y163" s="1365"/>
      <c r="Z163" s="1365"/>
      <c r="AA163" s="620"/>
      <c r="AB163" s="620"/>
      <c r="AC163" s="600"/>
    </row>
    <row r="164" spans="2:29" hidden="1" x14ac:dyDescent="0.25">
      <c r="B164" s="1363" t="s">
        <v>595</v>
      </c>
      <c r="C164" s="1363"/>
      <c r="D164" s="1363"/>
      <c r="E164" s="1363"/>
      <c r="F164" s="1363"/>
      <c r="G164" s="1363"/>
      <c r="H164" s="1363"/>
      <c r="I164" s="1364"/>
      <c r="J164" s="625"/>
      <c r="K164" s="625"/>
      <c r="L164" s="640"/>
      <c r="M164" s="625">
        <v>13130</v>
      </c>
      <c r="N164" s="640"/>
      <c r="O164" s="1364"/>
      <c r="P164" s="1364"/>
      <c r="Q164" s="1364"/>
      <c r="R164" s="1364"/>
      <c r="S164" s="1364"/>
      <c r="T164" s="625"/>
      <c r="U164" s="1364">
        <f>+T164</f>
        <v>0</v>
      </c>
      <c r="V164" s="1365"/>
      <c r="W164" s="630"/>
      <c r="X164" s="1365"/>
      <c r="Y164" s="1365"/>
      <c r="Z164" s="1365"/>
      <c r="AA164" s="620"/>
      <c r="AB164" s="620"/>
      <c r="AC164" s="600"/>
    </row>
    <row r="165" spans="2:29" hidden="1" x14ac:dyDescent="0.25">
      <c r="B165" s="1363" t="s">
        <v>597</v>
      </c>
      <c r="C165" s="1363"/>
      <c r="D165" s="1363"/>
      <c r="E165" s="1363"/>
      <c r="F165" s="1363"/>
      <c r="G165" s="1363"/>
      <c r="H165" s="1363"/>
      <c r="I165" s="1364"/>
      <c r="J165" s="625"/>
      <c r="K165" s="625"/>
      <c r="L165" s="640"/>
      <c r="M165" s="625">
        <v>25000</v>
      </c>
      <c r="N165" s="640"/>
      <c r="O165" s="1364"/>
      <c r="P165" s="1364"/>
      <c r="Q165" s="1364"/>
      <c r="R165" s="1364"/>
      <c r="S165" s="1364"/>
      <c r="T165" s="625"/>
      <c r="U165" s="1364">
        <f>+T165</f>
        <v>0</v>
      </c>
      <c r="V165" s="1365"/>
      <c r="W165" s="630"/>
      <c r="X165" s="1365"/>
      <c r="Y165" s="1365"/>
      <c r="Z165" s="1365"/>
      <c r="AA165" s="620"/>
      <c r="AB165" s="620"/>
      <c r="AC165" s="600"/>
    </row>
    <row r="166" spans="2:29" hidden="1" x14ac:dyDescent="0.25">
      <c r="B166" s="1363" t="s">
        <v>598</v>
      </c>
      <c r="C166" s="1363"/>
      <c r="D166" s="1363"/>
      <c r="E166" s="1363"/>
      <c r="F166" s="1363"/>
      <c r="G166" s="1363"/>
      <c r="H166" s="1363"/>
      <c r="I166" s="1364"/>
      <c r="J166" s="625"/>
      <c r="K166" s="625"/>
      <c r="L166" s="640"/>
      <c r="M166" s="625">
        <v>25000</v>
      </c>
      <c r="N166" s="640"/>
      <c r="O166" s="1364"/>
      <c r="P166" s="1364"/>
      <c r="Q166" s="1364">
        <v>11585</v>
      </c>
      <c r="R166" s="1364"/>
      <c r="S166" s="1364">
        <f>+R166</f>
        <v>0</v>
      </c>
      <c r="T166" s="625">
        <f>+S166</f>
        <v>0</v>
      </c>
      <c r="U166" s="1364">
        <f>+T166</f>
        <v>0</v>
      </c>
      <c r="V166" s="1365"/>
      <c r="W166" s="630"/>
      <c r="X166" s="1365"/>
      <c r="Y166" s="1365"/>
      <c r="Z166" s="1365"/>
      <c r="AA166" s="620"/>
      <c r="AB166" s="620"/>
      <c r="AC166" s="600"/>
    </row>
    <row r="167" spans="2:29" hidden="1" x14ac:dyDescent="0.25">
      <c r="B167" s="1363" t="s">
        <v>599</v>
      </c>
      <c r="C167" s="1363"/>
      <c r="D167" s="1363"/>
      <c r="E167" s="1363"/>
      <c r="F167" s="1363"/>
      <c r="G167" s="1363"/>
      <c r="H167" s="1363"/>
      <c r="I167" s="1364"/>
      <c r="J167" s="625"/>
      <c r="K167" s="625"/>
      <c r="L167" s="640"/>
      <c r="M167" s="625">
        <v>25000</v>
      </c>
      <c r="N167" s="640"/>
      <c r="O167" s="1364">
        <v>21584</v>
      </c>
      <c r="P167" s="1364"/>
      <c r="Q167" s="1364"/>
      <c r="R167" s="1364"/>
      <c r="S167" s="1364"/>
      <c r="T167" s="625">
        <f>+S167</f>
        <v>0</v>
      </c>
      <c r="U167" s="1364">
        <f>+T167</f>
        <v>0</v>
      </c>
      <c r="V167" s="1365"/>
      <c r="W167" s="630"/>
      <c r="X167" s="1365"/>
      <c r="Y167" s="1365"/>
      <c r="Z167" s="1365"/>
      <c r="AA167" s="620"/>
      <c r="AB167" s="620"/>
      <c r="AC167" s="600"/>
    </row>
    <row r="168" spans="2:29" hidden="1" x14ac:dyDescent="0.25">
      <c r="B168" s="1363" t="s">
        <v>600</v>
      </c>
      <c r="C168" s="1363"/>
      <c r="D168" s="1363"/>
      <c r="E168" s="1363"/>
      <c r="F168" s="1363"/>
      <c r="G168" s="1363"/>
      <c r="H168" s="1363"/>
      <c r="I168" s="1364"/>
      <c r="J168" s="625"/>
      <c r="K168" s="625"/>
      <c r="L168" s="640"/>
      <c r="M168" s="625">
        <v>50000</v>
      </c>
      <c r="N168" s="640"/>
      <c r="O168" s="1364"/>
      <c r="P168" s="1364"/>
      <c r="Q168" s="1364"/>
      <c r="R168" s="1364"/>
      <c r="S168" s="1364"/>
      <c r="T168" s="625"/>
      <c r="U168" s="1364"/>
      <c r="V168" s="1365"/>
      <c r="W168" s="630"/>
      <c r="X168" s="1365"/>
      <c r="Y168" s="1365"/>
      <c r="Z168" s="1365"/>
      <c r="AA168" s="620"/>
      <c r="AB168" s="620"/>
      <c r="AC168" s="600"/>
    </row>
    <row r="169" spans="2:29" ht="15.6" hidden="1" x14ac:dyDescent="0.3">
      <c r="B169" s="1363" t="s">
        <v>601</v>
      </c>
      <c r="C169" s="1363"/>
      <c r="D169" s="1363"/>
      <c r="E169" s="1363"/>
      <c r="F169" s="1363"/>
      <c r="G169" s="1363"/>
      <c r="H169" s="1363"/>
      <c r="I169" s="1363"/>
      <c r="J169" s="1364">
        <v>76670</v>
      </c>
      <c r="K169" s="1364"/>
      <c r="L169" s="640"/>
      <c r="M169" s="1366"/>
      <c r="N169" s="640"/>
      <c r="O169" s="1364"/>
      <c r="P169" s="1364"/>
      <c r="Q169" s="1364"/>
      <c r="R169" s="1364"/>
      <c r="S169" s="1364"/>
      <c r="T169" s="625"/>
      <c r="U169" s="1364"/>
      <c r="V169" s="1365"/>
      <c r="W169" s="630"/>
      <c r="X169" s="1365"/>
      <c r="Y169" s="1365"/>
      <c r="Z169" s="1365"/>
      <c r="AA169" s="620"/>
      <c r="AB169" s="620"/>
      <c r="AC169" s="600"/>
    </row>
    <row r="170" spans="2:29" ht="15.6" hidden="1" x14ac:dyDescent="0.3">
      <c r="B170" s="1363" t="s">
        <v>602</v>
      </c>
      <c r="C170" s="1363"/>
      <c r="D170" s="1363"/>
      <c r="E170" s="1363"/>
      <c r="F170" s="1363"/>
      <c r="G170" s="1363"/>
      <c r="H170" s="1363"/>
      <c r="I170" s="1363"/>
      <c r="J170" s="1364">
        <v>21755</v>
      </c>
      <c r="K170" s="1364"/>
      <c r="L170" s="640"/>
      <c r="M170" s="1366"/>
      <c r="N170" s="640"/>
      <c r="O170" s="1364"/>
      <c r="P170" s="1364"/>
      <c r="Q170" s="1364"/>
      <c r="R170" s="1364"/>
      <c r="S170" s="1364"/>
      <c r="T170" s="625"/>
      <c r="U170" s="1364"/>
      <c r="V170" s="1365"/>
      <c r="W170" s="630"/>
      <c r="X170" s="1365"/>
      <c r="Y170" s="1365"/>
      <c r="Z170" s="1365"/>
      <c r="AA170" s="620"/>
      <c r="AB170" s="620"/>
      <c r="AC170" s="600"/>
    </row>
    <row r="171" spans="2:29" ht="15.6" x14ac:dyDescent="0.3">
      <c r="B171" s="1363" t="s">
        <v>2534</v>
      </c>
      <c r="C171" s="1363"/>
      <c r="D171" s="1363"/>
      <c r="E171" s="1363"/>
      <c r="F171" s="1363"/>
      <c r="G171" s="1363"/>
      <c r="H171" s="1363"/>
      <c r="I171" s="1363"/>
      <c r="J171" s="1364"/>
      <c r="K171" s="1364"/>
      <c r="L171" s="640"/>
      <c r="M171" s="1366"/>
      <c r="N171" s="640"/>
      <c r="O171" s="1364"/>
      <c r="P171" s="1364"/>
      <c r="Q171" s="1364"/>
      <c r="R171" s="1364">
        <v>36000</v>
      </c>
      <c r="S171" s="1364">
        <f>+R171</f>
        <v>36000</v>
      </c>
      <c r="T171" s="625">
        <f>+R171</f>
        <v>36000</v>
      </c>
      <c r="U171" s="1364">
        <f>+R171</f>
        <v>36000</v>
      </c>
      <c r="V171" s="1365"/>
      <c r="W171" s="630"/>
      <c r="X171" s="1365"/>
      <c r="Y171" s="1365"/>
      <c r="Z171" s="1365"/>
      <c r="AA171" s="620"/>
      <c r="AB171" s="620"/>
      <c r="AC171" s="600"/>
    </row>
    <row r="172" spans="2:29" x14ac:dyDescent="0.25">
      <c r="B172" s="1363" t="s">
        <v>1941</v>
      </c>
      <c r="C172" s="1363"/>
      <c r="D172" s="1363"/>
      <c r="E172" s="1363"/>
      <c r="F172" s="1363"/>
      <c r="G172" s="1363"/>
      <c r="H172" s="1363"/>
      <c r="I172" s="1364">
        <v>100000</v>
      </c>
      <c r="J172" s="625">
        <v>100000</v>
      </c>
      <c r="K172" s="625"/>
      <c r="L172" s="640">
        <v>80000</v>
      </c>
      <c r="M172" s="625">
        <v>100000</v>
      </c>
      <c r="N172" s="640"/>
      <c r="O172" s="1364">
        <v>75000</v>
      </c>
      <c r="P172" s="1364"/>
      <c r="Q172" s="1364">
        <v>70592</v>
      </c>
      <c r="R172" s="1364">
        <v>64218</v>
      </c>
      <c r="S172" s="1364">
        <f>+R172</f>
        <v>64218</v>
      </c>
      <c r="T172" s="625">
        <f>+S172</f>
        <v>64218</v>
      </c>
      <c r="U172" s="1364">
        <f>+T172</f>
        <v>64218</v>
      </c>
      <c r="V172" s="1365"/>
      <c r="W172" s="630"/>
      <c r="X172" s="1365"/>
      <c r="Y172" s="1365"/>
      <c r="Z172" s="1365"/>
      <c r="AA172" s="620"/>
      <c r="AB172" s="620"/>
      <c r="AC172" s="600"/>
    </row>
    <row r="173" spans="2:29" x14ac:dyDescent="0.25">
      <c r="B173" s="1363" t="s">
        <v>2511</v>
      </c>
      <c r="C173" s="1363"/>
      <c r="D173" s="1363"/>
      <c r="E173" s="1363"/>
      <c r="F173" s="1363"/>
      <c r="G173" s="1363"/>
      <c r="H173" s="1363"/>
      <c r="I173" s="1363"/>
      <c r="J173" s="1364"/>
      <c r="K173" s="1364"/>
      <c r="L173" s="640"/>
      <c r="M173" s="1364"/>
      <c r="N173" s="640"/>
      <c r="O173" s="1364"/>
      <c r="P173" s="1364"/>
      <c r="Q173" s="1364"/>
      <c r="R173" s="1364">
        <v>40402</v>
      </c>
      <c r="S173" s="1364">
        <f>+R173</f>
        <v>40402</v>
      </c>
      <c r="T173" s="625">
        <f>+R173</f>
        <v>40402</v>
      </c>
      <c r="U173" s="1364">
        <v>40402</v>
      </c>
      <c r="V173" s="1365"/>
      <c r="W173" s="630"/>
      <c r="X173" s="1365"/>
      <c r="Y173" s="1365"/>
      <c r="Z173" s="1365"/>
      <c r="AA173" s="620"/>
      <c r="AB173" s="620"/>
      <c r="AC173" s="600"/>
    </row>
    <row r="174" spans="2:29" x14ac:dyDescent="0.25">
      <c r="B174" s="1363" t="s">
        <v>2601</v>
      </c>
      <c r="C174" s="1363"/>
      <c r="D174" s="1363"/>
      <c r="E174" s="1363"/>
      <c r="F174" s="1363"/>
      <c r="G174" s="1363"/>
      <c r="H174" s="1363"/>
      <c r="I174" s="1363"/>
      <c r="J174" s="1364"/>
      <c r="K174" s="1364"/>
      <c r="L174" s="640"/>
      <c r="M174" s="1364"/>
      <c r="N174" s="640"/>
      <c r="O174" s="1364"/>
      <c r="P174" s="1364"/>
      <c r="Q174" s="1364"/>
      <c r="R174" s="1364">
        <v>365000</v>
      </c>
      <c r="S174" s="1364">
        <f>+R174</f>
        <v>365000</v>
      </c>
      <c r="T174" s="625">
        <f>+S174</f>
        <v>365000</v>
      </c>
      <c r="U174" s="1364"/>
      <c r="V174" s="1365"/>
      <c r="W174" s="630"/>
      <c r="X174" s="1365"/>
      <c r="Y174" s="1365">
        <f>+T174</f>
        <v>365000</v>
      </c>
      <c r="Z174" s="1365"/>
      <c r="AA174" s="620"/>
      <c r="AB174" s="620"/>
      <c r="AC174" s="600"/>
    </row>
    <row r="175" spans="2:29" x14ac:dyDescent="0.25">
      <c r="B175" s="1363" t="s">
        <v>2514</v>
      </c>
      <c r="C175" s="1363"/>
      <c r="D175" s="1363"/>
      <c r="E175" s="1363"/>
      <c r="F175" s="1363"/>
      <c r="G175" s="1363"/>
      <c r="H175" s="1363"/>
      <c r="I175" s="1363"/>
      <c r="J175" s="1363"/>
      <c r="K175" s="1363"/>
      <c r="L175" s="640"/>
      <c r="M175" s="640"/>
      <c r="N175" s="640"/>
      <c r="O175" s="640"/>
      <c r="P175" s="640"/>
      <c r="Q175" s="640"/>
      <c r="R175" s="1364">
        <v>296000</v>
      </c>
      <c r="S175" s="1364">
        <f t="shared" ref="S175:S187" si="56">+R175</f>
        <v>296000</v>
      </c>
      <c r="T175" s="625">
        <f t="shared" ref="T175:T183" si="57">+R175</f>
        <v>296000</v>
      </c>
      <c r="U175" s="1364"/>
      <c r="V175" s="1365"/>
      <c r="W175" s="630"/>
      <c r="X175" s="1365"/>
      <c r="Y175" s="1365">
        <f>+T175</f>
        <v>296000</v>
      </c>
      <c r="Z175" s="1365"/>
      <c r="AA175" s="620"/>
      <c r="AB175" s="620"/>
      <c r="AC175" s="600"/>
    </row>
    <row r="176" spans="2:29" ht="15.6" hidden="1" x14ac:dyDescent="0.3">
      <c r="B176" s="1363" t="s">
        <v>605</v>
      </c>
      <c r="C176" s="1363"/>
      <c r="D176" s="1363"/>
      <c r="E176" s="1363"/>
      <c r="F176" s="1363"/>
      <c r="G176" s="1363"/>
      <c r="H176" s="1363"/>
      <c r="I176" s="1363"/>
      <c r="J176" s="1364"/>
      <c r="K176" s="1364"/>
      <c r="L176" s="640">
        <v>10000</v>
      </c>
      <c r="M176" s="1366"/>
      <c r="N176" s="640"/>
      <c r="O176" s="1364"/>
      <c r="P176" s="1364"/>
      <c r="Q176" s="1364"/>
      <c r="R176" s="1364"/>
      <c r="S176" s="1364">
        <f t="shared" si="56"/>
        <v>0</v>
      </c>
      <c r="T176" s="625">
        <f t="shared" si="57"/>
        <v>0</v>
      </c>
      <c r="U176" s="1364"/>
      <c r="V176" s="1365">
        <f t="shared" ref="V176:V182" si="58">+T176</f>
        <v>0</v>
      </c>
      <c r="W176" s="630"/>
      <c r="X176" s="1365"/>
      <c r="Y176" s="1365"/>
      <c r="Z176" s="1365"/>
      <c r="AA176" s="620"/>
      <c r="AB176" s="620"/>
      <c r="AC176" s="600"/>
    </row>
    <row r="177" spans="2:29" hidden="1" x14ac:dyDescent="0.25">
      <c r="B177" s="1363" t="s">
        <v>606</v>
      </c>
      <c r="C177" s="1363"/>
      <c r="D177" s="1363"/>
      <c r="E177" s="1363"/>
      <c r="F177" s="1363"/>
      <c r="G177" s="1363"/>
      <c r="H177" s="1363"/>
      <c r="I177" s="1363"/>
      <c r="J177" s="1364"/>
      <c r="K177" s="1364"/>
      <c r="L177" s="1364">
        <v>7500</v>
      </c>
      <c r="M177" s="1364"/>
      <c r="N177" s="1364"/>
      <c r="O177" s="1364"/>
      <c r="P177" s="1364"/>
      <c r="Q177" s="1364"/>
      <c r="R177" s="1364"/>
      <c r="S177" s="1364">
        <f t="shared" si="56"/>
        <v>0</v>
      </c>
      <c r="T177" s="625">
        <f t="shared" si="57"/>
        <v>0</v>
      </c>
      <c r="U177" s="1364"/>
      <c r="V177" s="1365">
        <f t="shared" si="58"/>
        <v>0</v>
      </c>
      <c r="W177" s="630"/>
      <c r="X177" s="1365"/>
      <c r="Y177" s="1365"/>
      <c r="Z177" s="1365"/>
      <c r="AA177" s="620"/>
      <c r="AB177" s="620"/>
      <c r="AC177" s="600"/>
    </row>
    <row r="178" spans="2:29" hidden="1" x14ac:dyDescent="0.25">
      <c r="B178" s="1363" t="s">
        <v>607</v>
      </c>
      <c r="C178" s="1363"/>
      <c r="D178" s="1363"/>
      <c r="E178" s="1363"/>
      <c r="F178" s="1363"/>
      <c r="G178" s="1363"/>
      <c r="H178" s="1363"/>
      <c r="I178" s="1363"/>
      <c r="J178" s="1364"/>
      <c r="K178" s="1364"/>
      <c r="L178" s="1364">
        <v>7500</v>
      </c>
      <c r="M178" s="1364"/>
      <c r="N178" s="1364"/>
      <c r="O178" s="1364"/>
      <c r="P178" s="1364"/>
      <c r="Q178" s="1364"/>
      <c r="R178" s="1364"/>
      <c r="S178" s="1364">
        <f t="shared" si="56"/>
        <v>0</v>
      </c>
      <c r="T178" s="625">
        <f t="shared" si="57"/>
        <v>0</v>
      </c>
      <c r="U178" s="1364"/>
      <c r="V178" s="1365">
        <f t="shared" si="58"/>
        <v>0</v>
      </c>
      <c r="W178" s="630"/>
      <c r="X178" s="1365"/>
      <c r="Y178" s="1365"/>
      <c r="Z178" s="1365"/>
      <c r="AA178" s="620"/>
      <c r="AB178" s="620"/>
      <c r="AC178" s="600"/>
    </row>
    <row r="179" spans="2:29" hidden="1" x14ac:dyDescent="0.25">
      <c r="B179" s="1363" t="s">
        <v>608</v>
      </c>
      <c r="C179" s="1363"/>
      <c r="D179" s="1363"/>
      <c r="E179" s="1363"/>
      <c r="F179" s="1363"/>
      <c r="G179" s="1363"/>
      <c r="H179" s="1363"/>
      <c r="I179" s="1363"/>
      <c r="J179" s="1364"/>
      <c r="K179" s="1364"/>
      <c r="L179" s="1364">
        <v>6953</v>
      </c>
      <c r="M179" s="1364"/>
      <c r="N179" s="1364"/>
      <c r="O179" s="1364"/>
      <c r="P179" s="1364"/>
      <c r="Q179" s="1364"/>
      <c r="R179" s="1364"/>
      <c r="S179" s="1364">
        <f t="shared" si="56"/>
        <v>0</v>
      </c>
      <c r="T179" s="625">
        <f t="shared" si="57"/>
        <v>0</v>
      </c>
      <c r="U179" s="1364"/>
      <c r="V179" s="1365">
        <f t="shared" si="58"/>
        <v>0</v>
      </c>
      <c r="W179" s="630"/>
      <c r="X179" s="1365"/>
      <c r="Y179" s="1365"/>
      <c r="Z179" s="1365"/>
      <c r="AA179" s="620"/>
      <c r="AB179" s="620"/>
      <c r="AC179" s="600"/>
    </row>
    <row r="180" spans="2:29" ht="15.6" hidden="1" x14ac:dyDescent="0.3">
      <c r="B180" s="1363" t="s">
        <v>609</v>
      </c>
      <c r="C180" s="1363"/>
      <c r="D180" s="1363"/>
      <c r="E180" s="1363"/>
      <c r="F180" s="1363"/>
      <c r="G180" s="1363"/>
      <c r="H180" s="1363"/>
      <c r="I180" s="1363"/>
      <c r="J180" s="1364">
        <v>35344</v>
      </c>
      <c r="K180" s="1364"/>
      <c r="L180" s="640"/>
      <c r="M180" s="1366"/>
      <c r="N180" s="640"/>
      <c r="O180" s="1364"/>
      <c r="P180" s="1364"/>
      <c r="Q180" s="1364"/>
      <c r="R180" s="1364"/>
      <c r="S180" s="1364">
        <f t="shared" si="56"/>
        <v>0</v>
      </c>
      <c r="T180" s="625">
        <f t="shared" si="57"/>
        <v>0</v>
      </c>
      <c r="U180" s="1364"/>
      <c r="V180" s="1365">
        <f t="shared" si="58"/>
        <v>0</v>
      </c>
      <c r="W180" s="630"/>
      <c r="X180" s="1365"/>
      <c r="Y180" s="1365"/>
      <c r="Z180" s="1365"/>
      <c r="AA180" s="620"/>
      <c r="AB180" s="620"/>
      <c r="AC180" s="600"/>
    </row>
    <row r="181" spans="2:29" hidden="1" x14ac:dyDescent="0.25">
      <c r="B181" s="1363" t="s">
        <v>610</v>
      </c>
      <c r="C181" s="1363"/>
      <c r="D181" s="1363"/>
      <c r="E181" s="1363"/>
      <c r="F181" s="1363"/>
      <c r="G181" s="1363"/>
      <c r="H181" s="1363"/>
      <c r="I181" s="1363"/>
      <c r="J181" s="1364"/>
      <c r="K181" s="1364"/>
      <c r="L181" s="640"/>
      <c r="M181" s="1364">
        <v>0</v>
      </c>
      <c r="N181" s="640"/>
      <c r="O181" s="1364"/>
      <c r="P181" s="1364"/>
      <c r="Q181" s="1364"/>
      <c r="R181" s="1364"/>
      <c r="S181" s="1364">
        <f t="shared" si="56"/>
        <v>0</v>
      </c>
      <c r="T181" s="625">
        <f t="shared" si="57"/>
        <v>0</v>
      </c>
      <c r="U181" s="1364"/>
      <c r="V181" s="1365">
        <f t="shared" si="58"/>
        <v>0</v>
      </c>
      <c r="W181" s="630"/>
      <c r="X181" s="1365"/>
      <c r="Y181" s="1365"/>
      <c r="Z181" s="1365"/>
      <c r="AA181" s="620"/>
      <c r="AB181" s="620"/>
      <c r="AC181" s="600"/>
    </row>
    <row r="182" spans="2:29" x14ac:dyDescent="0.25">
      <c r="B182" s="1363" t="s">
        <v>2519</v>
      </c>
      <c r="C182" s="1363"/>
      <c r="D182" s="1363"/>
      <c r="E182" s="1363"/>
      <c r="F182" s="1363"/>
      <c r="G182" s="1363"/>
      <c r="H182" s="1363"/>
      <c r="I182" s="1363"/>
      <c r="J182" s="1363"/>
      <c r="K182" s="1363"/>
      <c r="L182" s="640"/>
      <c r="M182" s="640"/>
      <c r="N182" s="640"/>
      <c r="O182" s="640"/>
      <c r="P182" s="640"/>
      <c r="Q182" s="640"/>
      <c r="R182" s="1364">
        <v>30000</v>
      </c>
      <c r="S182" s="1364">
        <f t="shared" si="56"/>
        <v>30000</v>
      </c>
      <c r="T182" s="625">
        <f t="shared" si="57"/>
        <v>30000</v>
      </c>
      <c r="U182" s="1364"/>
      <c r="V182" s="1365">
        <f t="shared" si="58"/>
        <v>30000</v>
      </c>
      <c r="W182" s="630"/>
      <c r="X182" s="1365"/>
      <c r="Y182" s="1365"/>
      <c r="Z182" s="1365"/>
      <c r="AA182" s="620"/>
      <c r="AB182" s="620"/>
      <c r="AC182" s="600"/>
    </row>
    <row r="183" spans="2:29" x14ac:dyDescent="0.25">
      <c r="B183" s="1363" t="s">
        <v>2515</v>
      </c>
      <c r="C183" s="1363"/>
      <c r="D183" s="1363"/>
      <c r="E183" s="1363"/>
      <c r="F183" s="1363"/>
      <c r="G183" s="1363"/>
      <c r="H183" s="1363"/>
      <c r="I183" s="1363"/>
      <c r="J183" s="1363"/>
      <c r="K183" s="1363"/>
      <c r="L183" s="640"/>
      <c r="M183" s="640"/>
      <c r="N183" s="640"/>
      <c r="O183" s="640"/>
      <c r="P183" s="640"/>
      <c r="Q183" s="640"/>
      <c r="R183" s="1364">
        <v>78500</v>
      </c>
      <c r="S183" s="1364">
        <f t="shared" si="56"/>
        <v>78500</v>
      </c>
      <c r="T183" s="625">
        <f t="shared" si="57"/>
        <v>78500</v>
      </c>
      <c r="U183" s="1364"/>
      <c r="V183" s="1365"/>
      <c r="W183" s="630"/>
      <c r="X183" s="1365">
        <v>78500</v>
      </c>
      <c r="Y183" s="1365"/>
      <c r="Z183" s="1365"/>
      <c r="AA183" s="620"/>
      <c r="AB183" s="620"/>
      <c r="AC183" s="600"/>
    </row>
    <row r="184" spans="2:29" x14ac:dyDescent="0.25">
      <c r="B184" s="1363" t="s">
        <v>2606</v>
      </c>
      <c r="C184" s="1363"/>
      <c r="D184" s="1363"/>
      <c r="E184" s="1363"/>
      <c r="F184" s="1363"/>
      <c r="G184" s="1363"/>
      <c r="H184" s="1363"/>
      <c r="I184" s="1363"/>
      <c r="J184" s="1363"/>
      <c r="K184" s="1363"/>
      <c r="L184" s="640"/>
      <c r="M184" s="640"/>
      <c r="N184" s="640"/>
      <c r="O184" s="640"/>
      <c r="P184" s="640"/>
      <c r="Q184" s="640"/>
      <c r="R184" s="1364">
        <v>150000</v>
      </c>
      <c r="S184" s="1364">
        <f t="shared" si="56"/>
        <v>150000</v>
      </c>
      <c r="T184" s="625">
        <f t="shared" ref="T184:T187" si="59">+R184</f>
        <v>150000</v>
      </c>
      <c r="U184" s="1364"/>
      <c r="V184" s="1365"/>
      <c r="W184" s="630"/>
      <c r="X184" s="1365">
        <f>+T184</f>
        <v>150000</v>
      </c>
      <c r="Y184" s="1365"/>
      <c r="Z184" s="1365"/>
      <c r="AA184" s="620"/>
      <c r="AB184" s="620"/>
      <c r="AC184" s="600"/>
    </row>
    <row r="185" spans="2:29" x14ac:dyDescent="0.25">
      <c r="B185" s="1363" t="s">
        <v>2516</v>
      </c>
      <c r="C185" s="1363"/>
      <c r="D185" s="1363"/>
      <c r="E185" s="1363"/>
      <c r="F185" s="1363"/>
      <c r="G185" s="1363"/>
      <c r="H185" s="1363"/>
      <c r="I185" s="1363"/>
      <c r="J185" s="1363"/>
      <c r="K185" s="1363"/>
      <c r="L185" s="640"/>
      <c r="M185" s="640"/>
      <c r="N185" s="640"/>
      <c r="O185" s="640"/>
      <c r="P185" s="640"/>
      <c r="Q185" s="640"/>
      <c r="R185" s="1364">
        <v>0</v>
      </c>
      <c r="S185" s="1364">
        <f t="shared" si="56"/>
        <v>0</v>
      </c>
      <c r="T185" s="625">
        <f t="shared" si="59"/>
        <v>0</v>
      </c>
      <c r="U185" s="1364"/>
      <c r="V185" s="1365"/>
      <c r="W185" s="630"/>
      <c r="X185" s="1365">
        <f>+T185</f>
        <v>0</v>
      </c>
      <c r="Y185" s="1365"/>
      <c r="Z185" s="1365"/>
      <c r="AA185" s="620"/>
      <c r="AB185" s="620"/>
      <c r="AC185" s="600"/>
    </row>
    <row r="186" spans="2:29" x14ac:dyDescent="0.25">
      <c r="B186" s="1363" t="s">
        <v>2517</v>
      </c>
      <c r="C186" s="1363"/>
      <c r="D186" s="1363"/>
      <c r="E186" s="1363"/>
      <c r="F186" s="1363"/>
      <c r="G186" s="1363"/>
      <c r="H186" s="1363"/>
      <c r="I186" s="1363"/>
      <c r="J186" s="1363"/>
      <c r="K186" s="1363"/>
      <c r="L186" s="640"/>
      <c r="M186" s="640"/>
      <c r="N186" s="640"/>
      <c r="O186" s="640"/>
      <c r="P186" s="640"/>
      <c r="Q186" s="640"/>
      <c r="R186" s="1364">
        <v>175500</v>
      </c>
      <c r="S186" s="1364">
        <f t="shared" si="56"/>
        <v>175500</v>
      </c>
      <c r="T186" s="625">
        <f t="shared" si="59"/>
        <v>175500</v>
      </c>
      <c r="U186" s="1364"/>
      <c r="V186" s="1365"/>
      <c r="W186" s="630"/>
      <c r="X186" s="1365"/>
      <c r="Y186" s="1365">
        <f>+T186</f>
        <v>175500</v>
      </c>
      <c r="Z186" s="1365"/>
      <c r="AA186" s="620"/>
      <c r="AB186" s="620"/>
      <c r="AC186" s="600"/>
    </row>
    <row r="187" spans="2:29" x14ac:dyDescent="0.25">
      <c r="B187" s="1363" t="s">
        <v>2518</v>
      </c>
      <c r="C187" s="1363"/>
      <c r="D187" s="1363"/>
      <c r="E187" s="1363"/>
      <c r="F187" s="1363"/>
      <c r="G187" s="1363"/>
      <c r="H187" s="1363"/>
      <c r="I187" s="1363"/>
      <c r="J187" s="1363"/>
      <c r="K187" s="1363"/>
      <c r="L187" s="640"/>
      <c r="M187" s="640"/>
      <c r="N187" s="640"/>
      <c r="O187" s="640"/>
      <c r="P187" s="640"/>
      <c r="Q187" s="640"/>
      <c r="R187" s="1364">
        <v>24000</v>
      </c>
      <c r="S187" s="1364">
        <f t="shared" si="56"/>
        <v>24000</v>
      </c>
      <c r="T187" s="625">
        <f t="shared" si="59"/>
        <v>24000</v>
      </c>
      <c r="U187" s="1364"/>
      <c r="V187" s="1365">
        <f>+R187</f>
        <v>24000</v>
      </c>
      <c r="W187" s="630"/>
      <c r="X187" s="1365"/>
      <c r="Y187" s="1365"/>
      <c r="Z187" s="1365"/>
      <c r="AA187" s="620"/>
      <c r="AB187" s="620"/>
      <c r="AC187" s="600"/>
    </row>
    <row r="188" spans="2:29" x14ac:dyDescent="0.25">
      <c r="B188" s="617" t="s">
        <v>2603</v>
      </c>
      <c r="J188" s="621"/>
      <c r="K188" s="621"/>
      <c r="L188" s="640"/>
      <c r="M188" s="621"/>
      <c r="N188" s="640"/>
      <c r="O188" s="621"/>
      <c r="P188" s="621"/>
      <c r="Q188" s="621"/>
      <c r="T188" s="625"/>
      <c r="U188" s="621"/>
      <c r="V188" s="620"/>
      <c r="W188" s="619"/>
      <c r="X188" s="620"/>
      <c r="Y188" s="620"/>
      <c r="Z188" s="620">
        <f>+T188</f>
        <v>0</v>
      </c>
      <c r="AA188" s="620"/>
      <c r="AB188" s="620"/>
      <c r="AC188" s="600"/>
    </row>
    <row r="189" spans="2:29" x14ac:dyDescent="0.25">
      <c r="B189" s="617" t="s">
        <v>2605</v>
      </c>
      <c r="J189" s="621"/>
      <c r="K189" s="621"/>
      <c r="L189" s="640"/>
      <c r="M189" s="621"/>
      <c r="N189" s="640"/>
      <c r="O189" s="621"/>
      <c r="P189" s="621"/>
      <c r="Q189" s="621"/>
      <c r="T189" s="625"/>
      <c r="U189" s="621"/>
      <c r="V189" s="620"/>
      <c r="W189" s="619"/>
      <c r="X189" s="620"/>
      <c r="Y189" s="620"/>
      <c r="Z189" s="620"/>
      <c r="AA189" s="620">
        <f>+R189</f>
        <v>0</v>
      </c>
      <c r="AB189" s="620"/>
      <c r="AC189" s="600"/>
    </row>
    <row r="190" spans="2:29" hidden="1" x14ac:dyDescent="0.25">
      <c r="B190" s="617" t="s">
        <v>1997</v>
      </c>
      <c r="J190" s="621"/>
      <c r="K190" s="621"/>
      <c r="L190" s="640"/>
      <c r="M190" s="621"/>
      <c r="N190" s="640"/>
      <c r="O190" s="621"/>
      <c r="P190" s="621"/>
      <c r="Q190" s="621">
        <v>13100</v>
      </c>
      <c r="S190" s="621">
        <f>+R190</f>
        <v>0</v>
      </c>
      <c r="T190" s="625">
        <f>+R190</f>
        <v>0</v>
      </c>
      <c r="U190" s="621"/>
      <c r="V190" s="620"/>
      <c r="W190" s="619"/>
      <c r="X190" s="620"/>
      <c r="Y190" s="620"/>
      <c r="Z190" s="620"/>
      <c r="AA190" s="620"/>
      <c r="AB190" s="620"/>
      <c r="AC190" s="600"/>
    </row>
    <row r="191" spans="2:29" ht="15.6" hidden="1" x14ac:dyDescent="0.3">
      <c r="B191" s="617" t="s">
        <v>1942</v>
      </c>
      <c r="J191" s="621"/>
      <c r="K191" s="621"/>
      <c r="L191" s="640"/>
      <c r="M191" s="627"/>
      <c r="N191" s="640"/>
      <c r="O191" s="621"/>
      <c r="P191" s="621"/>
      <c r="Q191" s="621">
        <v>25000</v>
      </c>
      <c r="S191" s="621">
        <f>+R191</f>
        <v>0</v>
      </c>
      <c r="T191" s="625">
        <f>+R191</f>
        <v>0</v>
      </c>
      <c r="U191" s="621"/>
      <c r="V191" s="620">
        <f>+T191</f>
        <v>0</v>
      </c>
      <c r="W191" s="619"/>
      <c r="X191" s="620"/>
      <c r="Y191" s="620"/>
      <c r="Z191" s="620"/>
      <c r="AA191" s="620"/>
      <c r="AB191" s="620"/>
      <c r="AC191" s="600"/>
    </row>
    <row r="192" spans="2:29" ht="15.6" hidden="1" x14ac:dyDescent="0.3">
      <c r="B192" s="617" t="s">
        <v>1946</v>
      </c>
      <c r="J192" s="621"/>
      <c r="K192" s="621"/>
      <c r="L192" s="640"/>
      <c r="M192" s="627"/>
      <c r="N192" s="640"/>
      <c r="O192" s="621"/>
      <c r="P192" s="621"/>
      <c r="Q192" s="621">
        <v>25000</v>
      </c>
      <c r="S192" s="621">
        <f>+R192</f>
        <v>0</v>
      </c>
      <c r="T192" s="625">
        <f>+R192</f>
        <v>0</v>
      </c>
      <c r="U192" s="621"/>
      <c r="V192" s="620">
        <f>+T192</f>
        <v>0</v>
      </c>
      <c r="W192" s="619"/>
      <c r="X192" s="620"/>
      <c r="Y192" s="620"/>
      <c r="Z192" s="620"/>
      <c r="AA192" s="620"/>
      <c r="AB192" s="620"/>
      <c r="AC192" s="600"/>
    </row>
    <row r="193" spans="2:29" hidden="1" x14ac:dyDescent="0.25">
      <c r="B193" s="617" t="s">
        <v>603</v>
      </c>
      <c r="J193" s="621"/>
      <c r="K193" s="621"/>
      <c r="L193" s="640"/>
      <c r="M193" s="621">
        <v>32500</v>
      </c>
      <c r="N193" s="640"/>
      <c r="O193" s="621"/>
      <c r="P193" s="621"/>
      <c r="Q193" s="621"/>
      <c r="T193" s="625"/>
      <c r="U193" s="621"/>
      <c r="V193" s="620"/>
      <c r="W193" s="619"/>
      <c r="X193" s="620"/>
      <c r="Y193" s="620"/>
      <c r="Z193" s="620"/>
      <c r="AA193" s="620"/>
      <c r="AB193" s="620"/>
      <c r="AC193" s="600"/>
    </row>
    <row r="194" spans="2:29" hidden="1" x14ac:dyDescent="0.25">
      <c r="B194" s="617" t="s">
        <v>1943</v>
      </c>
      <c r="J194" s="621"/>
      <c r="K194" s="621"/>
      <c r="L194" s="640"/>
      <c r="M194" s="621"/>
      <c r="N194" s="640"/>
      <c r="O194" s="621"/>
      <c r="P194" s="621"/>
      <c r="Q194" s="621">
        <v>50000</v>
      </c>
      <c r="S194" s="621">
        <f>+R194</f>
        <v>0</v>
      </c>
      <c r="T194" s="625">
        <f>+S194</f>
        <v>0</v>
      </c>
      <c r="U194" s="621"/>
      <c r="V194" s="620"/>
      <c r="W194" s="619"/>
      <c r="X194" s="620"/>
      <c r="Y194" s="620"/>
      <c r="Z194" s="620"/>
      <c r="AA194" s="620"/>
      <c r="AB194" s="620"/>
      <c r="AC194" s="600"/>
    </row>
    <row r="195" spans="2:29" hidden="1" x14ac:dyDescent="0.25">
      <c r="B195" s="617" t="s">
        <v>611</v>
      </c>
      <c r="J195" s="621"/>
      <c r="K195" s="621"/>
      <c r="L195" s="640"/>
      <c r="M195" s="621">
        <v>55000</v>
      </c>
      <c r="N195" s="640"/>
      <c r="O195" s="621"/>
      <c r="P195" s="621"/>
      <c r="Q195" s="621"/>
      <c r="T195" s="625"/>
      <c r="U195" s="621"/>
      <c r="V195" s="620"/>
      <c r="W195" s="619"/>
      <c r="X195" s="620"/>
      <c r="Y195" s="620"/>
      <c r="Z195" s="620"/>
      <c r="AA195" s="620"/>
      <c r="AB195" s="620"/>
      <c r="AC195" s="600"/>
    </row>
    <row r="196" spans="2:29" hidden="1" x14ac:dyDescent="0.25">
      <c r="B196" s="617" t="s">
        <v>612</v>
      </c>
      <c r="J196" s="621"/>
      <c r="K196" s="621"/>
      <c r="L196" s="640"/>
      <c r="M196" s="621">
        <v>45000</v>
      </c>
      <c r="N196" s="640"/>
      <c r="O196" s="621"/>
      <c r="P196" s="621"/>
      <c r="Q196" s="621"/>
      <c r="T196" s="625"/>
      <c r="U196" s="621"/>
      <c r="V196" s="620"/>
      <c r="W196" s="619"/>
      <c r="X196" s="620"/>
      <c r="Y196" s="620"/>
      <c r="Z196" s="620"/>
      <c r="AA196" s="620"/>
      <c r="AB196" s="620"/>
      <c r="AC196" s="600"/>
    </row>
    <row r="197" spans="2:29" hidden="1" x14ac:dyDescent="0.25">
      <c r="B197" s="617" t="s">
        <v>613</v>
      </c>
      <c r="J197" s="621"/>
      <c r="K197" s="621"/>
      <c r="L197" s="640"/>
      <c r="M197" s="621">
        <v>90000</v>
      </c>
      <c r="N197" s="640"/>
      <c r="O197" s="621"/>
      <c r="P197" s="621"/>
      <c r="Q197" s="621"/>
      <c r="T197" s="625"/>
      <c r="U197" s="621"/>
      <c r="V197" s="620"/>
      <c r="W197" s="619"/>
      <c r="X197" s="620"/>
      <c r="Y197" s="620"/>
      <c r="Z197" s="620"/>
      <c r="AA197" s="620"/>
      <c r="AB197" s="620"/>
      <c r="AC197" s="600"/>
    </row>
    <row r="198" spans="2:29" hidden="1" x14ac:dyDescent="0.25">
      <c r="B198" s="617" t="s">
        <v>614</v>
      </c>
      <c r="J198" s="621"/>
      <c r="K198" s="621"/>
      <c r="L198" s="640"/>
      <c r="M198" s="621">
        <v>56511</v>
      </c>
      <c r="N198" s="640"/>
      <c r="O198" s="621"/>
      <c r="P198" s="621"/>
      <c r="Q198" s="621"/>
      <c r="T198" s="625"/>
      <c r="U198" s="621"/>
      <c r="V198" s="620"/>
      <c r="W198" s="619"/>
      <c r="X198" s="620"/>
      <c r="Y198" s="620"/>
      <c r="Z198" s="620"/>
      <c r="AA198" s="620"/>
      <c r="AB198" s="620"/>
      <c r="AC198" s="600"/>
    </row>
    <row r="199" spans="2:29" ht="15.6" hidden="1" x14ac:dyDescent="0.3">
      <c r="B199" s="617" t="s">
        <v>615</v>
      </c>
      <c r="I199" s="621"/>
      <c r="J199" s="621"/>
      <c r="K199" s="621"/>
      <c r="L199" s="640">
        <v>10000</v>
      </c>
      <c r="M199" s="627"/>
      <c r="N199" s="640"/>
      <c r="O199" s="621"/>
      <c r="P199" s="621"/>
      <c r="Q199" s="621"/>
      <c r="T199" s="625"/>
      <c r="U199" s="621"/>
      <c r="V199" s="620"/>
      <c r="W199" s="619"/>
      <c r="X199" s="620"/>
      <c r="Y199" s="620"/>
      <c r="Z199" s="620"/>
      <c r="AA199" s="620"/>
      <c r="AB199" s="620"/>
      <c r="AC199" s="600"/>
    </row>
    <row r="200" spans="2:29" hidden="1" x14ac:dyDescent="0.25">
      <c r="B200" s="617" t="s">
        <v>616</v>
      </c>
      <c r="H200" s="621"/>
      <c r="I200" s="621">
        <v>7000</v>
      </c>
      <c r="J200" s="625"/>
      <c r="K200" s="625"/>
      <c r="L200" s="640"/>
      <c r="M200" s="625"/>
      <c r="N200" s="640"/>
      <c r="O200" s="621"/>
      <c r="P200" s="621"/>
      <c r="Q200" s="621"/>
      <c r="T200" s="625"/>
      <c r="U200" s="625"/>
      <c r="V200" s="620"/>
      <c r="W200" s="630"/>
      <c r="X200" s="620"/>
      <c r="Y200" s="620"/>
      <c r="Z200" s="620"/>
      <c r="AA200" s="620"/>
      <c r="AB200" s="620"/>
      <c r="AC200" s="600"/>
    </row>
    <row r="201" spans="2:29" hidden="1" x14ac:dyDescent="0.25">
      <c r="B201" s="617" t="s">
        <v>1947</v>
      </c>
      <c r="H201" s="621"/>
      <c r="I201" s="621"/>
      <c r="J201" s="625"/>
      <c r="K201" s="625"/>
      <c r="L201" s="640"/>
      <c r="M201" s="625"/>
      <c r="N201" s="640"/>
      <c r="O201" s="621"/>
      <c r="P201" s="621"/>
      <c r="Q201" s="621">
        <v>20000</v>
      </c>
      <c r="S201" s="621">
        <f>+R201</f>
        <v>0</v>
      </c>
      <c r="T201" s="625">
        <f>+R201</f>
        <v>0</v>
      </c>
      <c r="U201" s="621"/>
      <c r="V201" s="620">
        <f>+T201</f>
        <v>0</v>
      </c>
      <c r="W201" s="630"/>
      <c r="X201" s="620"/>
      <c r="Y201" s="620"/>
      <c r="Z201" s="620"/>
      <c r="AA201" s="620"/>
      <c r="AB201" s="620"/>
      <c r="AC201" s="600"/>
    </row>
    <row r="202" spans="2:29" hidden="1" x14ac:dyDescent="0.25">
      <c r="B202" s="617" t="s">
        <v>1948</v>
      </c>
      <c r="H202" s="621"/>
      <c r="I202" s="621"/>
      <c r="J202" s="625"/>
      <c r="K202" s="625"/>
      <c r="L202" s="640"/>
      <c r="M202" s="625"/>
      <c r="N202" s="640"/>
      <c r="O202" s="621"/>
      <c r="P202" s="621"/>
      <c r="Q202" s="621">
        <v>20000</v>
      </c>
      <c r="S202" s="621">
        <f>+R202</f>
        <v>0</v>
      </c>
      <c r="T202" s="625">
        <f>+R202</f>
        <v>0</v>
      </c>
      <c r="U202" s="621"/>
      <c r="V202" s="620">
        <f>+T202</f>
        <v>0</v>
      </c>
      <c r="W202" s="630"/>
      <c r="X202" s="620"/>
      <c r="Y202" s="620"/>
      <c r="Z202" s="620"/>
      <c r="AA202" s="620"/>
      <c r="AB202" s="620"/>
      <c r="AC202" s="600"/>
    </row>
    <row r="203" spans="2:29" hidden="1" x14ac:dyDescent="0.25">
      <c r="B203" s="617" t="s">
        <v>617</v>
      </c>
      <c r="H203" s="621"/>
      <c r="I203" s="621"/>
      <c r="J203" s="625"/>
      <c r="K203" s="625"/>
      <c r="L203" s="640"/>
      <c r="M203" s="625"/>
      <c r="N203" s="640"/>
      <c r="O203" s="621">
        <v>45000</v>
      </c>
      <c r="P203" s="621"/>
      <c r="Q203" s="621">
        <v>23000</v>
      </c>
      <c r="S203" s="621">
        <f>+R203</f>
        <v>0</v>
      </c>
      <c r="T203" s="625">
        <f>+S203</f>
        <v>0</v>
      </c>
      <c r="U203" s="625">
        <f>+T203</f>
        <v>0</v>
      </c>
      <c r="V203" s="620"/>
      <c r="W203" s="630"/>
      <c r="X203" s="620"/>
      <c r="Y203" s="620"/>
      <c r="Z203" s="620"/>
      <c r="AA203" s="620"/>
      <c r="AB203" s="620"/>
      <c r="AC203" s="600"/>
    </row>
    <row r="204" spans="2:29" hidden="1" x14ac:dyDescent="0.25">
      <c r="B204" s="617" t="s">
        <v>618</v>
      </c>
      <c r="H204" s="621"/>
      <c r="I204" s="621"/>
      <c r="J204" s="625"/>
      <c r="K204" s="625"/>
      <c r="L204" s="640">
        <v>5000</v>
      </c>
      <c r="M204" s="625"/>
      <c r="N204" s="640"/>
      <c r="O204" s="621"/>
      <c r="P204" s="621"/>
      <c r="Q204" s="621"/>
      <c r="T204" s="625"/>
      <c r="U204" s="625"/>
      <c r="V204" s="620"/>
      <c r="W204" s="630"/>
      <c r="X204" s="620"/>
      <c r="Y204" s="620"/>
      <c r="Z204" s="620"/>
      <c r="AA204" s="620"/>
      <c r="AB204" s="620"/>
      <c r="AC204" s="600"/>
    </row>
    <row r="205" spans="2:29" hidden="1" x14ac:dyDescent="0.25">
      <c r="B205" s="617" t="s">
        <v>619</v>
      </c>
      <c r="I205" s="621">
        <v>30000</v>
      </c>
      <c r="J205" s="625"/>
      <c r="K205" s="625"/>
      <c r="L205" s="640"/>
      <c r="M205" s="625"/>
      <c r="N205" s="640"/>
      <c r="O205" s="621"/>
      <c r="P205" s="621"/>
      <c r="Q205" s="621"/>
      <c r="T205" s="625"/>
      <c r="U205" s="625"/>
      <c r="V205" s="620"/>
      <c r="W205" s="630"/>
      <c r="X205" s="620"/>
      <c r="Y205" s="620"/>
      <c r="Z205" s="620"/>
      <c r="AA205" s="620"/>
      <c r="AB205" s="620"/>
      <c r="AC205" s="600"/>
    </row>
    <row r="206" spans="2:29" ht="15.6" hidden="1" x14ac:dyDescent="0.3">
      <c r="B206" s="617" t="s">
        <v>620</v>
      </c>
      <c r="I206" s="621"/>
      <c r="J206" s="625">
        <v>50000</v>
      </c>
      <c r="K206" s="625"/>
      <c r="L206" s="640"/>
      <c r="M206" s="631"/>
      <c r="N206" s="640"/>
      <c r="O206" s="621"/>
      <c r="P206" s="621"/>
      <c r="Q206" s="621"/>
      <c r="T206" s="625"/>
      <c r="U206" s="621"/>
      <c r="V206" s="620">
        <f t="shared" ref="V206:V213" si="60">+T206</f>
        <v>0</v>
      </c>
      <c r="W206" s="630"/>
      <c r="X206" s="620"/>
      <c r="Y206" s="620"/>
      <c r="Z206" s="620"/>
      <c r="AA206" s="620"/>
      <c r="AB206" s="620"/>
      <c r="AC206" s="600"/>
    </row>
    <row r="207" spans="2:29" ht="15.6" hidden="1" x14ac:dyDescent="0.3">
      <c r="B207" s="617" t="s">
        <v>621</v>
      </c>
      <c r="I207" s="621"/>
      <c r="J207" s="625">
        <v>7500</v>
      </c>
      <c r="K207" s="625"/>
      <c r="L207" s="640"/>
      <c r="M207" s="631"/>
      <c r="N207" s="640"/>
      <c r="O207" s="621"/>
      <c r="P207" s="621"/>
      <c r="Q207" s="621"/>
      <c r="T207" s="625"/>
      <c r="U207" s="621"/>
      <c r="V207" s="620">
        <f t="shared" si="60"/>
        <v>0</v>
      </c>
      <c r="W207" s="630"/>
      <c r="X207" s="620"/>
      <c r="Y207" s="620"/>
      <c r="Z207" s="620"/>
      <c r="AA207" s="620"/>
      <c r="AB207" s="620"/>
      <c r="AC207" s="600"/>
    </row>
    <row r="208" spans="2:29" ht="15.6" hidden="1" x14ac:dyDescent="0.3">
      <c r="B208" s="617" t="s">
        <v>622</v>
      </c>
      <c r="I208" s="621"/>
      <c r="J208" s="625">
        <v>8975</v>
      </c>
      <c r="K208" s="625"/>
      <c r="L208" s="640"/>
      <c r="M208" s="631"/>
      <c r="N208" s="640"/>
      <c r="O208" s="621"/>
      <c r="P208" s="621"/>
      <c r="Q208" s="621"/>
      <c r="T208" s="625"/>
      <c r="U208" s="621"/>
      <c r="V208" s="620">
        <f t="shared" si="60"/>
        <v>0</v>
      </c>
      <c r="W208" s="630"/>
      <c r="X208" s="620"/>
      <c r="Y208" s="620"/>
      <c r="Z208" s="620"/>
      <c r="AA208" s="620"/>
      <c r="AB208" s="620"/>
      <c r="AC208" s="600"/>
    </row>
    <row r="209" spans="2:29" ht="15.6" hidden="1" x14ac:dyDescent="0.3">
      <c r="B209" s="966" t="s">
        <v>623</v>
      </c>
      <c r="I209" s="621"/>
      <c r="J209" s="625"/>
      <c r="K209" s="625"/>
      <c r="L209" s="640"/>
      <c r="M209" s="631"/>
      <c r="N209" s="640"/>
      <c r="O209" s="621">
        <v>25000</v>
      </c>
      <c r="P209" s="621"/>
      <c r="Q209" s="621"/>
      <c r="T209" s="625"/>
      <c r="U209" s="621"/>
      <c r="V209" s="620"/>
      <c r="W209" s="630"/>
      <c r="X209" s="620"/>
      <c r="Y209" s="620"/>
      <c r="Z209" s="620"/>
      <c r="AA209" s="620"/>
      <c r="AB209" s="620"/>
      <c r="AC209" s="600"/>
    </row>
    <row r="210" spans="2:29" ht="15.6" hidden="1" x14ac:dyDescent="0.3">
      <c r="B210" s="998" t="s">
        <v>624</v>
      </c>
      <c r="I210" s="621"/>
      <c r="J210" s="625"/>
      <c r="K210" s="625"/>
      <c r="L210" s="640"/>
      <c r="M210" s="631"/>
      <c r="N210" s="640"/>
      <c r="O210" s="621">
        <v>40000</v>
      </c>
      <c r="P210" s="621"/>
      <c r="Q210" s="621"/>
      <c r="T210" s="625"/>
      <c r="U210" s="621"/>
      <c r="V210" s="620"/>
      <c r="W210" s="630"/>
      <c r="X210" s="620"/>
      <c r="Y210" s="620"/>
      <c r="Z210" s="620"/>
      <c r="AA210" s="620"/>
      <c r="AB210" s="620"/>
      <c r="AC210" s="600"/>
    </row>
    <row r="211" spans="2:29" ht="15.6" hidden="1" x14ac:dyDescent="0.3">
      <c r="B211" s="617" t="s">
        <v>625</v>
      </c>
      <c r="I211" s="621"/>
      <c r="J211" s="625">
        <v>22050</v>
      </c>
      <c r="K211" s="625"/>
      <c r="L211" s="640"/>
      <c r="M211" s="631"/>
      <c r="N211" s="640"/>
      <c r="O211" s="621"/>
      <c r="P211" s="621"/>
      <c r="Q211" s="621"/>
      <c r="T211" s="625"/>
      <c r="U211" s="621"/>
      <c r="V211" s="620">
        <f t="shared" si="60"/>
        <v>0</v>
      </c>
      <c r="W211" s="630"/>
      <c r="X211" s="620"/>
      <c r="Y211" s="620"/>
      <c r="Z211" s="620"/>
      <c r="AA211" s="620"/>
      <c r="AB211" s="620"/>
      <c r="AC211" s="600"/>
    </row>
    <row r="212" spans="2:29" ht="15.6" hidden="1" x14ac:dyDescent="0.3">
      <c r="B212" s="617" t="s">
        <v>626</v>
      </c>
      <c r="I212" s="621"/>
      <c r="J212" s="625">
        <v>20000</v>
      </c>
      <c r="K212" s="625"/>
      <c r="L212" s="640"/>
      <c r="M212" s="631"/>
      <c r="N212" s="640"/>
      <c r="O212" s="621"/>
      <c r="P212" s="621"/>
      <c r="Q212" s="621"/>
      <c r="T212" s="625"/>
      <c r="U212" s="621"/>
      <c r="V212" s="620">
        <f t="shared" si="60"/>
        <v>0</v>
      </c>
      <c r="W212" s="630"/>
      <c r="X212" s="620"/>
      <c r="Y212" s="620"/>
      <c r="Z212" s="620"/>
      <c r="AA212" s="620"/>
      <c r="AB212" s="620"/>
      <c r="AC212" s="600"/>
    </row>
    <row r="213" spans="2:29" ht="15.6" hidden="1" x14ac:dyDescent="0.3">
      <c r="B213" s="617" t="s">
        <v>627</v>
      </c>
      <c r="I213" s="621"/>
      <c r="J213" s="625">
        <v>10000</v>
      </c>
      <c r="K213" s="625"/>
      <c r="L213" s="640"/>
      <c r="M213" s="631"/>
      <c r="N213" s="640"/>
      <c r="O213" s="621"/>
      <c r="P213" s="621"/>
      <c r="Q213" s="621"/>
      <c r="T213" s="625"/>
      <c r="U213" s="621"/>
      <c r="V213" s="620">
        <f t="shared" si="60"/>
        <v>0</v>
      </c>
      <c r="W213" s="630"/>
      <c r="X213" s="620"/>
      <c r="Y213" s="620"/>
      <c r="Z213" s="620"/>
      <c r="AA213" s="620"/>
      <c r="AB213" s="620"/>
      <c r="AC213" s="600"/>
    </row>
    <row r="214" spans="2:29" hidden="1" x14ac:dyDescent="0.25">
      <c r="B214" s="617" t="s">
        <v>628</v>
      </c>
      <c r="I214" s="621">
        <v>12000</v>
      </c>
      <c r="J214" s="625"/>
      <c r="K214" s="625"/>
      <c r="L214" s="640"/>
      <c r="M214" s="625"/>
      <c r="N214" s="640"/>
      <c r="O214" s="621"/>
      <c r="P214" s="621"/>
      <c r="Q214" s="621"/>
      <c r="T214" s="625"/>
      <c r="U214" s="625">
        <f>+T214</f>
        <v>0</v>
      </c>
      <c r="V214" s="620"/>
      <c r="W214" s="630"/>
      <c r="X214" s="620"/>
      <c r="Y214" s="620"/>
      <c r="Z214" s="620"/>
      <c r="AA214" s="620"/>
      <c r="AB214" s="620"/>
      <c r="AC214" s="600"/>
    </row>
    <row r="215" spans="2:29" ht="15.6" hidden="1" x14ac:dyDescent="0.3">
      <c r="B215" s="617" t="s">
        <v>629</v>
      </c>
      <c r="I215" s="621">
        <v>15000</v>
      </c>
      <c r="J215" s="625">
        <v>11000</v>
      </c>
      <c r="K215" s="625"/>
      <c r="L215" s="640"/>
      <c r="M215" s="625"/>
      <c r="N215" s="640"/>
      <c r="O215" s="621"/>
      <c r="P215" s="621"/>
      <c r="Q215" s="621"/>
      <c r="T215" s="625"/>
      <c r="U215" s="625">
        <f>+T215</f>
        <v>0</v>
      </c>
      <c r="W215" s="625"/>
      <c r="Y215" s="627"/>
      <c r="AC215" s="600"/>
    </row>
    <row r="216" spans="2:29" ht="15.6" hidden="1" x14ac:dyDescent="0.3">
      <c r="B216" s="632" t="s">
        <v>630</v>
      </c>
      <c r="I216" s="621"/>
      <c r="J216" s="625">
        <v>15000</v>
      </c>
      <c r="K216" s="625"/>
      <c r="L216" s="640"/>
      <c r="M216" s="625"/>
      <c r="N216" s="640"/>
      <c r="O216" s="621"/>
      <c r="P216" s="621"/>
      <c r="Q216" s="621"/>
      <c r="T216" s="625"/>
      <c r="U216" s="621"/>
      <c r="V216" s="620"/>
      <c r="W216" s="625"/>
      <c r="Y216" s="627"/>
      <c r="AC216" s="600"/>
    </row>
    <row r="217" spans="2:29" ht="15.6" hidden="1" x14ac:dyDescent="0.3">
      <c r="B217" s="617" t="s">
        <v>631</v>
      </c>
      <c r="I217" s="621">
        <v>30000</v>
      </c>
      <c r="J217" s="625"/>
      <c r="K217" s="625"/>
      <c r="L217" s="640"/>
      <c r="M217" s="625"/>
      <c r="N217" s="640"/>
      <c r="O217" s="621"/>
      <c r="P217" s="621"/>
      <c r="Q217" s="621"/>
      <c r="T217" s="625"/>
      <c r="U217" s="621"/>
      <c r="W217" s="625"/>
      <c r="Y217" s="627"/>
      <c r="AC217" s="600"/>
    </row>
    <row r="218" spans="2:29" ht="15.6" hidden="1" x14ac:dyDescent="0.3">
      <c r="B218" s="617" t="s">
        <v>632</v>
      </c>
      <c r="I218" s="621">
        <v>72000</v>
      </c>
      <c r="J218" s="625"/>
      <c r="K218" s="625"/>
      <c r="L218" s="640"/>
      <c r="M218" s="625"/>
      <c r="N218" s="640"/>
      <c r="O218" s="621"/>
      <c r="P218" s="621"/>
      <c r="Q218" s="621"/>
      <c r="T218" s="625"/>
      <c r="U218" s="621"/>
      <c r="W218" s="625"/>
      <c r="Y218" s="627"/>
      <c r="AC218" s="600"/>
    </row>
    <row r="219" spans="2:29" ht="15.6" hidden="1" x14ac:dyDescent="0.3">
      <c r="B219" s="617" t="s">
        <v>633</v>
      </c>
      <c r="I219" s="621">
        <v>30000</v>
      </c>
      <c r="J219" s="625"/>
      <c r="K219" s="625"/>
      <c r="L219" s="640"/>
      <c r="M219" s="625"/>
      <c r="N219" s="640"/>
      <c r="O219" s="621"/>
      <c r="P219" s="621"/>
      <c r="Q219" s="621"/>
      <c r="T219" s="625"/>
      <c r="U219" s="621"/>
      <c r="W219" s="625"/>
      <c r="Y219" s="627"/>
      <c r="AC219" s="600"/>
    </row>
    <row r="220" spans="2:29" ht="15.6" hidden="1" x14ac:dyDescent="0.3">
      <c r="B220" s="617" t="s">
        <v>634</v>
      </c>
      <c r="I220" s="621">
        <v>25000</v>
      </c>
      <c r="J220" s="625"/>
      <c r="K220" s="625"/>
      <c r="L220" s="640"/>
      <c r="M220" s="625"/>
      <c r="N220" s="640"/>
      <c r="O220" s="621"/>
      <c r="P220" s="621"/>
      <c r="Q220" s="621"/>
      <c r="T220" s="625"/>
      <c r="U220" s="621"/>
      <c r="W220" s="625"/>
      <c r="Y220" s="627"/>
      <c r="AC220" s="600"/>
    </row>
    <row r="221" spans="2:29" ht="15.6" hidden="1" x14ac:dyDescent="0.3">
      <c r="B221" s="617" t="s">
        <v>635</v>
      </c>
      <c r="I221" s="621">
        <v>150000</v>
      </c>
      <c r="J221" s="625"/>
      <c r="K221" s="625"/>
      <c r="L221" s="640"/>
      <c r="M221" s="625"/>
      <c r="N221" s="640"/>
      <c r="O221" s="621"/>
      <c r="P221" s="621"/>
      <c r="Q221" s="621"/>
      <c r="T221" s="625"/>
      <c r="U221" s="621"/>
      <c r="W221" s="625"/>
      <c r="Y221" s="627"/>
      <c r="AC221" s="600"/>
    </row>
    <row r="222" spans="2:29" ht="15.6" hidden="1" x14ac:dyDescent="0.3">
      <c r="B222" s="617" t="s">
        <v>636</v>
      </c>
      <c r="I222" s="621">
        <v>521000</v>
      </c>
      <c r="J222" s="625"/>
      <c r="K222" s="625"/>
      <c r="L222" s="640"/>
      <c r="M222" s="625"/>
      <c r="N222" s="640"/>
      <c r="O222" s="621"/>
      <c r="P222" s="621"/>
      <c r="Q222" s="621"/>
      <c r="T222" s="625"/>
      <c r="U222" s="621"/>
      <c r="W222" s="625"/>
      <c r="Y222" s="627"/>
      <c r="Z222" s="621">
        <f>+T222</f>
        <v>0</v>
      </c>
      <c r="AC222" s="600"/>
    </row>
    <row r="223" spans="2:29" hidden="1" x14ac:dyDescent="0.25">
      <c r="B223" s="617" t="s">
        <v>637</v>
      </c>
      <c r="I223" s="621"/>
      <c r="J223" s="625"/>
      <c r="K223" s="625"/>
      <c r="L223" s="640"/>
      <c r="M223" s="625"/>
      <c r="N223" s="640"/>
      <c r="O223" s="621"/>
      <c r="P223" s="621"/>
      <c r="Q223" s="621"/>
      <c r="T223" s="625"/>
      <c r="U223" s="621"/>
      <c r="W223" s="625"/>
      <c r="Z223" s="625">
        <f>+O223</f>
        <v>0</v>
      </c>
      <c r="AC223" s="600"/>
    </row>
    <row r="224" spans="2:29" hidden="1" x14ac:dyDescent="0.25">
      <c r="B224" s="632" t="s">
        <v>638</v>
      </c>
      <c r="I224" s="621"/>
      <c r="J224" s="625"/>
      <c r="K224" s="625"/>
      <c r="L224" s="640"/>
      <c r="M224" s="625"/>
      <c r="N224" s="640"/>
      <c r="O224" s="621"/>
      <c r="P224" s="621"/>
      <c r="Q224" s="621"/>
      <c r="T224" s="625"/>
      <c r="U224" s="621">
        <f>+T224</f>
        <v>0</v>
      </c>
      <c r="W224" s="625"/>
      <c r="Z224" s="625"/>
      <c r="AC224" s="600"/>
    </row>
    <row r="225" spans="2:29" hidden="1" x14ac:dyDescent="0.25">
      <c r="B225" s="617" t="s">
        <v>639</v>
      </c>
      <c r="I225" s="621"/>
      <c r="J225" s="625"/>
      <c r="K225" s="625"/>
      <c r="L225" s="640"/>
      <c r="M225" s="625"/>
      <c r="N225" s="640"/>
      <c r="O225" s="621"/>
      <c r="P225" s="621"/>
      <c r="Q225" s="621"/>
      <c r="T225" s="625">
        <f>+O225</f>
        <v>0</v>
      </c>
      <c r="U225" s="621"/>
      <c r="W225" s="625"/>
      <c r="Z225" s="625"/>
      <c r="AA225" s="621">
        <f>+O225</f>
        <v>0</v>
      </c>
      <c r="AC225" s="600"/>
    </row>
    <row r="226" spans="2:29" hidden="1" x14ac:dyDescent="0.25">
      <c r="B226" s="617" t="s">
        <v>640</v>
      </c>
      <c r="I226" s="621"/>
      <c r="J226" s="625"/>
      <c r="K226" s="625"/>
      <c r="L226" s="640"/>
      <c r="M226" s="625"/>
      <c r="N226" s="640"/>
      <c r="O226" s="621"/>
      <c r="P226" s="621"/>
      <c r="Q226" s="621"/>
      <c r="T226" s="625"/>
      <c r="U226" s="621"/>
      <c r="W226" s="625"/>
      <c r="Z226" s="625"/>
      <c r="AA226" s="621">
        <f>+O226</f>
        <v>0</v>
      </c>
      <c r="AC226" s="600"/>
    </row>
    <row r="227" spans="2:29" hidden="1" x14ac:dyDescent="0.25">
      <c r="B227" s="617" t="s">
        <v>641</v>
      </c>
      <c r="I227" s="621"/>
      <c r="J227" s="625"/>
      <c r="K227" s="625"/>
      <c r="L227" s="640"/>
      <c r="M227" s="625"/>
      <c r="N227" s="640"/>
      <c r="O227" s="621"/>
      <c r="P227" s="621"/>
      <c r="Q227" s="621"/>
      <c r="T227" s="625"/>
      <c r="U227" s="621">
        <f>+O227</f>
        <v>0</v>
      </c>
      <c r="W227" s="625"/>
      <c r="Z227" s="621">
        <f>+O227</f>
        <v>0</v>
      </c>
      <c r="AC227" s="600"/>
    </row>
    <row r="228" spans="2:29" hidden="1" x14ac:dyDescent="0.25">
      <c r="B228" s="617" t="s">
        <v>642</v>
      </c>
      <c r="I228" s="621"/>
      <c r="J228" s="625"/>
      <c r="K228" s="625"/>
      <c r="L228" s="640"/>
      <c r="M228" s="625">
        <v>250000</v>
      </c>
      <c r="N228" s="640"/>
      <c r="O228" s="621"/>
      <c r="P228" s="621"/>
      <c r="Q228" s="621"/>
      <c r="T228" s="625"/>
      <c r="U228" s="621"/>
      <c r="W228" s="625"/>
      <c r="AC228" s="600"/>
    </row>
    <row r="229" spans="2:29" hidden="1" x14ac:dyDescent="0.25">
      <c r="B229" s="617" t="s">
        <v>643</v>
      </c>
      <c r="I229" s="621">
        <v>20000</v>
      </c>
      <c r="J229" s="625">
        <v>20000</v>
      </c>
      <c r="K229" s="625"/>
      <c r="L229" s="640"/>
      <c r="M229" s="625"/>
      <c r="N229" s="640"/>
      <c r="O229" s="621"/>
      <c r="P229" s="621"/>
      <c r="Q229" s="621"/>
      <c r="T229" s="625"/>
      <c r="U229" s="625"/>
      <c r="W229" s="625"/>
      <c r="AC229" s="600"/>
    </row>
    <row r="230" spans="2:29" hidden="1" x14ac:dyDescent="0.25">
      <c r="B230" s="617" t="s">
        <v>644</v>
      </c>
      <c r="I230" s="621">
        <v>25000</v>
      </c>
      <c r="J230" s="625"/>
      <c r="K230" s="625"/>
      <c r="L230" s="640"/>
      <c r="M230" s="625"/>
      <c r="N230" s="640"/>
      <c r="O230" s="621"/>
      <c r="P230" s="621"/>
      <c r="Q230" s="621"/>
      <c r="T230" s="625"/>
      <c r="U230" s="621"/>
      <c r="W230" s="625"/>
      <c r="AC230" s="600"/>
    </row>
    <row r="231" spans="2:29" hidden="1" x14ac:dyDescent="0.25">
      <c r="B231" s="617" t="s">
        <v>645</v>
      </c>
      <c r="I231" s="621"/>
      <c r="J231" s="625">
        <v>55000</v>
      </c>
      <c r="K231" s="625"/>
      <c r="L231" s="640"/>
      <c r="M231" s="625"/>
      <c r="N231" s="640"/>
      <c r="O231" s="621"/>
      <c r="P231" s="621"/>
      <c r="Q231" s="621"/>
      <c r="T231" s="625"/>
      <c r="U231" s="621"/>
      <c r="W231" s="625"/>
      <c r="AC231" s="600"/>
    </row>
    <row r="232" spans="2:29" hidden="1" x14ac:dyDescent="0.25">
      <c r="B232" s="617" t="s">
        <v>646</v>
      </c>
      <c r="I232" s="621"/>
      <c r="J232" s="625">
        <v>25500</v>
      </c>
      <c r="K232" s="625"/>
      <c r="L232" s="640"/>
      <c r="M232" s="625"/>
      <c r="N232" s="640"/>
      <c r="O232" s="621"/>
      <c r="P232" s="621"/>
      <c r="Q232" s="621"/>
      <c r="T232" s="625"/>
      <c r="U232" s="621"/>
      <c r="W232" s="625"/>
      <c r="AC232" s="600"/>
    </row>
    <row r="233" spans="2:29" hidden="1" x14ac:dyDescent="0.25">
      <c r="B233" s="617" t="s">
        <v>647</v>
      </c>
      <c r="I233" s="621"/>
      <c r="J233" s="625">
        <v>50000</v>
      </c>
      <c r="K233" s="625"/>
      <c r="L233" s="640"/>
      <c r="M233" s="625"/>
      <c r="N233" s="640"/>
      <c r="O233" s="621"/>
      <c r="P233" s="621"/>
      <c r="Q233" s="621"/>
      <c r="T233" s="625"/>
      <c r="U233" s="621"/>
      <c r="W233" s="625"/>
      <c r="AC233" s="600"/>
    </row>
    <row r="234" spans="2:29" hidden="1" x14ac:dyDescent="0.25">
      <c r="B234" s="617" t="s">
        <v>648</v>
      </c>
      <c r="I234" s="621"/>
      <c r="J234" s="621"/>
      <c r="K234" s="621"/>
      <c r="L234" s="640"/>
      <c r="M234" s="625"/>
      <c r="N234" s="640"/>
      <c r="O234" s="621"/>
      <c r="P234" s="621"/>
      <c r="Q234" s="621"/>
      <c r="T234" s="625"/>
      <c r="U234" s="621"/>
      <c r="V234" s="621">
        <f>+O234</f>
        <v>0</v>
      </c>
      <c r="W234" s="625"/>
      <c r="AC234" s="600"/>
    </row>
    <row r="235" spans="2:29" hidden="1" x14ac:dyDescent="0.25">
      <c r="B235" s="617" t="s">
        <v>649</v>
      </c>
      <c r="I235" s="621"/>
      <c r="J235" s="621"/>
      <c r="K235" s="621"/>
      <c r="L235" s="640"/>
      <c r="M235" s="625"/>
      <c r="N235" s="640"/>
      <c r="O235" s="621"/>
      <c r="P235" s="621"/>
      <c r="Q235" s="621"/>
      <c r="T235" s="625"/>
      <c r="U235" s="621"/>
      <c r="V235" s="621">
        <f>+T235</f>
        <v>0</v>
      </c>
      <c r="W235" s="625"/>
      <c r="AC235" s="600"/>
    </row>
    <row r="236" spans="2:29" hidden="1" x14ac:dyDescent="0.25">
      <c r="B236" s="632" t="s">
        <v>650</v>
      </c>
      <c r="I236" s="621"/>
      <c r="J236" s="621"/>
      <c r="K236" s="621"/>
      <c r="L236" s="640"/>
      <c r="M236" s="625"/>
      <c r="N236" s="640"/>
      <c r="O236" s="621"/>
      <c r="P236" s="621"/>
      <c r="Q236" s="621"/>
      <c r="T236" s="625"/>
      <c r="U236" s="621"/>
      <c r="W236" s="625"/>
      <c r="X236" s="621">
        <f>+T236</f>
        <v>0</v>
      </c>
      <c r="AC236" s="600"/>
    </row>
    <row r="237" spans="2:29" hidden="1" x14ac:dyDescent="0.25">
      <c r="B237" s="632" t="s">
        <v>651</v>
      </c>
      <c r="I237" s="621"/>
      <c r="J237" s="621"/>
      <c r="K237" s="621"/>
      <c r="L237" s="640"/>
      <c r="M237" s="625"/>
      <c r="N237" s="640"/>
      <c r="O237" s="621"/>
      <c r="P237" s="621"/>
      <c r="Q237" s="621"/>
      <c r="T237" s="625">
        <f>+R237</f>
        <v>0</v>
      </c>
      <c r="U237" s="621">
        <f>+T237</f>
        <v>0</v>
      </c>
      <c r="W237" s="625"/>
      <c r="AC237" s="600"/>
    </row>
    <row r="238" spans="2:29" hidden="1" x14ac:dyDescent="0.25">
      <c r="B238" s="617" t="s">
        <v>652</v>
      </c>
      <c r="I238" s="621"/>
      <c r="J238" s="621"/>
      <c r="K238" s="621"/>
      <c r="L238" s="640">
        <v>700</v>
      </c>
      <c r="M238" s="625">
        <v>700</v>
      </c>
      <c r="N238" s="640"/>
      <c r="O238" s="621"/>
      <c r="P238" s="621"/>
      <c r="Q238" s="621"/>
      <c r="T238" s="625"/>
      <c r="U238" s="621"/>
      <c r="V238" s="621">
        <f>+T238</f>
        <v>0</v>
      </c>
      <c r="W238" s="625"/>
      <c r="AC238" s="600"/>
    </row>
    <row r="239" spans="2:29" hidden="1" x14ac:dyDescent="0.25">
      <c r="B239" s="617" t="s">
        <v>1939</v>
      </c>
      <c r="I239" s="621"/>
      <c r="J239" s="621"/>
      <c r="K239" s="621"/>
      <c r="L239" s="640"/>
      <c r="M239" s="625"/>
      <c r="N239" s="640"/>
      <c r="O239" s="621"/>
      <c r="P239" s="621"/>
      <c r="Q239" s="621">
        <v>25000</v>
      </c>
      <c r="S239" s="621">
        <f>+R239</f>
        <v>0</v>
      </c>
      <c r="T239" s="625">
        <f>+R239</f>
        <v>0</v>
      </c>
      <c r="U239" s="621"/>
      <c r="W239" s="625"/>
      <c r="AA239" s="621">
        <f>+R239</f>
        <v>0</v>
      </c>
      <c r="AC239" s="600"/>
    </row>
    <row r="240" spans="2:29" hidden="1" x14ac:dyDescent="0.25">
      <c r="B240" s="617" t="s">
        <v>1940</v>
      </c>
      <c r="I240" s="621"/>
      <c r="J240" s="621"/>
      <c r="K240" s="621"/>
      <c r="L240" s="640"/>
      <c r="M240" s="625"/>
      <c r="N240" s="640"/>
      <c r="O240" s="621"/>
      <c r="P240" s="621"/>
      <c r="Q240" s="621">
        <v>264000</v>
      </c>
      <c r="S240" s="621">
        <f>+R240</f>
        <v>0</v>
      </c>
      <c r="T240" s="625">
        <f>+R240</f>
        <v>0</v>
      </c>
      <c r="U240" s="621"/>
      <c r="W240" s="625"/>
      <c r="AA240" s="621">
        <f>+R240</f>
        <v>0</v>
      </c>
      <c r="AC240" s="600"/>
    </row>
    <row r="241" spans="1:29" hidden="1" x14ac:dyDescent="0.25">
      <c r="B241" s="617" t="s">
        <v>653</v>
      </c>
      <c r="I241" s="621"/>
      <c r="J241" s="621"/>
      <c r="K241" s="621"/>
      <c r="L241" s="640">
        <v>10000</v>
      </c>
      <c r="M241" s="625">
        <v>10000</v>
      </c>
      <c r="N241" s="640"/>
      <c r="O241" s="621"/>
      <c r="P241" s="621"/>
      <c r="Q241" s="621"/>
      <c r="T241" s="625"/>
      <c r="U241" s="621"/>
      <c r="W241" s="625"/>
      <c r="AC241" s="600"/>
    </row>
    <row r="242" spans="1:29" hidden="1" x14ac:dyDescent="0.25">
      <c r="B242" s="617" t="s">
        <v>654</v>
      </c>
      <c r="I242" s="621"/>
      <c r="J242" s="621"/>
      <c r="K242" s="621"/>
      <c r="L242" s="640">
        <v>60000</v>
      </c>
      <c r="M242" s="625"/>
      <c r="N242" s="640"/>
      <c r="O242" s="621"/>
      <c r="P242" s="621"/>
      <c r="Q242" s="621"/>
      <c r="T242" s="625"/>
      <c r="U242" s="621"/>
      <c r="V242" s="621">
        <f>+O242</f>
        <v>0</v>
      </c>
      <c r="W242" s="625"/>
      <c r="AC242" s="600"/>
    </row>
    <row r="243" spans="1:29" hidden="1" x14ac:dyDescent="0.25">
      <c r="B243" s="617" t="s">
        <v>655</v>
      </c>
      <c r="I243" s="621"/>
      <c r="J243" s="621"/>
      <c r="K243" s="621"/>
      <c r="L243" s="640"/>
      <c r="M243" s="625"/>
      <c r="N243" s="640"/>
      <c r="O243" s="621"/>
      <c r="P243" s="621"/>
      <c r="Q243" s="621"/>
      <c r="T243" s="625"/>
      <c r="U243" s="621"/>
      <c r="V243" s="621">
        <f>+O243</f>
        <v>0</v>
      </c>
      <c r="W243" s="625"/>
      <c r="AC243" s="600"/>
    </row>
    <row r="244" spans="1:29" hidden="1" x14ac:dyDescent="0.25">
      <c r="B244" s="617" t="s">
        <v>656</v>
      </c>
      <c r="I244" s="621"/>
      <c r="J244" s="621"/>
      <c r="K244" s="621"/>
      <c r="L244" s="640">
        <v>37260</v>
      </c>
      <c r="M244" s="625"/>
      <c r="N244" s="640"/>
      <c r="O244" s="621"/>
      <c r="P244" s="621"/>
      <c r="Q244" s="621"/>
      <c r="T244" s="625"/>
      <c r="U244" s="621"/>
      <c r="V244" s="621">
        <f>+O244</f>
        <v>0</v>
      </c>
      <c r="W244" s="625"/>
      <c r="AC244" s="600"/>
    </row>
    <row r="245" spans="1:29" hidden="1" x14ac:dyDescent="0.25">
      <c r="B245" s="617" t="s">
        <v>657</v>
      </c>
      <c r="I245" s="621"/>
      <c r="J245" s="621"/>
      <c r="K245" s="621"/>
      <c r="L245" s="640"/>
      <c r="M245" s="625"/>
      <c r="N245" s="640"/>
      <c r="O245" s="621"/>
      <c r="P245" s="621"/>
      <c r="Q245" s="621"/>
      <c r="T245" s="625">
        <f>+O245</f>
        <v>0</v>
      </c>
      <c r="U245" s="621">
        <f>+T245</f>
        <v>0</v>
      </c>
      <c r="W245" s="625"/>
      <c r="AC245" s="600"/>
    </row>
    <row r="246" spans="1:29" hidden="1" x14ac:dyDescent="0.25">
      <c r="B246" s="617" t="s">
        <v>658</v>
      </c>
      <c r="I246" s="621"/>
      <c r="J246" s="621"/>
      <c r="K246" s="621"/>
      <c r="L246" s="640"/>
      <c r="M246" s="625"/>
      <c r="N246" s="640"/>
      <c r="O246" s="621">
        <v>130000</v>
      </c>
      <c r="P246" s="621"/>
      <c r="Q246" s="621"/>
      <c r="T246" s="625"/>
      <c r="U246" s="621"/>
      <c r="W246" s="625"/>
      <c r="AC246" s="600"/>
    </row>
    <row r="247" spans="1:29" hidden="1" x14ac:dyDescent="0.25">
      <c r="B247" s="617" t="s">
        <v>659</v>
      </c>
      <c r="I247" s="621"/>
      <c r="J247" s="621"/>
      <c r="K247" s="621"/>
      <c r="L247" s="640"/>
      <c r="M247" s="625"/>
      <c r="N247" s="640"/>
      <c r="O247" s="621">
        <v>100000</v>
      </c>
      <c r="P247" s="621"/>
      <c r="Q247" s="621"/>
      <c r="T247" s="625"/>
      <c r="U247" s="621"/>
      <c r="W247" s="625"/>
      <c r="AC247" s="600"/>
    </row>
    <row r="248" spans="1:29" hidden="1" x14ac:dyDescent="0.25">
      <c r="B248" s="632" t="s">
        <v>660</v>
      </c>
      <c r="I248" s="621"/>
      <c r="J248" s="621"/>
      <c r="K248" s="621"/>
      <c r="L248" s="640"/>
      <c r="M248" s="625"/>
      <c r="N248" s="640"/>
      <c r="O248" s="621"/>
      <c r="P248" s="621"/>
      <c r="Q248" s="621"/>
      <c r="T248" s="625">
        <f>+R248</f>
        <v>0</v>
      </c>
      <c r="U248" s="621"/>
      <c r="V248" s="621">
        <f>+T248</f>
        <v>0</v>
      </c>
      <c r="W248" s="625"/>
      <c r="AC248" s="600"/>
    </row>
    <row r="249" spans="1:29" hidden="1" x14ac:dyDescent="0.25">
      <c r="B249" s="617" t="s">
        <v>661</v>
      </c>
      <c r="I249" s="621"/>
      <c r="J249" s="621"/>
      <c r="K249" s="621"/>
      <c r="L249" s="640">
        <v>100000</v>
      </c>
      <c r="M249" s="625"/>
      <c r="N249" s="640"/>
      <c r="O249" s="621"/>
      <c r="P249" s="621"/>
      <c r="Q249" s="621"/>
      <c r="T249" s="625"/>
      <c r="U249" s="621"/>
      <c r="W249" s="625"/>
      <c r="AA249" s="621">
        <f>+O249</f>
        <v>0</v>
      </c>
      <c r="AC249" s="600"/>
    </row>
    <row r="250" spans="1:29" hidden="1" x14ac:dyDescent="0.25">
      <c r="B250" s="617" t="s">
        <v>662</v>
      </c>
      <c r="I250" s="621"/>
      <c r="J250" s="621"/>
      <c r="K250" s="621"/>
      <c r="L250" s="625">
        <v>40000</v>
      </c>
      <c r="M250" s="625"/>
      <c r="N250" s="625"/>
      <c r="O250" s="621"/>
      <c r="P250" s="621"/>
      <c r="Q250" s="621"/>
      <c r="T250" s="625"/>
      <c r="U250" s="621"/>
      <c r="W250" s="625"/>
      <c r="AC250" s="600"/>
    </row>
    <row r="251" spans="1:29" hidden="1" x14ac:dyDescent="0.25">
      <c r="B251" s="617" t="s">
        <v>663</v>
      </c>
      <c r="I251" s="621"/>
      <c r="J251" s="621"/>
      <c r="K251" s="621"/>
      <c r="L251" s="625">
        <v>51000</v>
      </c>
      <c r="M251" s="625"/>
      <c r="N251" s="625"/>
      <c r="O251" s="621"/>
      <c r="P251" s="621"/>
      <c r="Q251" s="621"/>
      <c r="T251" s="625"/>
      <c r="U251" s="621"/>
      <c r="W251" s="625"/>
      <c r="AC251" s="600"/>
    </row>
    <row r="252" spans="1:29" hidden="1" x14ac:dyDescent="0.25">
      <c r="A252" s="765"/>
      <c r="B252" s="617" t="s">
        <v>1993</v>
      </c>
      <c r="I252" s="621"/>
      <c r="J252" s="621"/>
      <c r="K252" s="621"/>
      <c r="L252" s="640"/>
      <c r="M252" s="625"/>
      <c r="N252" s="640"/>
      <c r="O252" s="621"/>
      <c r="P252" s="621"/>
      <c r="Q252" s="621">
        <v>14000</v>
      </c>
      <c r="S252" s="621">
        <f t="shared" ref="S252:T256" si="61">+R252</f>
        <v>0</v>
      </c>
      <c r="T252" s="625">
        <f t="shared" si="61"/>
        <v>0</v>
      </c>
      <c r="U252" s="621"/>
      <c r="W252" s="625"/>
      <c r="AC252" s="600"/>
    </row>
    <row r="253" spans="1:29" hidden="1" x14ac:dyDescent="0.25">
      <c r="A253" s="765"/>
      <c r="B253" s="632"/>
      <c r="I253" s="621"/>
      <c r="J253" s="621"/>
      <c r="K253" s="621"/>
      <c r="L253" s="640"/>
      <c r="M253" s="625"/>
      <c r="N253" s="640"/>
      <c r="O253" s="621"/>
      <c r="P253" s="621"/>
      <c r="Q253" s="621"/>
      <c r="T253" s="625"/>
      <c r="U253" s="621"/>
      <c r="W253" s="625"/>
      <c r="AC253" s="600"/>
    </row>
    <row r="254" spans="1:29" hidden="1" x14ac:dyDescent="0.25">
      <c r="A254" s="765"/>
      <c r="B254" s="632"/>
      <c r="I254" s="621"/>
      <c r="J254" s="621"/>
      <c r="K254" s="621"/>
      <c r="L254" s="640"/>
      <c r="M254" s="625"/>
      <c r="N254" s="640"/>
      <c r="O254" s="621"/>
      <c r="P254" s="621"/>
      <c r="Q254" s="621"/>
      <c r="T254" s="625"/>
      <c r="U254" s="621"/>
      <c r="W254" s="625"/>
      <c r="AC254" s="600"/>
    </row>
    <row r="255" spans="1:29" hidden="1" x14ac:dyDescent="0.25">
      <c r="A255" s="765"/>
      <c r="B255" s="617" t="s">
        <v>1944</v>
      </c>
      <c r="I255" s="621"/>
      <c r="J255" s="621"/>
      <c r="K255" s="621"/>
      <c r="L255" s="640"/>
      <c r="M255" s="625"/>
      <c r="N255" s="640"/>
      <c r="O255" s="621"/>
      <c r="P255" s="621"/>
      <c r="Q255" s="621">
        <v>12000</v>
      </c>
      <c r="S255" s="621">
        <f t="shared" si="61"/>
        <v>0</v>
      </c>
      <c r="T255" s="625">
        <f t="shared" si="61"/>
        <v>0</v>
      </c>
      <c r="U255" s="621"/>
      <c r="V255" s="620">
        <f>+R255</f>
        <v>0</v>
      </c>
      <c r="W255" s="625"/>
      <c r="AC255" s="600"/>
    </row>
    <row r="256" spans="1:29" hidden="1" x14ac:dyDescent="0.25">
      <c r="A256" s="765"/>
      <c r="B256" s="617" t="s">
        <v>1945</v>
      </c>
      <c r="I256" s="621"/>
      <c r="J256" s="621"/>
      <c r="K256" s="621"/>
      <c r="L256" s="640"/>
      <c r="M256" s="625"/>
      <c r="N256" s="640"/>
      <c r="O256" s="621"/>
      <c r="P256" s="621"/>
      <c r="Q256" s="621">
        <v>12500</v>
      </c>
      <c r="S256" s="621">
        <f t="shared" si="61"/>
        <v>0</v>
      </c>
      <c r="T256" s="625">
        <f t="shared" si="61"/>
        <v>0</v>
      </c>
      <c r="U256" s="621"/>
      <c r="V256" s="620">
        <f>+R256</f>
        <v>0</v>
      </c>
      <c r="W256" s="625"/>
      <c r="AC256" s="600"/>
    </row>
    <row r="257" spans="1:29" hidden="1" x14ac:dyDescent="0.25">
      <c r="A257" s="765"/>
      <c r="B257" s="632" t="s">
        <v>664</v>
      </c>
      <c r="I257" s="621"/>
      <c r="J257" s="621"/>
      <c r="K257" s="621"/>
      <c r="L257" s="640"/>
      <c r="M257" s="625"/>
      <c r="N257" s="640"/>
      <c r="O257" s="621"/>
      <c r="P257" s="621"/>
      <c r="Q257" s="621"/>
      <c r="T257" s="625"/>
      <c r="U257" s="621"/>
      <c r="W257" s="625"/>
      <c r="AA257" s="621">
        <f>+T257</f>
        <v>0</v>
      </c>
      <c r="AC257" s="600"/>
    </row>
    <row r="258" spans="1:29" hidden="1" x14ac:dyDescent="0.25">
      <c r="A258" s="765"/>
      <c r="B258" s="617" t="s">
        <v>1969</v>
      </c>
      <c r="I258" s="621"/>
      <c r="J258" s="621"/>
      <c r="K258" s="621"/>
      <c r="L258" s="640"/>
      <c r="M258" s="625"/>
      <c r="N258" s="640"/>
      <c r="O258" s="621">
        <v>130000</v>
      </c>
      <c r="P258" s="621"/>
      <c r="Q258" s="621"/>
      <c r="T258" s="625"/>
      <c r="U258" s="621"/>
      <c r="W258" s="625"/>
      <c r="AC258" s="600"/>
    </row>
    <row r="259" spans="1:29" hidden="1" x14ac:dyDescent="0.25">
      <c r="A259" s="765"/>
      <c r="B259" s="617" t="s">
        <v>1995</v>
      </c>
      <c r="I259" s="621"/>
      <c r="J259" s="621"/>
      <c r="K259" s="621"/>
      <c r="L259" s="640"/>
      <c r="M259" s="625"/>
      <c r="N259" s="640"/>
      <c r="O259" s="621"/>
      <c r="P259" s="621"/>
      <c r="Q259" s="621">
        <v>113500</v>
      </c>
      <c r="S259" s="621">
        <f>+R259</f>
        <v>0</v>
      </c>
      <c r="T259" s="625">
        <f>+S259</f>
        <v>0</v>
      </c>
      <c r="U259" s="621"/>
      <c r="W259" s="625"/>
      <c r="AA259" s="621">
        <f>+T259</f>
        <v>0</v>
      </c>
      <c r="AC259" s="600"/>
    </row>
    <row r="260" spans="1:29" x14ac:dyDescent="0.25">
      <c r="A260" s="765"/>
      <c r="B260" s="617" t="s">
        <v>2510</v>
      </c>
      <c r="I260" s="621"/>
      <c r="J260" s="621"/>
      <c r="K260" s="621"/>
      <c r="L260" s="640"/>
      <c r="M260" s="625"/>
      <c r="N260" s="640"/>
      <c r="O260" s="621"/>
      <c r="P260" s="621"/>
      <c r="Q260" s="621"/>
      <c r="R260" s="621">
        <v>283800</v>
      </c>
      <c r="S260" s="621">
        <f>+R260</f>
        <v>283800</v>
      </c>
      <c r="T260" s="625">
        <f>+S260</f>
        <v>283800</v>
      </c>
      <c r="U260" s="621"/>
      <c r="W260" s="625"/>
      <c r="AA260" s="621">
        <f>+R260</f>
        <v>283800</v>
      </c>
      <c r="AC260" s="600"/>
    </row>
    <row r="261" spans="1:29" x14ac:dyDescent="0.25">
      <c r="A261" s="765"/>
      <c r="B261" s="617" t="s">
        <v>665</v>
      </c>
      <c r="I261" s="621"/>
      <c r="J261" s="621"/>
      <c r="K261" s="621"/>
      <c r="L261" s="640"/>
      <c r="M261" s="625">
        <v>238800</v>
      </c>
      <c r="N261" s="640"/>
      <c r="O261" s="621">
        <f>86900+86900</f>
        <v>173800</v>
      </c>
      <c r="P261" s="621"/>
      <c r="Q261" s="621"/>
      <c r="T261" s="625"/>
      <c r="U261" s="621"/>
      <c r="W261" s="625"/>
      <c r="AC261" s="600"/>
    </row>
    <row r="262" spans="1:29" ht="15.6" x14ac:dyDescent="0.3">
      <c r="B262" s="617" t="s">
        <v>666</v>
      </c>
      <c r="I262" s="621">
        <v>97375</v>
      </c>
      <c r="J262" s="621"/>
      <c r="K262" s="621"/>
      <c r="L262" s="640">
        <f>+'Colle 228 183'!K30</f>
        <v>79750</v>
      </c>
      <c r="M262" s="625">
        <v>78950</v>
      </c>
      <c r="N262" s="640"/>
      <c r="O262" s="621">
        <v>49950</v>
      </c>
      <c r="P262" s="621"/>
      <c r="Q262" s="621">
        <v>53250</v>
      </c>
      <c r="R262" s="621">
        <f>+'Colle 228 183'!S30</f>
        <v>52250</v>
      </c>
      <c r="S262" s="621">
        <f>+R262</f>
        <v>52250</v>
      </c>
      <c r="T262" s="625">
        <f>+S262</f>
        <v>52250</v>
      </c>
      <c r="U262" s="625"/>
      <c r="W262" s="625">
        <f>+T262</f>
        <v>52250</v>
      </c>
      <c r="AB262" s="627"/>
      <c r="AC262" s="600"/>
    </row>
    <row r="263" spans="1:29" hidden="1" x14ac:dyDescent="0.25">
      <c r="B263" s="617" t="s">
        <v>667</v>
      </c>
      <c r="I263" s="621"/>
      <c r="J263" s="621"/>
      <c r="K263" s="621"/>
      <c r="L263" s="640"/>
      <c r="M263" s="625"/>
      <c r="N263" s="640"/>
      <c r="O263" s="621"/>
      <c r="P263" s="621"/>
      <c r="Q263" s="621"/>
      <c r="T263" s="625"/>
      <c r="U263" s="625"/>
      <c r="W263" s="625"/>
      <c r="AB263" s="621">
        <f>+O263</f>
        <v>0</v>
      </c>
      <c r="AC263" s="600"/>
    </row>
    <row r="264" spans="1:29" hidden="1" x14ac:dyDescent="0.25">
      <c r="B264" s="617" t="s">
        <v>668</v>
      </c>
      <c r="I264" s="621"/>
      <c r="J264" s="621"/>
      <c r="K264" s="621"/>
      <c r="L264" s="640"/>
      <c r="M264" s="625"/>
      <c r="N264" s="640"/>
      <c r="O264" s="621"/>
      <c r="P264" s="621"/>
      <c r="Q264" s="621"/>
      <c r="T264" s="625"/>
      <c r="U264" s="625"/>
      <c r="W264" s="625"/>
      <c r="AC264" s="600"/>
    </row>
    <row r="265" spans="1:29" hidden="1" x14ac:dyDescent="0.25">
      <c r="B265" s="617" t="s">
        <v>669</v>
      </c>
      <c r="I265" s="621"/>
      <c r="J265" s="621"/>
      <c r="K265" s="621"/>
      <c r="L265" s="640"/>
      <c r="M265" s="625"/>
      <c r="N265" s="640"/>
      <c r="O265" s="621"/>
      <c r="P265" s="621"/>
      <c r="Q265" s="621"/>
      <c r="T265" s="625"/>
      <c r="U265" s="625"/>
      <c r="W265" s="625"/>
      <c r="AC265" s="600"/>
    </row>
    <row r="266" spans="1:29" hidden="1" x14ac:dyDescent="0.25">
      <c r="B266" s="617" t="s">
        <v>670</v>
      </c>
      <c r="I266" s="621"/>
      <c r="J266" s="621"/>
      <c r="K266" s="621"/>
      <c r="L266" s="640"/>
      <c r="M266" s="625"/>
      <c r="N266" s="640"/>
      <c r="O266" s="621"/>
      <c r="P266" s="621"/>
      <c r="Q266" s="621"/>
      <c r="T266" s="625"/>
      <c r="U266" s="625"/>
      <c r="W266" s="625"/>
      <c r="AC266" s="600"/>
    </row>
    <row r="267" spans="1:29" ht="15.6" hidden="1" x14ac:dyDescent="0.3">
      <c r="A267" s="766"/>
      <c r="B267" s="617" t="s">
        <v>671</v>
      </c>
      <c r="I267" s="621"/>
      <c r="J267" s="621"/>
      <c r="K267" s="621"/>
      <c r="L267" s="640"/>
      <c r="M267" s="625"/>
      <c r="N267" s="640"/>
      <c r="O267" s="621"/>
      <c r="P267" s="621"/>
      <c r="Q267" s="621"/>
      <c r="T267" s="625"/>
      <c r="U267" s="625"/>
      <c r="W267" s="625"/>
      <c r="AB267" s="627"/>
      <c r="AC267" s="600"/>
    </row>
    <row r="268" spans="1:29" hidden="1" x14ac:dyDescent="0.25">
      <c r="B268" s="617" t="s">
        <v>672</v>
      </c>
      <c r="I268" s="621"/>
      <c r="J268" s="621"/>
      <c r="K268" s="621"/>
      <c r="M268" s="622"/>
      <c r="O268" s="621"/>
      <c r="P268" s="621"/>
      <c r="Q268" s="621"/>
      <c r="U268" s="622">
        <f>+O268</f>
        <v>0</v>
      </c>
      <c r="W268" s="622"/>
      <c r="AC268" s="600"/>
    </row>
    <row r="269" spans="1:29" x14ac:dyDescent="0.25">
      <c r="B269" s="617" t="s">
        <v>2012</v>
      </c>
      <c r="I269" s="621"/>
      <c r="J269" s="621"/>
      <c r="K269" s="621"/>
      <c r="M269" s="622"/>
      <c r="O269" s="621"/>
      <c r="P269" s="621"/>
      <c r="Q269" s="621">
        <v>250000</v>
      </c>
      <c r="S269" s="621">
        <f>+R269</f>
        <v>0</v>
      </c>
      <c r="T269" s="622">
        <f>+S269</f>
        <v>0</v>
      </c>
      <c r="W269" s="622"/>
      <c r="AC269" s="600"/>
    </row>
    <row r="270" spans="1:29" ht="15.6" x14ac:dyDescent="0.3">
      <c r="B270" s="617" t="s">
        <v>2006</v>
      </c>
      <c r="I270" s="621"/>
      <c r="J270" s="621"/>
      <c r="K270" s="621"/>
      <c r="M270" s="622"/>
      <c r="O270" s="621"/>
      <c r="P270" s="621"/>
      <c r="Q270" s="621">
        <v>2000000</v>
      </c>
      <c r="T270" s="622">
        <f>+R270</f>
        <v>0</v>
      </c>
      <c r="V270" s="621">
        <f>+S270</f>
        <v>0</v>
      </c>
      <c r="W270" s="622"/>
      <c r="AB270" s="627"/>
      <c r="AC270" s="600"/>
    </row>
    <row r="271" spans="1:29" x14ac:dyDescent="0.25">
      <c r="B271" s="617" t="s">
        <v>673</v>
      </c>
      <c r="I271" s="621">
        <f>SUM(I140:I270)</f>
        <v>1420206</v>
      </c>
      <c r="J271" s="621">
        <f>SUM(J140:J270)</f>
        <v>867320</v>
      </c>
      <c r="K271" s="621"/>
      <c r="L271" s="637">
        <f>SUM(L140:L270)</f>
        <v>1159915</v>
      </c>
      <c r="M271" s="621">
        <f>SUM(M143:M269)</f>
        <v>1493171</v>
      </c>
      <c r="O271" s="621">
        <f>SUM(O143:O269)</f>
        <v>1331498</v>
      </c>
      <c r="P271" s="621">
        <f>SUM(P143:P269)</f>
        <v>0</v>
      </c>
      <c r="Q271" s="621">
        <f t="shared" ref="Q271:AB271" si="62">SUM(Q143:Q270)</f>
        <v>3298085</v>
      </c>
      <c r="R271" s="621">
        <f t="shared" si="62"/>
        <v>2069646</v>
      </c>
      <c r="S271" s="621">
        <f t="shared" si="62"/>
        <v>2069646</v>
      </c>
      <c r="T271" s="621">
        <f t="shared" si="62"/>
        <v>2069646</v>
      </c>
      <c r="U271" s="621">
        <f t="shared" si="62"/>
        <v>354596</v>
      </c>
      <c r="V271" s="621">
        <f t="shared" si="62"/>
        <v>314000</v>
      </c>
      <c r="W271" s="621">
        <f t="shared" si="62"/>
        <v>52250</v>
      </c>
      <c r="X271" s="621">
        <f t="shared" si="62"/>
        <v>228500</v>
      </c>
      <c r="Y271" s="621">
        <f t="shared" si="62"/>
        <v>836500</v>
      </c>
      <c r="Z271" s="621">
        <f t="shared" si="62"/>
        <v>0</v>
      </c>
      <c r="AA271" s="621">
        <f t="shared" si="62"/>
        <v>283800</v>
      </c>
      <c r="AB271" s="621">
        <f t="shared" si="62"/>
        <v>0</v>
      </c>
      <c r="AC271" s="600"/>
    </row>
    <row r="272" spans="1:29" x14ac:dyDescent="0.25">
      <c r="I272" s="622"/>
      <c r="J272" s="622"/>
      <c r="K272" s="622"/>
      <c r="M272" s="622"/>
      <c r="O272" s="621"/>
      <c r="P272" s="621"/>
      <c r="Q272" s="621"/>
      <c r="U272" s="621"/>
      <c r="W272" s="622"/>
    </row>
    <row r="273" spans="2:30" x14ac:dyDescent="0.25">
      <c r="B273" s="617" t="s">
        <v>674</v>
      </c>
      <c r="I273" s="622">
        <f>+I136+I271</f>
        <v>23300415.990000002</v>
      </c>
      <c r="J273" s="622">
        <f>+J136+J271</f>
        <v>23815844.66</v>
      </c>
      <c r="K273" s="622"/>
      <c r="L273" s="622">
        <f>+L136+L271</f>
        <v>25150809.66</v>
      </c>
      <c r="M273" s="622">
        <f>+M136+M271</f>
        <v>27229440.449999999</v>
      </c>
      <c r="N273" s="622"/>
      <c r="O273" s="622">
        <f t="shared" ref="O273:U273" si="63">+O136+O271</f>
        <v>28277635</v>
      </c>
      <c r="P273" s="622">
        <f t="shared" si="63"/>
        <v>26055085.649999995</v>
      </c>
      <c r="Q273" s="622">
        <f t="shared" si="63"/>
        <v>31558079</v>
      </c>
      <c r="R273" s="622">
        <f t="shared" si="63"/>
        <v>30999173</v>
      </c>
      <c r="S273" s="622">
        <f t="shared" si="63"/>
        <v>30999173</v>
      </c>
      <c r="T273" s="622">
        <f t="shared" si="63"/>
        <v>30999173</v>
      </c>
      <c r="U273" s="621">
        <f t="shared" si="63"/>
        <v>26211727</v>
      </c>
      <c r="V273" s="622">
        <f>+V271+V136</f>
        <v>314000</v>
      </c>
      <c r="W273" s="621">
        <f t="shared" ref="W273:AB273" si="64">+W136+W271</f>
        <v>78778</v>
      </c>
      <c r="X273" s="621">
        <f t="shared" si="64"/>
        <v>228500</v>
      </c>
      <c r="Y273" s="621">
        <f t="shared" si="64"/>
        <v>836500</v>
      </c>
      <c r="Z273" s="621">
        <f t="shared" si="64"/>
        <v>0</v>
      </c>
      <c r="AA273" s="621">
        <f t="shared" si="64"/>
        <v>3043625</v>
      </c>
      <c r="AB273" s="621">
        <f t="shared" si="64"/>
        <v>286043</v>
      </c>
    </row>
    <row r="274" spans="2:30" x14ac:dyDescent="0.25">
      <c r="B274" s="621"/>
      <c r="C274" s="621"/>
      <c r="D274" s="621"/>
      <c r="E274" s="621"/>
      <c r="F274" s="621"/>
      <c r="G274" s="621"/>
      <c r="H274" s="621"/>
      <c r="I274" s="621"/>
      <c r="J274" s="621"/>
      <c r="K274" s="621"/>
      <c r="O274" s="622"/>
      <c r="P274" s="622"/>
      <c r="Q274" s="622"/>
      <c r="R274" s="622"/>
      <c r="S274" s="622"/>
      <c r="U274" s="621"/>
      <c r="V274" s="622"/>
      <c r="W274" s="622"/>
    </row>
    <row r="275" spans="2:30" x14ac:dyDescent="0.25">
      <c r="B275" s="621"/>
      <c r="C275" s="621"/>
      <c r="D275" s="621"/>
      <c r="E275" s="621"/>
      <c r="F275" s="621"/>
      <c r="G275" s="621"/>
      <c r="H275" s="621"/>
      <c r="I275" s="621"/>
      <c r="J275" s="621"/>
      <c r="K275" s="621"/>
      <c r="O275" s="622"/>
      <c r="P275" s="622"/>
      <c r="Q275" s="622"/>
      <c r="R275" s="622"/>
      <c r="S275" s="622"/>
      <c r="U275" s="621"/>
      <c r="W275" s="622"/>
    </row>
    <row r="276" spans="2:30" x14ac:dyDescent="0.25">
      <c r="B276" s="617" t="s">
        <v>675</v>
      </c>
      <c r="O276" s="622"/>
      <c r="P276" s="622"/>
      <c r="Q276" s="622"/>
      <c r="R276" s="622"/>
      <c r="S276" s="622"/>
      <c r="U276" s="621"/>
      <c r="W276" s="622"/>
    </row>
    <row r="277" spans="2:30" x14ac:dyDescent="0.25">
      <c r="B277" s="617" t="s">
        <v>508</v>
      </c>
      <c r="I277" s="622">
        <f>+I30</f>
        <v>24541002.5</v>
      </c>
      <c r="J277" s="622">
        <f>+J30</f>
        <v>25285879</v>
      </c>
      <c r="K277" s="622"/>
      <c r="L277" s="637">
        <f>+L30</f>
        <v>26354877</v>
      </c>
      <c r="M277" s="637">
        <f>+M30</f>
        <v>26913456</v>
      </c>
      <c r="O277" s="622">
        <f t="shared" ref="O277:AB277" si="65">+O30</f>
        <v>28383876</v>
      </c>
      <c r="P277" s="622">
        <f t="shared" si="65"/>
        <v>24950498</v>
      </c>
      <c r="Q277" s="622">
        <f t="shared" si="65"/>
        <v>31383475</v>
      </c>
      <c r="R277" s="622">
        <f t="shared" si="65"/>
        <v>31042983.579999998</v>
      </c>
      <c r="S277" s="622">
        <f t="shared" si="65"/>
        <v>31042983.579999998</v>
      </c>
      <c r="T277" s="622">
        <f t="shared" si="65"/>
        <v>31042983.579999998</v>
      </c>
      <c r="U277" s="622">
        <f t="shared" si="65"/>
        <v>26234251.579999998</v>
      </c>
      <c r="V277" s="622">
        <f t="shared" si="65"/>
        <v>335286</v>
      </c>
      <c r="W277" s="622">
        <f t="shared" si="65"/>
        <v>78778</v>
      </c>
      <c r="X277" s="622">
        <f t="shared" si="65"/>
        <v>228500</v>
      </c>
      <c r="Y277" s="622">
        <f t="shared" si="65"/>
        <v>836500</v>
      </c>
      <c r="Z277" s="622">
        <f t="shared" si="65"/>
        <v>0</v>
      </c>
      <c r="AA277" s="622">
        <f t="shared" si="65"/>
        <v>3043625</v>
      </c>
      <c r="AB277" s="622">
        <f t="shared" si="65"/>
        <v>286043</v>
      </c>
      <c r="AD277" s="2"/>
    </row>
    <row r="278" spans="2:30" x14ac:dyDescent="0.25">
      <c r="B278" s="617" t="s">
        <v>674</v>
      </c>
      <c r="I278" s="622">
        <f t="shared" ref="I278:M278" si="66">-I273</f>
        <v>-23300415.990000002</v>
      </c>
      <c r="J278" s="622">
        <f t="shared" ref="J278" si="67">-J273</f>
        <v>-23815844.66</v>
      </c>
      <c r="K278" s="622"/>
      <c r="L278" s="637">
        <f t="shared" si="66"/>
        <v>-25150809.66</v>
      </c>
      <c r="M278" s="637">
        <f t="shared" si="66"/>
        <v>-27229440.449999999</v>
      </c>
      <c r="O278" s="622">
        <f t="shared" ref="O278:Q278" si="68">-O273</f>
        <v>-28277635</v>
      </c>
      <c r="P278" s="622">
        <f t="shared" si="68"/>
        <v>-26055085.649999995</v>
      </c>
      <c r="Q278" s="622">
        <f t="shared" si="68"/>
        <v>-31558079</v>
      </c>
      <c r="R278" s="622">
        <f t="shared" ref="R278:AB278" si="69">-R273</f>
        <v>-30999173</v>
      </c>
      <c r="S278" s="622">
        <f t="shared" ref="S278" si="70">-S273</f>
        <v>-30999173</v>
      </c>
      <c r="T278" s="622">
        <f t="shared" si="69"/>
        <v>-30999173</v>
      </c>
      <c r="U278" s="622">
        <f t="shared" si="69"/>
        <v>-26211727</v>
      </c>
      <c r="V278" s="622">
        <f t="shared" si="69"/>
        <v>-314000</v>
      </c>
      <c r="W278" s="622">
        <f t="shared" si="69"/>
        <v>-78778</v>
      </c>
      <c r="X278" s="622">
        <f t="shared" si="69"/>
        <v>-228500</v>
      </c>
      <c r="Y278" s="622">
        <f t="shared" si="69"/>
        <v>-836500</v>
      </c>
      <c r="Z278" s="622">
        <f t="shared" si="69"/>
        <v>0</v>
      </c>
      <c r="AA278" s="622">
        <f t="shared" si="69"/>
        <v>-3043625</v>
      </c>
      <c r="AB278" s="622">
        <f t="shared" si="69"/>
        <v>-286043</v>
      </c>
      <c r="AD278" s="2"/>
    </row>
    <row r="279" spans="2:30" x14ac:dyDescent="0.25">
      <c r="B279" s="621"/>
      <c r="C279" s="621"/>
      <c r="D279" s="621"/>
      <c r="E279" s="621"/>
      <c r="F279" s="621"/>
      <c r="G279" s="621"/>
      <c r="H279" s="621"/>
      <c r="I279" s="623"/>
      <c r="J279" s="623"/>
      <c r="K279" s="623"/>
      <c r="L279" s="639"/>
      <c r="M279" s="639"/>
      <c r="N279" s="639"/>
      <c r="O279" s="623"/>
      <c r="P279" s="623"/>
      <c r="Q279" s="623"/>
      <c r="R279" s="623"/>
      <c r="S279" s="623"/>
      <c r="T279" s="623"/>
      <c r="U279" s="623"/>
      <c r="V279" s="623"/>
      <c r="W279" s="623"/>
      <c r="X279" s="623"/>
      <c r="Y279" s="623"/>
      <c r="Z279" s="623"/>
      <c r="AA279" s="623"/>
      <c r="AB279" s="623"/>
      <c r="AD279" s="2"/>
    </row>
    <row r="280" spans="2:30" ht="16.2" thickBot="1" x14ac:dyDescent="0.35">
      <c r="B280" s="617" t="s">
        <v>676</v>
      </c>
      <c r="I280" s="633">
        <f t="shared" ref="I280:M280" si="71">SUM(I277:I279)</f>
        <v>1240586.5099999979</v>
      </c>
      <c r="J280" s="633">
        <f t="shared" si="71"/>
        <v>1470034.3399999999</v>
      </c>
      <c r="K280" s="633"/>
      <c r="L280" s="641">
        <f t="shared" si="71"/>
        <v>1204067.3399999999</v>
      </c>
      <c r="M280" s="641">
        <f t="shared" si="71"/>
        <v>-315984.44999999925</v>
      </c>
      <c r="N280" s="641"/>
      <c r="O280" s="633">
        <f t="shared" ref="O280:Q280" si="72">SUM(O277:O279)</f>
        <v>106241</v>
      </c>
      <c r="P280" s="633">
        <f t="shared" si="72"/>
        <v>-1104587.6499999948</v>
      </c>
      <c r="Q280" s="633">
        <f t="shared" si="72"/>
        <v>-174604</v>
      </c>
      <c r="R280" s="633">
        <f t="shared" ref="R280:AB280" si="73">SUM(R277:R279)</f>
        <v>43810.579999998212</v>
      </c>
      <c r="S280" s="633">
        <f t="shared" ref="S280" si="74">SUM(S277:S279)</f>
        <v>43810.579999998212</v>
      </c>
      <c r="T280" s="633">
        <f t="shared" si="73"/>
        <v>43810.579999998212</v>
      </c>
      <c r="U280" s="1367">
        <f t="shared" si="73"/>
        <v>22524.579999998212</v>
      </c>
      <c r="V280" s="633">
        <f t="shared" si="73"/>
        <v>21286</v>
      </c>
      <c r="W280" s="633">
        <f t="shared" si="73"/>
        <v>0</v>
      </c>
      <c r="X280" s="633">
        <f t="shared" si="73"/>
        <v>0</v>
      </c>
      <c r="Y280" s="633">
        <f t="shared" si="73"/>
        <v>0</v>
      </c>
      <c r="Z280" s="633">
        <f t="shared" si="73"/>
        <v>0</v>
      </c>
      <c r="AA280" s="633">
        <f t="shared" si="73"/>
        <v>0</v>
      </c>
      <c r="AB280" s="633">
        <f t="shared" si="73"/>
        <v>0</v>
      </c>
      <c r="AD280" s="2"/>
    </row>
    <row r="281" spans="2:30" ht="15.6" thickTop="1" x14ac:dyDescent="0.25">
      <c r="U281" s="625"/>
      <c r="AD281" s="2"/>
    </row>
    <row r="282" spans="2:30" x14ac:dyDescent="0.25">
      <c r="B282" s="617" t="s">
        <v>2520</v>
      </c>
      <c r="U282" s="625"/>
      <c r="V282" s="621">
        <v>497041</v>
      </c>
      <c r="X282" s="621">
        <v>2257066</v>
      </c>
      <c r="Z282" s="621">
        <v>131085</v>
      </c>
      <c r="AD282" s="2"/>
    </row>
    <row r="283" spans="2:30" ht="16.8" x14ac:dyDescent="0.4">
      <c r="L283" s="640"/>
      <c r="M283" s="640"/>
      <c r="N283" s="640"/>
      <c r="O283" s="640"/>
      <c r="P283" s="640"/>
      <c r="Q283" s="640"/>
      <c r="T283" s="642"/>
      <c r="U283" s="621"/>
      <c r="X283" s="848" t="s">
        <v>2607</v>
      </c>
      <c r="AC283" s="614"/>
    </row>
    <row r="284" spans="2:30" x14ac:dyDescent="0.25">
      <c r="B284" s="617" t="s">
        <v>677</v>
      </c>
      <c r="J284" s="945"/>
      <c r="K284" s="945"/>
      <c r="L284" s="945"/>
      <c r="M284" s="945"/>
      <c r="N284" s="945"/>
      <c r="O284" s="945"/>
      <c r="P284" s="945"/>
      <c r="Q284" s="945"/>
      <c r="R284" s="945"/>
      <c r="S284" s="945"/>
      <c r="T284" s="945"/>
      <c r="U284" s="945"/>
      <c r="AC284" s="614"/>
    </row>
    <row r="285" spans="2:30" x14ac:dyDescent="0.25">
      <c r="B285" s="1315" t="s">
        <v>2512</v>
      </c>
      <c r="J285" s="946"/>
      <c r="K285" s="946"/>
      <c r="L285" s="946"/>
      <c r="M285" s="946"/>
      <c r="N285" s="946"/>
      <c r="O285" s="936" t="s">
        <v>2509</v>
      </c>
      <c r="P285" s="946"/>
      <c r="Q285" s="946"/>
      <c r="R285" s="946"/>
      <c r="S285" s="946"/>
      <c r="T285" s="946"/>
      <c r="U285" s="946"/>
      <c r="AC285" s="614"/>
    </row>
    <row r="286" spans="2:30" x14ac:dyDescent="0.25">
      <c r="B286" s="1315" t="s">
        <v>2513</v>
      </c>
      <c r="J286" s="876"/>
      <c r="K286" s="876"/>
      <c r="L286" s="876"/>
      <c r="M286" s="876"/>
      <c r="N286" s="876"/>
      <c r="O286" s="1314" t="s">
        <v>2509</v>
      </c>
      <c r="P286" s="876"/>
      <c r="Q286" s="876"/>
      <c r="R286" s="876"/>
      <c r="S286" s="876"/>
      <c r="T286" s="876"/>
      <c r="U286"/>
      <c r="AC286" s="614"/>
    </row>
    <row r="287" spans="2:30" x14ac:dyDescent="0.25">
      <c r="J287" s="876"/>
      <c r="K287" s="876"/>
      <c r="L287" s="876"/>
      <c r="M287" s="876"/>
      <c r="N287" s="876"/>
      <c r="O287" s="876"/>
      <c r="P287" s="876"/>
      <c r="Q287" s="876"/>
      <c r="R287" s="876"/>
      <c r="S287" s="876"/>
      <c r="T287" s="877"/>
      <c r="U287"/>
      <c r="AC287" s="614"/>
    </row>
    <row r="288" spans="2:30" ht="18" x14ac:dyDescent="0.25">
      <c r="B288" s="1352"/>
      <c r="C288" s="936"/>
      <c r="D288" s="936"/>
      <c r="E288" s="936"/>
      <c r="F288" s="936"/>
      <c r="G288" s="936"/>
      <c r="H288" s="936"/>
      <c r="I288" s="936"/>
      <c r="J288" s="1353"/>
      <c r="K288" s="1353"/>
      <c r="L288" s="1353"/>
      <c r="M288" s="1353"/>
      <c r="N288" s="1353"/>
      <c r="O288" s="1353"/>
      <c r="P288" s="937"/>
      <c r="Q288" s="937"/>
      <c r="R288" s="932"/>
      <c r="S288" s="932"/>
      <c r="T288" s="877"/>
      <c r="U288"/>
      <c r="AC288" s="614"/>
    </row>
    <row r="289" spans="2:29" ht="18" x14ac:dyDescent="0.25">
      <c r="B289" s="1352"/>
      <c r="C289" s="932"/>
      <c r="D289" s="932"/>
      <c r="E289" s="932"/>
      <c r="F289" s="932"/>
      <c r="G289" s="932"/>
      <c r="H289" s="932"/>
      <c r="I289" s="932"/>
      <c r="J289" s="937"/>
      <c r="K289" s="937"/>
      <c r="L289" s="933"/>
      <c r="M289" s="933"/>
      <c r="N289" s="933"/>
      <c r="O289" s="933"/>
      <c r="P289" s="933"/>
      <c r="Q289" s="933"/>
      <c r="R289" s="933"/>
      <c r="S289" s="933"/>
      <c r="T289" s="877"/>
      <c r="U289"/>
      <c r="AC289" s="614"/>
    </row>
    <row r="290" spans="2:29" ht="18" x14ac:dyDescent="0.25">
      <c r="B290" s="938"/>
      <c r="C290" s="939"/>
      <c r="D290" s="939"/>
      <c r="E290" s="939"/>
      <c r="F290" s="939"/>
      <c r="G290" s="939"/>
      <c r="H290" s="939"/>
      <c r="I290" s="939"/>
      <c r="J290" s="878"/>
      <c r="K290" s="878"/>
      <c r="L290" s="878"/>
      <c r="M290" s="878"/>
      <c r="N290" s="878"/>
      <c r="O290" s="878"/>
      <c r="P290" s="878"/>
      <c r="Q290" s="878"/>
      <c r="R290" s="878"/>
      <c r="S290" s="878"/>
      <c r="T290" s="877"/>
      <c r="U290"/>
      <c r="AC290" s="614"/>
    </row>
    <row r="291" spans="2:29" ht="18" x14ac:dyDescent="0.25">
      <c r="B291" s="938"/>
      <c r="C291" s="939"/>
      <c r="D291" s="939"/>
      <c r="E291" s="939"/>
      <c r="F291" s="939"/>
      <c r="G291" s="939"/>
      <c r="H291" s="939"/>
      <c r="I291" s="939"/>
      <c r="J291" s="878"/>
      <c r="K291" s="878"/>
      <c r="L291" s="878"/>
      <c r="M291" s="878"/>
      <c r="N291" s="878"/>
      <c r="O291" s="878"/>
      <c r="P291" s="878"/>
      <c r="Q291" s="878"/>
      <c r="R291" s="878"/>
      <c r="S291" s="878"/>
      <c r="T291" s="877"/>
      <c r="U291"/>
      <c r="X291" s="634"/>
      <c r="Z291"/>
      <c r="AC291" s="614"/>
    </row>
    <row r="292" spans="2:29" ht="18" x14ac:dyDescent="0.25">
      <c r="B292" s="938"/>
      <c r="C292" s="939"/>
      <c r="D292" s="939"/>
      <c r="E292" s="939"/>
      <c r="F292" s="939"/>
      <c r="G292" s="939"/>
      <c r="H292" s="939"/>
      <c r="I292" s="939"/>
      <c r="J292" s="878"/>
      <c r="K292" s="878"/>
      <c r="L292" s="878"/>
      <c r="M292" s="878"/>
      <c r="N292" s="878"/>
      <c r="O292" s="878"/>
      <c r="P292" s="878"/>
      <c r="Q292" s="878"/>
      <c r="R292" s="878"/>
      <c r="S292" s="878"/>
      <c r="T292" s="877"/>
      <c r="U292"/>
      <c r="X292" s="634"/>
      <c r="Z292"/>
      <c r="AC292" s="614"/>
    </row>
    <row r="293" spans="2:29" ht="18" x14ac:dyDescent="0.25">
      <c r="B293" s="938"/>
      <c r="C293" s="939"/>
      <c r="D293" s="939"/>
      <c r="E293" s="939"/>
      <c r="F293" s="939"/>
      <c r="G293" s="939"/>
      <c r="H293" s="939"/>
      <c r="I293" s="939"/>
      <c r="J293" s="878"/>
      <c r="K293" s="878"/>
      <c r="L293" s="878"/>
      <c r="M293" s="878"/>
      <c r="N293" s="878"/>
      <c r="O293" s="878"/>
      <c r="P293" s="878"/>
      <c r="Q293" s="878"/>
      <c r="R293" s="878"/>
      <c r="S293" s="878"/>
      <c r="T293" s="877"/>
      <c r="U293"/>
      <c r="X293" s="634"/>
      <c r="Z293"/>
      <c r="AC293" s="614"/>
    </row>
    <row r="294" spans="2:29" ht="18" x14ac:dyDescent="0.25">
      <c r="B294" s="938"/>
      <c r="C294" s="939"/>
      <c r="D294" s="939"/>
      <c r="E294" s="939"/>
      <c r="F294" s="939"/>
      <c r="G294" s="939"/>
      <c r="H294" s="939"/>
      <c r="I294" s="939"/>
      <c r="J294" s="878"/>
      <c r="K294" s="878"/>
      <c r="L294" s="878"/>
      <c r="M294" s="878"/>
      <c r="N294" s="878"/>
      <c r="O294" s="878"/>
      <c r="P294" s="878"/>
      <c r="Q294" s="878"/>
      <c r="R294" s="878"/>
      <c r="S294" s="878"/>
      <c r="T294" s="877"/>
      <c r="U294"/>
      <c r="X294" s="634"/>
      <c r="Z294"/>
      <c r="AC294" s="614"/>
    </row>
    <row r="295" spans="2:29" ht="18" x14ac:dyDescent="0.25">
      <c r="B295" s="938"/>
      <c r="C295" s="939"/>
      <c r="D295" s="939"/>
      <c r="E295" s="939"/>
      <c r="F295" s="939"/>
      <c r="G295" s="939"/>
      <c r="H295" s="939"/>
      <c r="I295" s="939"/>
      <c r="J295" s="878"/>
      <c r="K295" s="878"/>
      <c r="L295" s="878"/>
      <c r="M295" s="878"/>
      <c r="N295" s="878"/>
      <c r="O295" s="878"/>
      <c r="P295" s="878"/>
      <c r="Q295" s="878"/>
      <c r="R295" s="878"/>
      <c r="S295" s="878"/>
      <c r="T295" s="877"/>
      <c r="U295"/>
      <c r="X295" s="634"/>
      <c r="AC295" s="614"/>
    </row>
    <row r="296" spans="2:29" ht="18" x14ac:dyDescent="0.25">
      <c r="B296" s="938"/>
      <c r="C296" s="939"/>
      <c r="D296" s="939"/>
      <c r="E296" s="939"/>
      <c r="F296" s="939"/>
      <c r="G296" s="939"/>
      <c r="H296" s="939"/>
      <c r="I296" s="939"/>
      <c r="J296" s="878"/>
      <c r="K296" s="878"/>
      <c r="L296" s="878"/>
      <c r="M296" s="878"/>
      <c r="N296" s="878"/>
      <c r="O296" s="878"/>
      <c r="P296" s="878"/>
      <c r="Q296" s="878"/>
      <c r="R296" s="878"/>
      <c r="S296" s="878"/>
      <c r="T296" s="877"/>
      <c r="U296"/>
      <c r="V296" s="866"/>
      <c r="W296" s="867"/>
      <c r="AC296" s="614"/>
    </row>
    <row r="297" spans="2:29" ht="18" x14ac:dyDescent="0.25">
      <c r="B297" s="938"/>
      <c r="C297" s="939"/>
      <c r="D297" s="939"/>
      <c r="E297" s="939"/>
      <c r="F297" s="939"/>
      <c r="G297" s="939"/>
      <c r="H297" s="939"/>
      <c r="I297" s="939"/>
      <c r="J297" s="878"/>
      <c r="K297" s="878"/>
      <c r="L297" s="878"/>
      <c r="M297" s="878"/>
      <c r="N297" s="878"/>
      <c r="O297" s="878"/>
      <c r="P297" s="878"/>
      <c r="Q297" s="878"/>
      <c r="R297" s="878"/>
      <c r="S297" s="878"/>
      <c r="T297" s="877"/>
      <c r="U297" s="625"/>
      <c r="V297" s="872"/>
      <c r="W297" s="873"/>
      <c r="X297" s="868"/>
      <c r="AC297" s="614"/>
    </row>
    <row r="298" spans="2:29" ht="18" x14ac:dyDescent="0.25">
      <c r="B298" s="938"/>
      <c r="C298" s="939"/>
      <c r="D298" s="939"/>
      <c r="E298" s="939"/>
      <c r="F298" s="939"/>
      <c r="G298" s="939"/>
      <c r="H298" s="939"/>
      <c r="I298" s="939"/>
      <c r="J298" s="878"/>
      <c r="K298" s="878"/>
      <c r="L298" s="878"/>
      <c r="M298" s="878"/>
      <c r="N298" s="878"/>
      <c r="O298" s="878"/>
      <c r="P298" s="878"/>
      <c r="Q298" s="878"/>
      <c r="R298" s="878"/>
      <c r="S298" s="878"/>
      <c r="T298" s="877"/>
      <c r="U298" s="625"/>
      <c r="V298" s="872"/>
      <c r="W298" s="873"/>
      <c r="X298" s="868"/>
      <c r="AC298" s="614"/>
    </row>
    <row r="299" spans="2:29" ht="18" x14ac:dyDescent="0.25">
      <c r="B299" s="938"/>
      <c r="C299" s="939"/>
      <c r="D299" s="939"/>
      <c r="E299" s="939"/>
      <c r="F299" s="939"/>
      <c r="G299" s="939"/>
      <c r="H299" s="939"/>
      <c r="I299" s="939"/>
      <c r="J299" s="878"/>
      <c r="K299" s="878"/>
      <c r="L299" s="878"/>
      <c r="M299" s="878"/>
      <c r="N299" s="878"/>
      <c r="O299" s="878"/>
      <c r="P299" s="878"/>
      <c r="Q299" s="878"/>
      <c r="R299" s="878"/>
      <c r="S299" s="878"/>
      <c r="T299" s="879"/>
      <c r="U299" s="625"/>
      <c r="V299" s="872"/>
      <c r="W299" s="873"/>
      <c r="AC299" s="614"/>
    </row>
    <row r="300" spans="2:29" ht="18" x14ac:dyDescent="0.25">
      <c r="B300" s="938"/>
      <c r="C300" s="939"/>
      <c r="D300" s="939"/>
      <c r="E300" s="939"/>
      <c r="F300" s="939"/>
      <c r="G300" s="939"/>
      <c r="H300" s="939"/>
      <c r="I300" s="939"/>
      <c r="J300" s="878"/>
      <c r="K300" s="878"/>
      <c r="L300" s="878"/>
      <c r="M300" s="878"/>
      <c r="N300" s="878"/>
      <c r="O300" s="878"/>
      <c r="P300" s="878"/>
      <c r="Q300" s="878"/>
      <c r="R300" s="878"/>
      <c r="S300" s="878"/>
      <c r="T300" s="879"/>
      <c r="U300" s="625"/>
      <c r="V300" s="872"/>
      <c r="W300" s="874"/>
      <c r="AC300" s="614"/>
    </row>
    <row r="301" spans="2:29" ht="18" x14ac:dyDescent="0.25">
      <c r="B301" s="938"/>
      <c r="C301" s="939"/>
      <c r="D301" s="939"/>
      <c r="E301" s="939"/>
      <c r="F301" s="939"/>
      <c r="G301" s="939"/>
      <c r="H301" s="939"/>
      <c r="I301" s="939"/>
      <c r="J301" s="878"/>
      <c r="K301" s="878"/>
      <c r="L301" s="878"/>
      <c r="M301" s="878"/>
      <c r="N301" s="878"/>
      <c r="O301" s="878"/>
      <c r="P301" s="878"/>
      <c r="Q301" s="878"/>
      <c r="R301" s="878"/>
      <c r="S301" s="878"/>
      <c r="T301" s="879"/>
      <c r="U301" s="625"/>
      <c r="V301" s="872"/>
      <c r="W301" s="873"/>
      <c r="X301" s="868"/>
      <c r="AC301" s="614"/>
    </row>
    <row r="302" spans="2:29" ht="12.6" customHeight="1" x14ac:dyDescent="0.25">
      <c r="B302" s="938"/>
      <c r="C302" s="939"/>
      <c r="D302" s="939"/>
      <c r="E302" s="939"/>
      <c r="F302" s="939"/>
      <c r="G302" s="939"/>
      <c r="H302" s="939"/>
      <c r="I302" s="939"/>
      <c r="J302" s="878"/>
      <c r="K302" s="878"/>
      <c r="L302" s="878"/>
      <c r="M302" s="878"/>
      <c r="N302" s="878"/>
      <c r="O302" s="878"/>
      <c r="P302" s="878"/>
      <c r="Q302" s="878"/>
      <c r="R302" s="878"/>
      <c r="S302" s="878"/>
      <c r="T302" s="879"/>
      <c r="U302" s="634"/>
      <c r="V302" s="872"/>
      <c r="W302" s="873"/>
      <c r="X302" s="868"/>
      <c r="AC302" s="615"/>
    </row>
    <row r="303" spans="2:29" ht="12.6" customHeight="1" x14ac:dyDescent="0.25">
      <c r="B303" s="938"/>
      <c r="C303" s="939"/>
      <c r="D303" s="939"/>
      <c r="E303" s="939"/>
      <c r="F303" s="939"/>
      <c r="G303" s="939"/>
      <c r="H303" s="939"/>
      <c r="I303" s="939"/>
      <c r="J303" s="878"/>
      <c r="K303" s="878"/>
      <c r="L303" s="878"/>
      <c r="M303" s="878"/>
      <c r="N303" s="878"/>
      <c r="O303" s="878"/>
      <c r="P303" s="878"/>
      <c r="Q303" s="878"/>
      <c r="R303" s="878"/>
      <c r="S303" s="878"/>
      <c r="T303" s="879"/>
      <c r="U303" s="634"/>
      <c r="V303"/>
      <c r="W303"/>
      <c r="AC303" s="615"/>
    </row>
    <row r="304" spans="2:29" ht="12.6" customHeight="1" x14ac:dyDescent="0.25">
      <c r="B304" s="938"/>
      <c r="C304" s="939"/>
      <c r="D304" s="939"/>
      <c r="E304" s="939"/>
      <c r="F304" s="939"/>
      <c r="G304" s="939"/>
      <c r="H304" s="939"/>
      <c r="I304" s="939"/>
      <c r="J304" s="878"/>
      <c r="K304" s="878"/>
      <c r="L304" s="878"/>
      <c r="M304" s="878"/>
      <c r="N304" s="878"/>
      <c r="O304" s="878"/>
      <c r="P304" s="878"/>
      <c r="Q304" s="878"/>
      <c r="R304" s="878"/>
      <c r="S304" s="878"/>
      <c r="T304" s="880"/>
      <c r="U304" s="634"/>
      <c r="V304" s="872"/>
      <c r="W304" s="874"/>
      <c r="AC304" s="615"/>
    </row>
    <row r="305" spans="2:29" ht="12.6" customHeight="1" x14ac:dyDescent="0.25">
      <c r="B305" s="939"/>
      <c r="C305" s="939"/>
      <c r="D305" s="939"/>
      <c r="E305" s="939"/>
      <c r="F305" s="939"/>
      <c r="G305" s="939"/>
      <c r="H305" s="939"/>
      <c r="I305" s="939"/>
      <c r="J305" s="878"/>
      <c r="K305" s="878"/>
      <c r="L305" s="878"/>
      <c r="M305" s="878"/>
      <c r="N305" s="878"/>
      <c r="O305" s="878"/>
      <c r="P305" s="878"/>
      <c r="Q305" s="878"/>
      <c r="R305" s="878"/>
      <c r="S305" s="878"/>
      <c r="T305" s="880"/>
      <c r="U305" s="634"/>
      <c r="V305" s="872"/>
      <c r="W305" s="873"/>
      <c r="X305" s="868"/>
      <c r="AC305" s="615"/>
    </row>
    <row r="306" spans="2:29" ht="12.6" customHeight="1" x14ac:dyDescent="0.25">
      <c r="B306" s="939"/>
      <c r="C306" s="939"/>
      <c r="D306" s="939"/>
      <c r="E306" s="939"/>
      <c r="F306" s="939"/>
      <c r="G306" s="939"/>
      <c r="H306" s="939"/>
      <c r="I306" s="939"/>
      <c r="J306" s="939"/>
      <c r="K306" s="939"/>
      <c r="L306" s="878"/>
      <c r="M306" s="878"/>
      <c r="N306" s="878"/>
      <c r="O306" s="878"/>
      <c r="P306" s="878"/>
      <c r="Q306" s="878"/>
      <c r="R306" s="881"/>
      <c r="S306" s="881"/>
      <c r="T306" s="880"/>
      <c r="U306" s="634"/>
      <c r="V306" s="872"/>
      <c r="W306" s="873"/>
      <c r="X306" s="868"/>
      <c r="AC306" s="615"/>
    </row>
    <row r="307" spans="2:29" ht="12.6" customHeight="1" x14ac:dyDescent="0.25">
      <c r="B307" s="939"/>
      <c r="C307" s="939"/>
      <c r="D307" s="939"/>
      <c r="E307" s="939"/>
      <c r="F307" s="939"/>
      <c r="G307" s="939"/>
      <c r="H307" s="939"/>
      <c r="I307" s="939"/>
      <c r="J307" s="937"/>
      <c r="K307" s="937"/>
      <c r="L307" s="933"/>
      <c r="M307" s="933"/>
      <c r="N307" s="933"/>
      <c r="O307" s="934"/>
      <c r="P307" s="934"/>
      <c r="Q307" s="934"/>
      <c r="R307" s="934"/>
      <c r="S307" s="934"/>
      <c r="T307" s="880"/>
      <c r="U307" s="634"/>
      <c r="V307"/>
      <c r="W307"/>
      <c r="AC307" s="615"/>
    </row>
    <row r="308" spans="2:29" ht="12.6" customHeight="1" x14ac:dyDescent="0.25">
      <c r="B308" s="938"/>
      <c r="C308" s="939"/>
      <c r="D308" s="939"/>
      <c r="E308" s="939"/>
      <c r="F308" s="939"/>
      <c r="G308" s="939"/>
      <c r="H308" s="939"/>
      <c r="I308" s="939"/>
      <c r="J308" s="878"/>
      <c r="K308" s="878"/>
      <c r="L308" s="878"/>
      <c r="M308" s="878"/>
      <c r="N308" s="878"/>
      <c r="O308" s="878"/>
      <c r="P308" s="878"/>
      <c r="Q308" s="878"/>
      <c r="R308" s="878"/>
      <c r="S308" s="878"/>
      <c r="T308" s="880"/>
      <c r="U308" s="634"/>
      <c r="V308" s="872"/>
      <c r="W308" s="874"/>
      <c r="AC308" s="615"/>
    </row>
    <row r="309" spans="2:29" ht="12.6" customHeight="1" x14ac:dyDescent="0.25">
      <c r="B309" s="939"/>
      <c r="C309" s="939"/>
      <c r="D309" s="939"/>
      <c r="E309" s="939"/>
      <c r="F309" s="939"/>
      <c r="G309" s="939"/>
      <c r="H309" s="939"/>
      <c r="I309" s="939"/>
      <c r="J309" s="878"/>
      <c r="K309" s="878"/>
      <c r="L309" s="878"/>
      <c r="M309" s="878"/>
      <c r="N309" s="878"/>
      <c r="O309" s="878"/>
      <c r="P309" s="878"/>
      <c r="Q309" s="878"/>
      <c r="R309" s="878"/>
      <c r="S309" s="878"/>
      <c r="T309" s="880"/>
      <c r="U309" s="634"/>
      <c r="V309" s="872"/>
      <c r="W309" s="873"/>
      <c r="X309" s="868"/>
      <c r="AC309" s="615"/>
    </row>
    <row r="310" spans="2:29" ht="12.6" customHeight="1" x14ac:dyDescent="0.25">
      <c r="B310" s="938"/>
      <c r="C310" s="939"/>
      <c r="D310" s="939"/>
      <c r="E310" s="939"/>
      <c r="F310" s="939"/>
      <c r="G310" s="939"/>
      <c r="H310" s="939"/>
      <c r="I310" s="939"/>
      <c r="J310" s="878"/>
      <c r="K310" s="878"/>
      <c r="L310" s="878"/>
      <c r="M310" s="878"/>
      <c r="N310" s="878"/>
      <c r="O310" s="878"/>
      <c r="P310" s="878"/>
      <c r="Q310" s="878"/>
      <c r="R310" s="878"/>
      <c r="S310" s="878"/>
      <c r="T310" s="880"/>
      <c r="U310" s="634"/>
      <c r="V310" s="872"/>
      <c r="W310" s="873"/>
      <c r="X310" s="868"/>
      <c r="AC310" s="615"/>
    </row>
    <row r="311" spans="2:29" ht="12.6" customHeight="1" x14ac:dyDescent="0.25">
      <c r="L311" s="642"/>
      <c r="M311" s="642"/>
      <c r="N311" s="642"/>
      <c r="O311" s="621"/>
      <c r="P311" s="621"/>
      <c r="Q311" s="621"/>
      <c r="T311" s="634"/>
      <c r="U311" s="634"/>
      <c r="AC311" s="615"/>
    </row>
    <row r="312" spans="2:29" x14ac:dyDescent="0.25">
      <c r="L312" s="642"/>
      <c r="M312" s="642"/>
      <c r="N312" s="642"/>
      <c r="O312" s="642"/>
      <c r="P312" s="642"/>
      <c r="Q312" s="642"/>
      <c r="R312" s="617"/>
      <c r="S312" s="617"/>
      <c r="T312" s="617"/>
      <c r="U312" s="617"/>
      <c r="V312" s="872"/>
      <c r="W312" s="874"/>
      <c r="AC312" s="614"/>
    </row>
    <row r="313" spans="2:29" x14ac:dyDescent="0.25">
      <c r="L313" s="642"/>
      <c r="M313" s="642"/>
      <c r="N313" s="642"/>
      <c r="O313" s="621"/>
      <c r="P313" s="621"/>
      <c r="Q313" s="621"/>
      <c r="R313" s="617"/>
      <c r="S313" s="617"/>
      <c r="T313" s="871"/>
      <c r="U313" s="617"/>
      <c r="V313" s="872"/>
      <c r="W313" s="873"/>
      <c r="X313" s="868"/>
      <c r="AC313" s="614"/>
    </row>
    <row r="314" spans="2:29" x14ac:dyDescent="0.25">
      <c r="L314" s="642"/>
      <c r="M314" s="642"/>
      <c r="N314" s="642"/>
      <c r="O314" s="621"/>
      <c r="P314" s="621"/>
      <c r="Q314" s="621"/>
      <c r="R314" s="617"/>
      <c r="S314" s="617"/>
      <c r="T314" s="871"/>
      <c r="U314" s="617"/>
      <c r="V314" s="872"/>
      <c r="W314" s="873"/>
      <c r="AC314" s="614"/>
    </row>
    <row r="315" spans="2:29" x14ac:dyDescent="0.25">
      <c r="L315" s="642"/>
      <c r="M315" s="642"/>
      <c r="N315" s="642"/>
      <c r="O315" s="642"/>
      <c r="P315" s="642"/>
      <c r="Q315" s="642"/>
      <c r="T315" s="634"/>
      <c r="U315" s="634"/>
      <c r="AC315" s="614"/>
    </row>
    <row r="316" spans="2:29" x14ac:dyDescent="0.25">
      <c r="L316" s="642"/>
      <c r="M316" s="642"/>
      <c r="N316" s="642"/>
      <c r="O316" s="642"/>
      <c r="P316" s="642"/>
      <c r="Q316" s="642"/>
      <c r="T316" s="634"/>
      <c r="U316" s="634"/>
      <c r="AC316" s="614"/>
    </row>
    <row r="317" spans="2:29" x14ac:dyDescent="0.25">
      <c r="L317" s="642"/>
      <c r="M317" s="642"/>
      <c r="N317" s="642"/>
      <c r="O317" s="642"/>
      <c r="P317" s="642"/>
      <c r="Q317" s="642"/>
      <c r="T317" s="634"/>
      <c r="U317" s="634"/>
      <c r="AC317" s="614"/>
    </row>
    <row r="318" spans="2:29" x14ac:dyDescent="0.25">
      <c r="L318" s="642"/>
      <c r="M318" s="642"/>
      <c r="N318" s="642"/>
      <c r="O318" s="642"/>
      <c r="P318" s="642"/>
      <c r="Q318" s="642"/>
      <c r="T318" s="634"/>
      <c r="U318" s="634"/>
      <c r="AC318" s="614"/>
    </row>
    <row r="319" spans="2:29" ht="15.6" x14ac:dyDescent="0.3">
      <c r="B319" s="635"/>
      <c r="C319" s="635"/>
      <c r="D319" s="635"/>
      <c r="E319" s="635"/>
      <c r="F319" s="635"/>
      <c r="G319" s="635"/>
      <c r="H319" s="635"/>
      <c r="I319" s="635"/>
      <c r="J319" s="635"/>
      <c r="K319" s="635"/>
      <c r="L319" s="875"/>
      <c r="M319" s="875"/>
      <c r="N319" s="875"/>
      <c r="O319" s="875"/>
      <c r="P319" s="875"/>
      <c r="Q319" s="875"/>
      <c r="T319" s="634"/>
      <c r="U319" s="634"/>
      <c r="AC319" s="614"/>
    </row>
    <row r="320" spans="2:29" x14ac:dyDescent="0.25">
      <c r="L320" s="642"/>
      <c r="M320" s="642"/>
      <c r="N320" s="642"/>
      <c r="O320" s="642"/>
      <c r="P320" s="642"/>
      <c r="Q320" s="642"/>
      <c r="T320" s="634"/>
      <c r="U320" s="634"/>
      <c r="AC320" s="614"/>
    </row>
    <row r="321" spans="12:29" x14ac:dyDescent="0.25">
      <c r="L321" s="640"/>
      <c r="M321" s="640"/>
      <c r="N321" s="640"/>
      <c r="O321" s="640"/>
      <c r="P321" s="640"/>
      <c r="Q321" s="640"/>
      <c r="T321" s="625"/>
      <c r="U321" s="625"/>
      <c r="AC321" s="614"/>
    </row>
    <row r="322" spans="12:29" x14ac:dyDescent="0.25">
      <c r="L322" s="640"/>
      <c r="M322" s="640"/>
      <c r="N322" s="640"/>
      <c r="O322" s="640"/>
      <c r="P322" s="640"/>
      <c r="Q322" s="640"/>
      <c r="T322" s="625"/>
      <c r="U322" s="625"/>
      <c r="AC322" s="614"/>
    </row>
    <row r="323" spans="12:29" x14ac:dyDescent="0.25">
      <c r="L323" s="640"/>
      <c r="M323" s="640"/>
      <c r="N323" s="640"/>
      <c r="O323" s="640"/>
      <c r="P323" s="640"/>
      <c r="Q323" s="640"/>
      <c r="T323" s="625"/>
      <c r="U323" s="625"/>
      <c r="AC323" s="614"/>
    </row>
    <row r="324" spans="12:29" x14ac:dyDescent="0.25">
      <c r="L324" s="640"/>
      <c r="M324" s="640"/>
      <c r="N324" s="640"/>
      <c r="O324" s="640"/>
      <c r="P324" s="640"/>
      <c r="Q324" s="640"/>
      <c r="T324" s="625"/>
      <c r="U324" s="625"/>
      <c r="AC324" s="614"/>
    </row>
    <row r="325" spans="12:29" x14ac:dyDescent="0.25">
      <c r="L325" s="640"/>
      <c r="M325" s="640"/>
      <c r="N325" s="640"/>
      <c r="O325" s="640"/>
      <c r="P325" s="640"/>
      <c r="Q325" s="640"/>
      <c r="T325" s="625"/>
      <c r="U325" s="625"/>
      <c r="AC325" s="614"/>
    </row>
    <row r="326" spans="12:29" x14ac:dyDescent="0.25">
      <c r="L326" s="640"/>
      <c r="M326" s="640"/>
      <c r="N326" s="640"/>
      <c r="O326" s="640"/>
      <c r="P326" s="640"/>
      <c r="Q326" s="640"/>
      <c r="T326" s="625"/>
      <c r="U326" s="625"/>
      <c r="AC326" s="614"/>
    </row>
    <row r="327" spans="12:29" x14ac:dyDescent="0.25">
      <c r="L327" s="640"/>
      <c r="M327" s="640"/>
      <c r="N327" s="640"/>
      <c r="O327" s="640"/>
      <c r="P327" s="640"/>
      <c r="Q327" s="640"/>
      <c r="T327" s="625"/>
      <c r="U327" s="625"/>
      <c r="AC327" s="614"/>
    </row>
    <row r="328" spans="12:29" x14ac:dyDescent="0.25">
      <c r="L328" s="640"/>
      <c r="M328" s="640"/>
      <c r="N328" s="640"/>
      <c r="O328" s="640"/>
      <c r="P328" s="640"/>
      <c r="Q328" s="640"/>
      <c r="T328" s="625"/>
      <c r="U328" s="625"/>
      <c r="AC328" s="614"/>
    </row>
    <row r="329" spans="12:29" x14ac:dyDescent="0.25">
      <c r="L329" s="640"/>
      <c r="M329" s="640"/>
      <c r="N329" s="640"/>
      <c r="O329" s="640"/>
      <c r="P329" s="640"/>
      <c r="Q329" s="640"/>
      <c r="T329" s="625"/>
      <c r="U329" s="625"/>
      <c r="AC329" s="614"/>
    </row>
    <row r="330" spans="12:29" x14ac:dyDescent="0.25">
      <c r="L330" s="640"/>
      <c r="M330" s="640"/>
      <c r="N330" s="640"/>
      <c r="O330" s="640"/>
      <c r="P330" s="640"/>
      <c r="Q330" s="640"/>
      <c r="T330" s="625"/>
      <c r="U330" s="625"/>
      <c r="AC330" s="614"/>
    </row>
    <row r="331" spans="12:29" x14ac:dyDescent="0.25">
      <c r="L331" s="640"/>
      <c r="M331" s="640"/>
      <c r="N331" s="640"/>
      <c r="O331" s="640"/>
      <c r="P331" s="640"/>
      <c r="Q331" s="640"/>
      <c r="T331" s="625"/>
      <c r="U331" s="625"/>
      <c r="AC331" s="614"/>
    </row>
    <row r="332" spans="12:29" x14ac:dyDescent="0.25">
      <c r="L332" s="640"/>
      <c r="M332" s="640"/>
      <c r="N332" s="640"/>
      <c r="O332" s="640"/>
      <c r="P332" s="640"/>
      <c r="Q332" s="640"/>
      <c r="T332" s="625"/>
      <c r="U332" s="625"/>
      <c r="AC332" s="614"/>
    </row>
    <row r="333" spans="12:29" x14ac:dyDescent="0.25">
      <c r="L333" s="640"/>
      <c r="M333" s="640"/>
      <c r="N333" s="640"/>
      <c r="O333" s="640"/>
      <c r="P333" s="640"/>
      <c r="Q333" s="640"/>
      <c r="T333" s="625"/>
      <c r="U333" s="625"/>
      <c r="AC333" s="614"/>
    </row>
    <row r="334" spans="12:29" x14ac:dyDescent="0.25">
      <c r="L334" s="640"/>
      <c r="M334" s="640"/>
      <c r="N334" s="640"/>
      <c r="O334" s="640"/>
      <c r="P334" s="640"/>
      <c r="Q334" s="640"/>
      <c r="T334" s="625"/>
      <c r="U334" s="625"/>
      <c r="AC334" s="614"/>
    </row>
    <row r="335" spans="12:29" x14ac:dyDescent="0.25">
      <c r="L335" s="640"/>
      <c r="M335" s="640"/>
      <c r="N335" s="640"/>
      <c r="O335" s="640"/>
      <c r="P335" s="640"/>
      <c r="Q335" s="640"/>
      <c r="T335" s="625"/>
      <c r="U335" s="625"/>
      <c r="AC335" s="614"/>
    </row>
    <row r="336" spans="12:29" x14ac:dyDescent="0.25">
      <c r="L336" s="640"/>
      <c r="M336" s="640"/>
      <c r="N336" s="640"/>
      <c r="O336" s="640"/>
      <c r="P336" s="640"/>
      <c r="Q336" s="640"/>
      <c r="T336" s="625"/>
      <c r="U336" s="625"/>
      <c r="AC336" s="614"/>
    </row>
    <row r="337" spans="12:29" x14ac:dyDescent="0.25">
      <c r="L337" s="640"/>
      <c r="M337" s="640"/>
      <c r="N337" s="640"/>
      <c r="O337" s="640"/>
      <c r="P337" s="640"/>
      <c r="Q337" s="640"/>
      <c r="T337" s="625"/>
      <c r="U337" s="625"/>
      <c r="AC337" s="614"/>
    </row>
    <row r="338" spans="12:29" x14ac:dyDescent="0.25">
      <c r="L338" s="640"/>
      <c r="M338" s="640"/>
      <c r="N338" s="640"/>
      <c r="O338" s="640"/>
      <c r="P338" s="640"/>
      <c r="Q338" s="640"/>
      <c r="T338" s="625"/>
      <c r="U338" s="625"/>
      <c r="AC338" s="614"/>
    </row>
    <row r="339" spans="12:29" x14ac:dyDescent="0.25">
      <c r="L339" s="640"/>
      <c r="M339" s="640"/>
      <c r="N339" s="640"/>
      <c r="O339" s="640"/>
      <c r="P339" s="640"/>
      <c r="Q339" s="640"/>
      <c r="T339" s="625"/>
      <c r="U339" s="625"/>
      <c r="AC339" s="614"/>
    </row>
    <row r="340" spans="12:29" x14ac:dyDescent="0.25">
      <c r="L340" s="640"/>
      <c r="M340" s="640"/>
      <c r="N340" s="640"/>
      <c r="O340" s="640"/>
      <c r="P340" s="640"/>
      <c r="Q340" s="640"/>
      <c r="T340" s="625"/>
      <c r="U340" s="625"/>
      <c r="AC340" s="614"/>
    </row>
    <row r="341" spans="12:29" x14ac:dyDescent="0.25">
      <c r="L341" s="640"/>
      <c r="M341" s="640"/>
      <c r="N341" s="640"/>
      <c r="O341" s="640"/>
      <c r="P341" s="640"/>
      <c r="Q341" s="640"/>
      <c r="T341" s="625"/>
      <c r="U341" s="625"/>
      <c r="AC341" s="614"/>
    </row>
    <row r="342" spans="12:29" x14ac:dyDescent="0.25">
      <c r="L342" s="640"/>
      <c r="M342" s="640"/>
      <c r="N342" s="640"/>
      <c r="O342" s="640"/>
      <c r="P342" s="640"/>
      <c r="Q342" s="640"/>
      <c r="T342" s="625"/>
      <c r="U342" s="625"/>
      <c r="AC342" s="614"/>
    </row>
    <row r="343" spans="12:29" x14ac:dyDescent="0.25">
      <c r="L343" s="640"/>
      <c r="M343" s="640"/>
      <c r="N343" s="640"/>
      <c r="O343" s="640"/>
      <c r="P343" s="640"/>
      <c r="Q343" s="640"/>
      <c r="T343" s="625"/>
      <c r="U343" s="625"/>
      <c r="AC343" s="614"/>
    </row>
    <row r="344" spans="12:29" x14ac:dyDescent="0.25">
      <c r="L344" s="640"/>
      <c r="M344" s="640"/>
      <c r="N344" s="640"/>
      <c r="O344" s="640"/>
      <c r="P344" s="640"/>
      <c r="Q344" s="640"/>
      <c r="T344" s="625"/>
      <c r="U344" s="625"/>
      <c r="AC344" s="614"/>
    </row>
    <row r="345" spans="12:29" x14ac:dyDescent="0.25">
      <c r="L345" s="640"/>
      <c r="M345" s="640"/>
      <c r="N345" s="640"/>
      <c r="O345" s="640"/>
      <c r="P345" s="640"/>
      <c r="Q345" s="640"/>
      <c r="T345" s="625"/>
      <c r="U345" s="625"/>
      <c r="AC345" s="614"/>
    </row>
  </sheetData>
  <mergeCells count="2">
    <mergeCell ref="B288:B289"/>
    <mergeCell ref="J288:O288"/>
  </mergeCells>
  <phoneticPr fontId="0" type="noConversion"/>
  <hyperlinks>
    <hyperlink ref="A39" location="'113 Town Mtg'!Print_Area" display="'113 Town Mtg'!Print_Area" xr:uid="{00000000-0004-0000-0800-000000000000}"/>
    <hyperlink ref="A40" location="'122 Selectboard'!Print_Area" display="'122 Selectboard'!Print_Area" xr:uid="{00000000-0004-0000-0800-000001000000}"/>
    <hyperlink ref="A41" location="'131 Fin Comm'!A1" display="'131 Fin Comm'!A1" xr:uid="{00000000-0004-0000-0800-000002000000}"/>
    <hyperlink ref="A42" location="'132 Reserve Fund'!A1" display="'132 Reserve Fund'!A1" xr:uid="{00000000-0004-0000-0800-000003000000}"/>
    <hyperlink ref="A43" location="'135 Acct'!A1" display="'135 Acct'!A1" xr:uid="{00000000-0004-0000-0800-000004000000}"/>
    <hyperlink ref="A44" location="'141 BOA'!A1" display="'141 BOA'!A1" xr:uid="{00000000-0004-0000-0800-000005000000}"/>
    <hyperlink ref="A45" location="'141 BOA'!A1" display="'141 BOA'!A1" xr:uid="{00000000-0004-0000-0800-000006000000}"/>
    <hyperlink ref="A46" location="'145 Treas'!A1" display="'145 Treas'!A1" xr:uid="{00000000-0004-0000-0800-000007000000}"/>
    <hyperlink ref="A47" location="'151 Counsel'!A1" display="'151 Counsel'!A1" xr:uid="{00000000-0004-0000-0800-000008000000}"/>
    <hyperlink ref="A48" location="'155 IT'!A1" display="'155 IT'!A1" xr:uid="{00000000-0004-0000-0800-000009000000}"/>
    <hyperlink ref="A49" location="'159 Shared Costs'!A1" display="'159 Shared Costs'!A1" xr:uid="{00000000-0004-0000-0800-00000A000000}"/>
    <hyperlink ref="A50" location="'161 Clerk'!A1" display="'161 Clerk'!A1" xr:uid="{00000000-0004-0000-0800-00000B000000}"/>
    <hyperlink ref="A51" location="'175 Planning'!A1" display="'175 Planning'!A1" xr:uid="{00000000-0004-0000-0800-00000C000000}"/>
    <hyperlink ref="A52" location="'176 ZBA'!A1" display="'176 ZBA'!A1" xr:uid="{00000000-0004-0000-0800-00000D000000}"/>
    <hyperlink ref="A54" location="'182 MEDIC'!A1" display="'182 MEDIC'!A1" xr:uid="{00000000-0004-0000-0800-00000E000000}"/>
    <hyperlink ref="A53" location="'190 Publ Bldg Utilities'!A1" display="'190 Publ Bldg Utilities'!A1" xr:uid="{00000000-0004-0000-0800-00000F000000}"/>
    <hyperlink ref="A59" location="'Working Budget with funding det'!A1" display="'Working Budget with funding det'!A1" xr:uid="{00000000-0004-0000-0800-000010000000}"/>
    <hyperlink ref="A60" location="'211 Police'!A1" display="'211 Police'!A1" xr:uid="{00000000-0004-0000-0800-000011000000}"/>
    <hyperlink ref="A61" location="'Working Budget with funding det'!A1" display="'Working Budget with funding det'!A1" xr:uid="{00000000-0004-0000-0800-000012000000}"/>
    <hyperlink ref="A62" location="'241 Bldg'!A1" display="'241 Bldg'!A1" xr:uid="{00000000-0004-0000-0800-000013000000}"/>
    <hyperlink ref="A63" location="'Working Budget with funding det'!A1" display="'Working Budget with funding det'!A1" xr:uid="{00000000-0004-0000-0800-000014000000}"/>
    <hyperlink ref="A64" location="'291 Emergency'!A1" display="'291 Emergency'!A1" xr:uid="{00000000-0004-0000-0800-000015000000}"/>
    <hyperlink ref="A65" location="'292 Animal'!A1" display="'292 Animal'!A1" xr:uid="{00000000-0004-0000-0800-000016000000}"/>
    <hyperlink ref="A67" location="'294 Forest Warden'!A1" display="'294 Forest Warden'!A1" xr:uid="{00000000-0004-0000-0800-000017000000}"/>
    <hyperlink ref="A68" location="'299 Tree Warden'!A1" display="'299 Tree Warden'!A1" xr:uid="{00000000-0004-0000-0800-000018000000}"/>
    <hyperlink ref="A73" location="'420 DPW'!A1" display="'420 DPW'!A1" xr:uid="{00000000-0004-0000-0800-000019000000}"/>
    <hyperlink ref="A75" location="'423 Snow'!A1" display="'423 Snow'!A1" xr:uid="{00000000-0004-0000-0800-00001A000000}"/>
    <hyperlink ref="A76" location="'433 Solid Waste'!A1" display="'433 Solid Waste'!A1" xr:uid="{00000000-0004-0000-0800-00001B000000}"/>
    <hyperlink ref="A78" location="'491 Cemetery'!A1" display="'491 Cemetery'!A1" xr:uid="{00000000-0004-0000-0800-00001C000000}"/>
    <hyperlink ref="A84" location="'511 BOH'!A1" display="'511 BOH'!A1" xr:uid="{00000000-0004-0000-0800-00001D000000}"/>
    <hyperlink ref="A85" location="'541 COA'!A1" display="'541 COA'!A1" xr:uid="{00000000-0004-0000-0800-00001E000000}"/>
    <hyperlink ref="A86" location="'543 Vets'!Print_Area" display="'543 Vets'!Print_Area" xr:uid="{00000000-0004-0000-0800-00001F000000}"/>
    <hyperlink ref="A91" location="'610 Library'!A1" display="'610 Library'!A1" xr:uid="{00000000-0004-0000-0800-000020000000}"/>
    <hyperlink ref="A92" location="'630 Recreation'!A1" display="'630 Recreation'!A1" xr:uid="{00000000-0004-0000-0800-000021000000}"/>
    <hyperlink ref="A93" location="'691 Historical Comm'!A1" display="'691 Historical Comm'!A1" xr:uid="{00000000-0004-0000-0800-000022000000}"/>
    <hyperlink ref="A94" location="'693 Memorials'!A1" display="'693 Memorials'!A1" xr:uid="{00000000-0004-0000-0800-000023000000}"/>
    <hyperlink ref="A99" location="'700 Debt '!A1" display="'700 Debt '!A1" xr:uid="{00000000-0004-0000-0800-000024000000}"/>
    <hyperlink ref="A102" location="'840 Intergovt'!A1" display="'840 Intergovt'!A1" xr:uid="{00000000-0004-0000-0800-000025000000}"/>
    <hyperlink ref="A105" location="'910 Benefits'!A1" display="'910 Benefits'!A1" xr:uid="{00000000-0004-0000-0800-000026000000}"/>
    <hyperlink ref="A106" location="'946 Insurance'!A1" display="'946 Insurance'!A1" xr:uid="{00000000-0004-0000-0800-000027000000}"/>
    <hyperlink ref="A114" location="'661 440 WPCF'!A1" display="'661 440 WPCF'!A1" xr:uid="{00000000-0004-0000-0800-000028000000}"/>
    <hyperlink ref="A116" location="'661 449 Hwy'!A1" display="'661 449 Hwy'!A1" xr:uid="{00000000-0004-0000-0800-000029000000}"/>
    <hyperlink ref="A118" location="'661 910 Benefits'!A1" display="'661 910 Benefits'!A1" xr:uid="{00000000-0004-0000-0800-00002A000000}"/>
    <hyperlink ref="A123" location="'600 482 Airport'!A1" display="'600 482 Airport'!A1" xr:uid="{00000000-0004-0000-0800-00002B000000}"/>
    <hyperlink ref="A129" location="'300 Schools'!A1" display="'300 Schools'!A1" xr:uid="{00000000-0004-0000-0800-00002C000000}"/>
    <hyperlink ref="B5" location="'Revenue Projections Detail'!A1" display="SOURCES" xr:uid="{00000000-0004-0000-0800-00002D000000}"/>
    <hyperlink ref="A1" location="'Table of Contents'!A1" display="TOC" xr:uid="{00000000-0004-0000-0800-00002E000000}"/>
    <hyperlink ref="A77" location="'480 Charging Stations'!A1" display="'480 Charging Stations'!A1" xr:uid="{00000000-0004-0000-0800-00002F000000}"/>
  </hyperlinks>
  <pageMargins left="0.7" right="0.7" top="0.75" bottom="0.75" header="0.3" footer="0.3"/>
  <pageSetup scale="45" fitToHeight="3" orientation="landscape" r:id="rId1"/>
  <headerFooter alignWithMargins="0">
    <oddFooter>&amp;L&amp;D  &amp;T&amp;C&amp;F&amp;R&amp;A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W51"/>
  <sheetViews>
    <sheetView zoomScale="75" zoomScaleNormal="75" workbookViewId="0">
      <pane xSplit="1" ySplit="3" topLeftCell="B9" activePane="bottomRight" state="frozen"/>
      <selection pane="topRight" activeCell="C81" activeCellId="2" sqref="A11 K81 C81"/>
      <selection pane="bottomLeft" activeCell="C81" activeCellId="2" sqref="A11 K81 C81"/>
      <selection pane="bottomRight" activeCell="A28" sqref="A28:B28"/>
    </sheetView>
  </sheetViews>
  <sheetFormatPr defaultRowHeight="13.2" x14ac:dyDescent="0.25"/>
  <cols>
    <col min="1" max="1" width="37.33203125" style="606" customWidth="1"/>
    <col min="2" max="2" width="15.77734375" style="771" customWidth="1"/>
    <col min="3" max="3" width="11.44140625" style="771" customWidth="1"/>
    <col min="4" max="4" width="13" style="775" customWidth="1"/>
    <col min="5" max="5" width="13.109375" style="775" customWidth="1"/>
    <col min="6" max="6" width="11.44140625" style="775" customWidth="1"/>
    <col min="7" max="7" width="10.6640625" style="775" customWidth="1"/>
    <col min="8" max="8" width="12.109375" style="775" hidden="1" customWidth="1"/>
    <col min="9" max="9" width="13.44140625" style="775" bestFit="1" customWidth="1"/>
    <col min="10" max="11" width="13.44140625" style="775" customWidth="1"/>
    <col min="12" max="12" width="12.109375" style="775" customWidth="1"/>
    <col min="13" max="13" width="10" style="775" customWidth="1"/>
    <col min="14" max="14" width="10.33203125" style="775" customWidth="1"/>
    <col min="15" max="15" width="12" style="775" customWidth="1"/>
    <col min="16" max="16" width="11.109375" style="775" hidden="1" customWidth="1"/>
    <col min="17" max="18" width="10.77734375" style="775" hidden="1" customWidth="1"/>
    <col min="19" max="19" width="11.44140625" style="771" hidden="1" customWidth="1"/>
    <col min="20" max="20" width="11.77734375" style="606" bestFit="1" customWidth="1"/>
    <col min="21" max="23" width="9.33203125" style="606"/>
  </cols>
  <sheetData>
    <row r="1" spans="1:21" x14ac:dyDescent="0.25">
      <c r="A1" s="607"/>
      <c r="D1" s="772"/>
      <c r="E1" s="772"/>
      <c r="F1" s="772"/>
      <c r="G1" s="772" t="s">
        <v>129</v>
      </c>
      <c r="H1" s="772" t="s">
        <v>2003</v>
      </c>
      <c r="I1" s="773" t="s">
        <v>678</v>
      </c>
      <c r="J1" s="773" t="s">
        <v>478</v>
      </c>
      <c r="K1" s="773" t="s">
        <v>201</v>
      </c>
      <c r="L1" s="773" t="s">
        <v>329</v>
      </c>
      <c r="M1" s="772" t="s">
        <v>575</v>
      </c>
      <c r="N1" s="772" t="s">
        <v>477</v>
      </c>
      <c r="O1" s="772" t="s">
        <v>2001</v>
      </c>
      <c r="P1" s="772" t="s">
        <v>680</v>
      </c>
      <c r="Q1" s="772" t="s">
        <v>131</v>
      </c>
      <c r="R1" s="772" t="s">
        <v>681</v>
      </c>
      <c r="S1" s="771" t="s">
        <v>682</v>
      </c>
      <c r="T1" s="1316" t="s">
        <v>2521</v>
      </c>
      <c r="U1" s="1316" t="s">
        <v>329</v>
      </c>
    </row>
    <row r="2" spans="1:21" x14ac:dyDescent="0.25">
      <c r="B2" s="774" t="s">
        <v>190</v>
      </c>
      <c r="C2" s="774" t="s">
        <v>683</v>
      </c>
      <c r="D2" s="772" t="s">
        <v>474</v>
      </c>
      <c r="E2" s="772" t="s">
        <v>478</v>
      </c>
      <c r="F2" s="772" t="s">
        <v>131</v>
      </c>
      <c r="G2" s="772" t="s">
        <v>684</v>
      </c>
      <c r="H2" s="772" t="s">
        <v>2004</v>
      </c>
      <c r="I2" s="773" t="s">
        <v>685</v>
      </c>
      <c r="J2" s="773" t="s">
        <v>2002</v>
      </c>
      <c r="K2" s="773" t="s">
        <v>1999</v>
      </c>
      <c r="L2" s="773" t="s">
        <v>2000</v>
      </c>
      <c r="M2" s="772" t="s">
        <v>687</v>
      </c>
      <c r="N2" s="772" t="s">
        <v>687</v>
      </c>
      <c r="O2" s="772" t="s">
        <v>686</v>
      </c>
      <c r="P2" s="772" t="s">
        <v>688</v>
      </c>
      <c r="Q2" s="772" t="s">
        <v>688</v>
      </c>
      <c r="R2" s="772" t="s">
        <v>689</v>
      </c>
      <c r="S2" s="771" t="s">
        <v>476</v>
      </c>
      <c r="T2" s="1316" t="s">
        <v>1883</v>
      </c>
      <c r="U2" s="1316" t="s">
        <v>1883</v>
      </c>
    </row>
    <row r="3" spans="1:21" x14ac:dyDescent="0.25">
      <c r="A3" s="606" t="s">
        <v>475</v>
      </c>
      <c r="B3" s="774" t="s">
        <v>690</v>
      </c>
      <c r="C3" s="774"/>
      <c r="D3" s="775">
        <f>+'Working Budget with funding det'!R6+'Working Budget with funding det'!R7+'Working Budget with funding det'!R8+'Working Budget with funding det'!T12</f>
        <v>26234251.579999998</v>
      </c>
      <c r="E3" s="775">
        <f>+'Working Budget with funding det'!T28</f>
        <v>2759825</v>
      </c>
      <c r="F3" s="775">
        <f>+'Working Budget with funding det'!T29</f>
        <v>286043</v>
      </c>
      <c r="G3" s="794">
        <v>467469</v>
      </c>
      <c r="H3" s="794"/>
      <c r="I3" s="1012">
        <v>497041</v>
      </c>
      <c r="J3" s="1012">
        <v>140134</v>
      </c>
      <c r="K3" s="1012">
        <v>487</v>
      </c>
      <c r="L3" s="1012">
        <v>2666353</v>
      </c>
      <c r="M3" s="1012">
        <v>294816</v>
      </c>
      <c r="N3" s="1012">
        <v>131085</v>
      </c>
      <c r="O3" s="1012">
        <v>262668</v>
      </c>
      <c r="P3" s="794">
        <v>39216</v>
      </c>
      <c r="Q3" s="776">
        <v>0</v>
      </c>
      <c r="R3" s="1012">
        <v>502446</v>
      </c>
      <c r="S3" s="776">
        <v>1146940</v>
      </c>
    </row>
    <row r="4" spans="1:21" x14ac:dyDescent="0.25">
      <c r="B4" s="774"/>
      <c r="C4" s="774"/>
      <c r="I4" s="776"/>
      <c r="J4" s="776"/>
      <c r="K4" s="776"/>
      <c r="L4" s="776"/>
      <c r="M4" s="776"/>
      <c r="N4" s="776"/>
      <c r="O4" s="776"/>
      <c r="P4" s="776"/>
      <c r="Q4" s="776"/>
      <c r="R4" s="776"/>
    </row>
    <row r="5" spans="1:21" x14ac:dyDescent="0.25">
      <c r="A5" s="606" t="s">
        <v>691</v>
      </c>
      <c r="B5" s="771">
        <f>+'Working Budget with funding det'!T110</f>
        <v>12409728</v>
      </c>
      <c r="C5" s="957">
        <f t="shared" ref="C5:C10" si="0">ROUND((+B5/$B$43),4)</f>
        <v>0.4042</v>
      </c>
      <c r="D5" s="775">
        <f t="shared" ref="D5:D10" si="1">+B5-SUM(E5:Q5)</f>
        <v>12409241</v>
      </c>
      <c r="K5" s="775">
        <f>+'Working Budget with funding det'!T13</f>
        <v>487</v>
      </c>
      <c r="S5" s="771">
        <f t="shared" ref="S5:S10" si="2">SUM(D5:Q5)-B5</f>
        <v>0</v>
      </c>
    </row>
    <row r="6" spans="1:21" x14ac:dyDescent="0.25">
      <c r="A6" s="606" t="s">
        <v>2141</v>
      </c>
      <c r="B6" s="771">
        <f>+'Working Budget with funding det'!T120</f>
        <v>3119324</v>
      </c>
      <c r="C6" s="957">
        <f t="shared" si="0"/>
        <v>0.1016</v>
      </c>
      <c r="D6" s="775">
        <f t="shared" si="1"/>
        <v>359499</v>
      </c>
      <c r="E6" s="775">
        <f>+'Working Budget with funding det'!AA120</f>
        <v>2759825</v>
      </c>
      <c r="S6" s="771">
        <f t="shared" si="2"/>
        <v>0</v>
      </c>
    </row>
    <row r="7" spans="1:21" x14ac:dyDescent="0.25">
      <c r="A7" s="606" t="s">
        <v>692</v>
      </c>
      <c r="B7" s="771">
        <f>+'Working Budget with funding det'!T262</f>
        <v>52250</v>
      </c>
      <c r="C7" s="957">
        <f t="shared" si="0"/>
        <v>1.6999999999999999E-3</v>
      </c>
      <c r="D7" s="775">
        <f t="shared" si="1"/>
        <v>0</v>
      </c>
      <c r="G7" s="775">
        <f>+'Working Budget with funding det'!W15</f>
        <v>52250</v>
      </c>
      <c r="S7" s="771">
        <f t="shared" si="2"/>
        <v>0</v>
      </c>
    </row>
    <row r="8" spans="1:21" x14ac:dyDescent="0.25">
      <c r="A8" s="606" t="s">
        <v>693</v>
      </c>
      <c r="B8" s="771">
        <f>+'Working Budget with funding det'!T127</f>
        <v>419677</v>
      </c>
      <c r="C8" s="957">
        <f t="shared" si="0"/>
        <v>1.37E-2</v>
      </c>
      <c r="D8" s="775">
        <f t="shared" si="1"/>
        <v>133634</v>
      </c>
      <c r="F8" s="775">
        <f>+'Working Budget with funding det'!AB127</f>
        <v>286043</v>
      </c>
      <c r="S8" s="771">
        <f t="shared" si="2"/>
        <v>0</v>
      </c>
    </row>
    <row r="9" spans="1:21" x14ac:dyDescent="0.25">
      <c r="A9" s="606" t="s">
        <v>694</v>
      </c>
      <c r="B9" s="771">
        <f>+'Working Budget with funding det'!T130</f>
        <v>837356</v>
      </c>
      <c r="C9" s="957">
        <f t="shared" si="0"/>
        <v>2.7300000000000001E-2</v>
      </c>
      <c r="D9" s="775">
        <f t="shared" si="1"/>
        <v>837356</v>
      </c>
      <c r="M9" s="777"/>
      <c r="S9" s="771">
        <f t="shared" si="2"/>
        <v>0</v>
      </c>
    </row>
    <row r="10" spans="1:21" x14ac:dyDescent="0.25">
      <c r="A10" s="606" t="s">
        <v>695</v>
      </c>
      <c r="B10" s="771">
        <f>+'Working Budget with funding det'!T131</f>
        <v>12143442</v>
      </c>
      <c r="C10" s="957">
        <f t="shared" si="0"/>
        <v>0.39550000000000002</v>
      </c>
      <c r="D10" s="775">
        <f t="shared" si="1"/>
        <v>12143442</v>
      </c>
      <c r="S10" s="771">
        <f t="shared" si="2"/>
        <v>0</v>
      </c>
    </row>
    <row r="12" spans="1:21" x14ac:dyDescent="0.25">
      <c r="A12" s="606" t="s">
        <v>696</v>
      </c>
      <c r="B12" s="778">
        <f t="shared" ref="B12:Q12" si="3">SUM(B5:B11)</f>
        <v>28981777</v>
      </c>
      <c r="C12" s="778"/>
      <c r="D12" s="778">
        <f t="shared" si="3"/>
        <v>25883172</v>
      </c>
      <c r="E12" s="778">
        <f t="shared" si="3"/>
        <v>2759825</v>
      </c>
      <c r="F12" s="778">
        <f t="shared" si="3"/>
        <v>286043</v>
      </c>
      <c r="G12" s="778">
        <f t="shared" si="3"/>
        <v>52250</v>
      </c>
      <c r="H12" s="778">
        <f t="shared" ref="H12" si="4">SUM(H5:H11)</f>
        <v>0</v>
      </c>
      <c r="I12" s="778">
        <f t="shared" si="3"/>
        <v>0</v>
      </c>
      <c r="J12" s="778">
        <f t="shared" ref="J12" si="5">SUM(J5:J11)</f>
        <v>0</v>
      </c>
      <c r="K12" s="778">
        <f t="shared" ref="K12" si="6">SUM(K5:K11)</f>
        <v>487</v>
      </c>
      <c r="L12" s="778">
        <f t="shared" ref="L12" si="7">SUM(L5:L11)</f>
        <v>0</v>
      </c>
      <c r="M12" s="778">
        <f t="shared" si="3"/>
        <v>0</v>
      </c>
      <c r="N12" s="778">
        <f t="shared" si="3"/>
        <v>0</v>
      </c>
      <c r="O12" s="778">
        <f t="shared" si="3"/>
        <v>0</v>
      </c>
      <c r="P12" s="778">
        <f t="shared" si="3"/>
        <v>0</v>
      </c>
      <c r="Q12" s="778">
        <f t="shared" si="3"/>
        <v>0</v>
      </c>
      <c r="R12" s="778">
        <f t="shared" ref="R12" si="8">SUM(R5:R11)</f>
        <v>0</v>
      </c>
      <c r="S12" s="778">
        <f t="shared" ref="S12" si="9">SUM(S5:S11)</f>
        <v>0</v>
      </c>
    </row>
    <row r="13" spans="1:21" x14ac:dyDescent="0.25">
      <c r="A13" s="606" t="s">
        <v>697</v>
      </c>
      <c r="D13" s="775">
        <f t="shared" ref="D13:S13" si="10">+D3-D12</f>
        <v>351079.57999999821</v>
      </c>
      <c r="E13" s="775">
        <f t="shared" si="10"/>
        <v>0</v>
      </c>
      <c r="F13" s="775">
        <f t="shared" si="10"/>
        <v>0</v>
      </c>
      <c r="G13" s="775">
        <f t="shared" si="10"/>
        <v>415219</v>
      </c>
      <c r="H13" s="775">
        <f t="shared" ref="H13" si="11">+H3-H12</f>
        <v>0</v>
      </c>
      <c r="I13" s="775">
        <f t="shared" si="10"/>
        <v>497041</v>
      </c>
      <c r="J13" s="775">
        <f t="shared" ref="J13" si="12">+J3-J12</f>
        <v>140134</v>
      </c>
      <c r="K13" s="775">
        <f t="shared" ref="K13" si="13">+K3-K12</f>
        <v>0</v>
      </c>
      <c r="L13" s="775">
        <f t="shared" ref="L13" si="14">+L3-L12</f>
        <v>2666353</v>
      </c>
      <c r="M13" s="775">
        <f t="shared" si="10"/>
        <v>294816</v>
      </c>
      <c r="N13" s="775">
        <f t="shared" si="10"/>
        <v>131085</v>
      </c>
      <c r="O13" s="775">
        <f t="shared" si="10"/>
        <v>262668</v>
      </c>
      <c r="P13" s="775">
        <f t="shared" si="10"/>
        <v>39216</v>
      </c>
      <c r="Q13" s="775">
        <f t="shared" si="10"/>
        <v>0</v>
      </c>
      <c r="R13" s="775">
        <f t="shared" ref="R13" si="15">+R3-R12</f>
        <v>502446</v>
      </c>
      <c r="S13" s="775">
        <f t="shared" si="10"/>
        <v>1146940</v>
      </c>
    </row>
    <row r="14" spans="1:21" x14ac:dyDescent="0.25">
      <c r="S14" s="775"/>
    </row>
    <row r="15" spans="1:21" x14ac:dyDescent="0.25">
      <c r="A15" s="606" t="s">
        <v>698</v>
      </c>
      <c r="B15" s="771">
        <f>+'Working Budget with funding det'!T150</f>
        <v>34323</v>
      </c>
      <c r="C15" s="957">
        <f>ROUND((+B15/$B$43),4)</f>
        <v>1.1000000000000001E-3</v>
      </c>
      <c r="D15" s="775">
        <f>+B15</f>
        <v>34323</v>
      </c>
      <c r="S15" s="775"/>
    </row>
    <row r="16" spans="1:21" x14ac:dyDescent="0.25">
      <c r="A16" s="606" t="s">
        <v>1998</v>
      </c>
      <c r="B16" s="771">
        <f>+'Working Budget with funding det'!T147</f>
        <v>0</v>
      </c>
      <c r="C16" s="957"/>
      <c r="D16" s="771">
        <f>+'Working Budget with funding det'!U147</f>
        <v>0</v>
      </c>
      <c r="S16" s="775"/>
    </row>
    <row r="17" spans="1:21" x14ac:dyDescent="0.25">
      <c r="A17" s="606" t="s">
        <v>699</v>
      </c>
      <c r="B17" s="771">
        <f>+'Working Budget with funding det'!T146+'Working Budget with funding det'!T151+'Working Budget with funding det'!T152</f>
        <v>119653</v>
      </c>
      <c r="C17" s="957">
        <f>ROUND((+B17/$B$43),4)</f>
        <v>3.8999999999999998E-3</v>
      </c>
      <c r="D17" s="775">
        <f>+B17-SUM(E17:Q17)</f>
        <v>119653</v>
      </c>
      <c r="S17" s="775"/>
    </row>
    <row r="18" spans="1:21" x14ac:dyDescent="0.25">
      <c r="A18" s="606" t="s">
        <v>700</v>
      </c>
      <c r="B18" s="771">
        <f>+'Working Budget with funding det'!T144</f>
        <v>50000</v>
      </c>
      <c r="C18" s="957">
        <f>ROUND((+B18/$B$43),4)</f>
        <v>1.6000000000000001E-3</v>
      </c>
      <c r="D18" s="775">
        <f>+B18-SUM(E18:Q18)</f>
        <v>50000</v>
      </c>
      <c r="I18" s="777">
        <v>0</v>
      </c>
      <c r="J18" s="777"/>
      <c r="K18" s="777"/>
      <c r="S18" s="775"/>
    </row>
    <row r="19" spans="1:21" x14ac:dyDescent="0.25">
      <c r="A19" s="606" t="s">
        <v>701</v>
      </c>
      <c r="B19" s="771">
        <f>+'Working Budget with funding det'!S149</f>
        <v>0</v>
      </c>
      <c r="C19" s="957">
        <f>ROUND((+B19/$B$43),4)</f>
        <v>0</v>
      </c>
      <c r="D19" s="777">
        <f>+B19-SUM(E19:Q19)</f>
        <v>0</v>
      </c>
      <c r="E19" s="777"/>
      <c r="F19" s="777"/>
      <c r="G19" s="777"/>
      <c r="H19" s="777"/>
      <c r="I19" s="777"/>
      <c r="J19" s="777"/>
      <c r="K19" s="777"/>
      <c r="L19" s="777"/>
      <c r="M19" s="777"/>
      <c r="N19" s="777"/>
      <c r="O19" s="777"/>
      <c r="P19" s="777"/>
      <c r="Q19" s="777"/>
      <c r="R19" s="777"/>
      <c r="S19" s="777"/>
    </row>
    <row r="20" spans="1:21" x14ac:dyDescent="0.25">
      <c r="S20" s="775"/>
    </row>
    <row r="21" spans="1:21" x14ac:dyDescent="0.25">
      <c r="A21" s="606" t="s">
        <v>702</v>
      </c>
      <c r="B21" s="778">
        <f>SUM(B12:B20)</f>
        <v>29185753</v>
      </c>
      <c r="C21" s="778"/>
      <c r="D21" s="778">
        <f t="shared" ref="D21:S21" si="16">SUM(D15:D20)+D12</f>
        <v>26087148</v>
      </c>
      <c r="E21" s="778">
        <f t="shared" si="16"/>
        <v>2759825</v>
      </c>
      <c r="F21" s="778">
        <f t="shared" si="16"/>
        <v>286043</v>
      </c>
      <c r="G21" s="778">
        <f t="shared" si="16"/>
        <v>52250</v>
      </c>
      <c r="H21" s="778">
        <f t="shared" ref="H21" si="17">SUM(H15:H20)+H12</f>
        <v>0</v>
      </c>
      <c r="I21" s="778">
        <f t="shared" si="16"/>
        <v>0</v>
      </c>
      <c r="J21" s="778">
        <f t="shared" ref="J21" si="18">SUM(J15:J20)+J12</f>
        <v>0</v>
      </c>
      <c r="K21" s="778">
        <f t="shared" ref="K21" si="19">SUM(K15:K20)+K12</f>
        <v>487</v>
      </c>
      <c r="L21" s="778">
        <f t="shared" ref="L21" si="20">SUM(L15:L20)+L12</f>
        <v>0</v>
      </c>
      <c r="M21" s="778">
        <f t="shared" si="16"/>
        <v>0</v>
      </c>
      <c r="N21" s="778">
        <f t="shared" si="16"/>
        <v>0</v>
      </c>
      <c r="O21" s="778">
        <f t="shared" si="16"/>
        <v>0</v>
      </c>
      <c r="P21" s="778">
        <f t="shared" si="16"/>
        <v>0</v>
      </c>
      <c r="Q21" s="778">
        <f t="shared" si="16"/>
        <v>0</v>
      </c>
      <c r="R21" s="778">
        <f t="shared" si="16"/>
        <v>0</v>
      </c>
      <c r="S21" s="778">
        <f t="shared" si="16"/>
        <v>0</v>
      </c>
      <c r="T21" s="778">
        <f t="shared" ref="T21:U21" si="21">SUM(T15:T20)+T12</f>
        <v>0</v>
      </c>
      <c r="U21" s="778">
        <f t="shared" si="21"/>
        <v>0</v>
      </c>
    </row>
    <row r="22" spans="1:21" x14ac:dyDescent="0.25">
      <c r="A22" s="606" t="s">
        <v>697</v>
      </c>
      <c r="D22" s="775">
        <f t="shared" ref="D22:S22" si="22">+D3-D21</f>
        <v>147103.57999999821</v>
      </c>
      <c r="E22" s="775">
        <f t="shared" si="22"/>
        <v>0</v>
      </c>
      <c r="F22" s="775">
        <f t="shared" si="22"/>
        <v>0</v>
      </c>
      <c r="G22" s="775">
        <f t="shared" si="22"/>
        <v>415219</v>
      </c>
      <c r="H22" s="775">
        <f t="shared" ref="H22" si="23">+H3-H21</f>
        <v>0</v>
      </c>
      <c r="I22" s="775">
        <f t="shared" si="22"/>
        <v>497041</v>
      </c>
      <c r="J22" s="775">
        <f t="shared" ref="J22" si="24">+J3-J21</f>
        <v>140134</v>
      </c>
      <c r="K22" s="775">
        <f t="shared" ref="K22" si="25">+K3-K21</f>
        <v>0</v>
      </c>
      <c r="L22" s="775">
        <f t="shared" ref="L22" si="26">+L3-L21</f>
        <v>2666353</v>
      </c>
      <c r="M22" s="775">
        <f t="shared" si="22"/>
        <v>294816</v>
      </c>
      <c r="N22" s="775">
        <f t="shared" si="22"/>
        <v>131085</v>
      </c>
      <c r="O22" s="775">
        <f t="shared" si="22"/>
        <v>262668</v>
      </c>
      <c r="P22" s="775">
        <f t="shared" si="22"/>
        <v>39216</v>
      </c>
      <c r="Q22" s="775">
        <f t="shared" si="22"/>
        <v>0</v>
      </c>
      <c r="R22" s="775">
        <f t="shared" si="22"/>
        <v>502446</v>
      </c>
      <c r="S22" s="775">
        <f t="shared" si="22"/>
        <v>1146940</v>
      </c>
      <c r="T22" s="775">
        <f t="shared" ref="T22:U22" si="27">+T3-T21</f>
        <v>0</v>
      </c>
      <c r="U22" s="775">
        <f t="shared" si="27"/>
        <v>0</v>
      </c>
    </row>
    <row r="23" spans="1:21" x14ac:dyDescent="0.25">
      <c r="S23" s="775"/>
    </row>
    <row r="24" spans="1:21" x14ac:dyDescent="0.25">
      <c r="C24" s="957"/>
      <c r="D24" s="777"/>
      <c r="E24" s="777"/>
      <c r="F24" s="777"/>
      <c r="G24" s="777"/>
      <c r="H24" s="777"/>
      <c r="I24" s="777"/>
      <c r="J24" s="777"/>
      <c r="K24" s="777"/>
      <c r="L24" s="777"/>
      <c r="M24" s="777"/>
      <c r="N24" s="777"/>
      <c r="S24" s="775"/>
    </row>
    <row r="25" spans="1:21" x14ac:dyDescent="0.25">
      <c r="A25" s="606" t="str">
        <f>+'Working Budget with funding det'!B158</f>
        <v>Add to Conservation Fund</v>
      </c>
      <c r="B25" s="771">
        <f>+'Working Budget with funding det'!T158</f>
        <v>10000</v>
      </c>
      <c r="C25" s="957">
        <f>ROUND((+B25/$B$43),4)</f>
        <v>2.9999999999999997E-4</v>
      </c>
      <c r="D25" s="777">
        <f>+B25</f>
        <v>10000</v>
      </c>
      <c r="E25" s="777"/>
      <c r="F25" s="777"/>
      <c r="G25" s="777"/>
      <c r="H25" s="777"/>
      <c r="I25" s="777"/>
      <c r="J25" s="777"/>
      <c r="K25" s="777"/>
      <c r="L25" s="777"/>
      <c r="M25" s="777"/>
      <c r="N25" s="777"/>
      <c r="S25" s="775"/>
    </row>
    <row r="26" spans="1:21" x14ac:dyDescent="0.25">
      <c r="A26" s="606" t="str">
        <f>+'Working Budget with funding det'!B172</f>
        <v xml:space="preserve">DPW Discretionary </v>
      </c>
      <c r="B26" s="771">
        <f>+'Working Budget with funding det'!T172</f>
        <v>64218</v>
      </c>
      <c r="C26" s="957">
        <f>ROUND((+B26/$B$43),4)</f>
        <v>2.0999999999999999E-3</v>
      </c>
      <c r="D26" s="777">
        <f>+B26-SUM(E33:Q33)</f>
        <v>-85782</v>
      </c>
      <c r="E26" s="777"/>
      <c r="F26" s="777"/>
      <c r="G26" s="777"/>
      <c r="H26" s="777"/>
      <c r="I26" s="777"/>
      <c r="J26" s="777"/>
      <c r="K26" s="777"/>
      <c r="L26" s="777"/>
      <c r="M26" s="777"/>
      <c r="N26" s="777"/>
      <c r="S26" s="775"/>
    </row>
    <row r="27" spans="1:21" x14ac:dyDescent="0.25">
      <c r="A27" s="606" t="str">
        <f>+'Working Budget with funding det'!B173</f>
        <v>Replace 10 ton trailer</v>
      </c>
      <c r="B27" s="771">
        <f>+'Working Budget with funding det'!T173</f>
        <v>40402</v>
      </c>
      <c r="C27" s="957">
        <f t="shared" ref="C27:C38" si="28">ROUND((+B27/$B$43),4)</f>
        <v>1.2999999999999999E-3</v>
      </c>
      <c r="E27" s="777"/>
      <c r="F27" s="777"/>
      <c r="G27" s="777"/>
      <c r="H27" s="777"/>
      <c r="I27" s="777">
        <f>+B27</f>
        <v>40402</v>
      </c>
      <c r="J27" s="777"/>
      <c r="K27" s="777"/>
      <c r="L27" s="777"/>
      <c r="M27" s="777"/>
      <c r="N27" s="777"/>
      <c r="S27" s="775"/>
    </row>
    <row r="28" spans="1:21" x14ac:dyDescent="0.25">
      <c r="A28" s="606" t="str">
        <f>+'Working Budget with funding det'!B174</f>
        <v>10 Wheel Dump Truck</v>
      </c>
      <c r="B28" s="771">
        <f>+'Working Budget with funding det'!T174</f>
        <v>365000</v>
      </c>
      <c r="C28" s="957">
        <f t="shared" si="28"/>
        <v>1.1900000000000001E-2</v>
      </c>
      <c r="D28" s="777"/>
      <c r="E28" s="777"/>
      <c r="F28" s="777"/>
      <c r="G28" s="777"/>
      <c r="H28" s="777"/>
      <c r="I28" s="777">
        <f>+B28</f>
        <v>365000</v>
      </c>
      <c r="J28" s="777"/>
      <c r="K28" s="777"/>
      <c r="L28" s="777"/>
      <c r="M28" s="777"/>
      <c r="N28" s="777"/>
      <c r="S28" s="775"/>
    </row>
    <row r="29" spans="1:21" x14ac:dyDescent="0.25">
      <c r="C29" s="957">
        <f t="shared" si="28"/>
        <v>0</v>
      </c>
      <c r="D29" s="777"/>
      <c r="E29" s="777"/>
      <c r="F29" s="777"/>
      <c r="G29" s="777"/>
      <c r="H29" s="777"/>
      <c r="I29" s="777"/>
      <c r="J29" s="777"/>
      <c r="K29" s="777"/>
      <c r="L29" s="777">
        <f>+B29</f>
        <v>0</v>
      </c>
      <c r="M29" s="777"/>
      <c r="N29" s="777"/>
      <c r="S29" s="775"/>
    </row>
    <row r="30" spans="1:21" x14ac:dyDescent="0.25">
      <c r="A30" s="606" t="str">
        <f>+'Working Budget with funding det'!B175</f>
        <v>Town Hall Parking Lot Rehab</v>
      </c>
      <c r="B30" s="771">
        <f>+'Working Budget with funding det'!T175</f>
        <v>296000</v>
      </c>
      <c r="C30" s="957">
        <f t="shared" si="28"/>
        <v>9.5999999999999992E-3</v>
      </c>
      <c r="D30" s="777"/>
      <c r="E30" s="777"/>
      <c r="F30" s="777"/>
      <c r="G30" s="777"/>
      <c r="H30" s="777"/>
      <c r="I30" s="777"/>
      <c r="J30" s="777"/>
      <c r="K30" s="777"/>
      <c r="L30" s="777">
        <f t="shared" ref="L30:L34" si="29">+B30</f>
        <v>296000</v>
      </c>
      <c r="M30" s="777"/>
      <c r="N30" s="777"/>
      <c r="S30" s="775"/>
    </row>
    <row r="31" spans="1:21" x14ac:dyDescent="0.25">
      <c r="A31" s="606" t="str">
        <f>+'Working Budget with funding det'!B182</f>
        <v>Repave 1st Street Alley</v>
      </c>
      <c r="B31" s="771">
        <f>+'Working Budget with funding det'!T182</f>
        <v>30000</v>
      </c>
      <c r="C31" s="957">
        <f t="shared" si="28"/>
        <v>1E-3</v>
      </c>
      <c r="D31" s="777"/>
      <c r="E31" s="777"/>
      <c r="F31" s="777"/>
      <c r="G31" s="777"/>
      <c r="H31" s="777"/>
      <c r="I31" s="777"/>
      <c r="J31" s="777"/>
      <c r="K31" s="777"/>
      <c r="L31" s="777">
        <f t="shared" si="29"/>
        <v>30000</v>
      </c>
      <c r="M31" s="777"/>
      <c r="N31" s="777"/>
      <c r="S31" s="775"/>
    </row>
    <row r="32" spans="1:21" x14ac:dyDescent="0.25">
      <c r="A32" s="606" t="str">
        <f>+'Working Budget with funding det'!B183</f>
        <v>Sewer pipe + manhole relining</v>
      </c>
      <c r="B32" s="771">
        <f>+'Working Budget with funding det'!T183</f>
        <v>78500</v>
      </c>
      <c r="C32" s="957">
        <f t="shared" si="28"/>
        <v>2.5999999999999999E-3</v>
      </c>
      <c r="D32" s="777"/>
      <c r="E32" s="777"/>
      <c r="F32" s="777"/>
      <c r="G32" s="777"/>
      <c r="H32" s="777"/>
      <c r="I32" s="777"/>
      <c r="J32" s="777"/>
      <c r="K32" s="777"/>
      <c r="L32" s="777">
        <f t="shared" si="29"/>
        <v>78500</v>
      </c>
      <c r="M32" s="777"/>
      <c r="N32" s="777"/>
      <c r="S32" s="775"/>
    </row>
    <row r="33" spans="1:21" x14ac:dyDescent="0.25">
      <c r="A33" s="606" t="str">
        <f>+'Working Budget with funding det'!B184</f>
        <v>New Main Branch Library Feasibility Study</v>
      </c>
      <c r="B33" s="771">
        <f>+'Working Budget with funding det'!T184</f>
        <v>150000</v>
      </c>
      <c r="C33" s="957">
        <f t="shared" si="28"/>
        <v>4.8999999999999998E-3</v>
      </c>
      <c r="E33" s="777"/>
      <c r="F33" s="777"/>
      <c r="G33" s="777"/>
      <c r="H33" s="777"/>
      <c r="I33" s="777"/>
      <c r="J33" s="777"/>
      <c r="K33" s="777"/>
      <c r="L33" s="777">
        <f t="shared" si="29"/>
        <v>150000</v>
      </c>
      <c r="M33" s="777"/>
      <c r="N33" s="777"/>
      <c r="S33" s="775"/>
    </row>
    <row r="34" spans="1:21" x14ac:dyDescent="0.25">
      <c r="A34" s="606" t="str">
        <f>+'Working Budget with funding det'!B185</f>
        <v>Strathmore Building Security</v>
      </c>
      <c r="B34" s="771">
        <f>+'Working Budget with funding det'!T185</f>
        <v>0</v>
      </c>
      <c r="C34" s="957">
        <f t="shared" si="28"/>
        <v>0</v>
      </c>
      <c r="D34" s="777"/>
      <c r="E34" s="777"/>
      <c r="F34" s="777"/>
      <c r="G34" s="777"/>
      <c r="H34" s="777"/>
      <c r="I34" s="777"/>
      <c r="J34" s="777"/>
      <c r="K34" s="777"/>
      <c r="L34" s="777">
        <f t="shared" si="29"/>
        <v>0</v>
      </c>
      <c r="M34" s="777"/>
      <c r="N34" s="777"/>
      <c r="S34" s="775"/>
    </row>
    <row r="35" spans="1:21" x14ac:dyDescent="0.25">
      <c r="A35" s="606" t="str">
        <f>+'Working Budget with funding det'!B186</f>
        <v>Hillcrest Paving and Sidewalks</v>
      </c>
      <c r="B35" s="771">
        <f>+'Working Budget with funding det'!T186</f>
        <v>175500</v>
      </c>
      <c r="C35" s="957">
        <f t="shared" si="28"/>
        <v>5.7000000000000002E-3</v>
      </c>
      <c r="D35" s="777"/>
      <c r="E35" s="777"/>
      <c r="F35" s="777"/>
      <c r="G35" s="777"/>
      <c r="H35" s="777"/>
      <c r="I35" s="777"/>
      <c r="J35" s="777"/>
      <c r="K35" s="777"/>
      <c r="L35" s="777">
        <f>+B35</f>
        <v>175500</v>
      </c>
      <c r="M35" s="777"/>
      <c r="N35" s="777"/>
      <c r="S35" s="775"/>
    </row>
    <row r="36" spans="1:21" x14ac:dyDescent="0.25">
      <c r="A36" s="606" t="str">
        <f>+'Working Budget with funding det'!B187</f>
        <v>Sheffield Main Office Reconfiguration</v>
      </c>
      <c r="B36" s="771">
        <f>+'Working Budget with funding det'!T187</f>
        <v>24000</v>
      </c>
      <c r="C36" s="957">
        <f t="shared" si="28"/>
        <v>8.0000000000000004E-4</v>
      </c>
      <c r="D36" s="777"/>
      <c r="E36" s="777"/>
      <c r="F36" s="777"/>
      <c r="G36" s="777"/>
      <c r="H36" s="777"/>
      <c r="I36" s="777"/>
      <c r="J36" s="777"/>
      <c r="K36" s="777"/>
      <c r="L36" s="777"/>
      <c r="M36" s="777"/>
      <c r="N36" s="777">
        <f>+B36</f>
        <v>24000</v>
      </c>
      <c r="S36" s="775"/>
    </row>
    <row r="37" spans="1:21" x14ac:dyDescent="0.25">
      <c r="A37" s="606" t="str">
        <f>+'Working Budget with funding det'!B188</f>
        <v>Hillcrest Café Reconfiguration Withdrawn for FY25</v>
      </c>
      <c r="B37" s="771">
        <f>+'Working Budget with funding det'!T188</f>
        <v>0</v>
      </c>
      <c r="C37" s="957">
        <f t="shared" si="28"/>
        <v>0</v>
      </c>
      <c r="D37" s="777"/>
      <c r="E37" s="777"/>
      <c r="F37" s="777"/>
      <c r="G37" s="777"/>
      <c r="H37" s="777"/>
      <c r="I37" s="777"/>
      <c r="J37" s="777"/>
      <c r="K37" s="777"/>
      <c r="L37" s="777"/>
      <c r="M37" s="777"/>
      <c r="N37" s="777">
        <f>+B37</f>
        <v>0</v>
      </c>
      <c r="S37" s="775"/>
    </row>
    <row r="38" spans="1:21" x14ac:dyDescent="0.25">
      <c r="A38" s="606" t="str">
        <f>+'Working Budget with funding det'!B260</f>
        <v>CWF MC Pump Station Rehab</v>
      </c>
      <c r="B38" s="771">
        <f>+'Working Budget with funding det'!T260</f>
        <v>283800</v>
      </c>
      <c r="C38" s="957">
        <f t="shared" si="28"/>
        <v>9.1999999999999998E-3</v>
      </c>
      <c r="D38" s="777"/>
      <c r="E38" s="777"/>
      <c r="F38" s="777"/>
      <c r="G38" s="777"/>
      <c r="H38" s="777"/>
      <c r="I38" s="777"/>
      <c r="J38" s="777"/>
      <c r="K38" s="777"/>
      <c r="L38" s="777"/>
      <c r="M38" s="777"/>
      <c r="N38" s="777"/>
      <c r="S38" s="775"/>
      <c r="T38" s="1318">
        <f>+B38</f>
        <v>283800</v>
      </c>
    </row>
    <row r="39" spans="1:21" x14ac:dyDescent="0.25">
      <c r="C39" s="957"/>
      <c r="D39" s="777"/>
      <c r="E39" s="777"/>
      <c r="F39" s="777"/>
      <c r="G39" s="777"/>
      <c r="H39" s="777"/>
      <c r="I39" s="777"/>
      <c r="J39" s="777"/>
      <c r="K39" s="777"/>
      <c r="L39" s="777"/>
      <c r="M39" s="777"/>
      <c r="N39" s="777"/>
      <c r="S39" s="775"/>
    </row>
    <row r="40" spans="1:21" x14ac:dyDescent="0.25">
      <c r="A40" s="606" t="s">
        <v>2005</v>
      </c>
      <c r="C40" s="957"/>
      <c r="D40" s="777">
        <f t="shared" ref="D40:D41" si="30">+B40-SUM(E40:Q40)</f>
        <v>0</v>
      </c>
      <c r="E40" s="777"/>
      <c r="F40" s="777"/>
      <c r="G40" s="777"/>
      <c r="H40" s="777"/>
      <c r="I40" s="777"/>
      <c r="J40" s="777"/>
      <c r="K40" s="777"/>
      <c r="L40" s="777"/>
      <c r="M40" s="777"/>
      <c r="N40" s="777"/>
      <c r="S40" s="775"/>
    </row>
    <row r="41" spans="1:21" x14ac:dyDescent="0.25">
      <c r="A41" s="606" t="s">
        <v>2006</v>
      </c>
      <c r="C41" s="957"/>
      <c r="D41" s="777">
        <f t="shared" si="30"/>
        <v>0</v>
      </c>
      <c r="E41" s="777"/>
      <c r="F41" s="777"/>
      <c r="G41" s="777"/>
      <c r="H41" s="777"/>
      <c r="I41" s="777"/>
      <c r="J41" s="777"/>
      <c r="K41" s="777"/>
      <c r="L41" s="777"/>
      <c r="M41" s="777"/>
      <c r="N41" s="777"/>
      <c r="S41" s="775"/>
    </row>
    <row r="42" spans="1:21" x14ac:dyDescent="0.25">
      <c r="S42" s="775"/>
    </row>
    <row r="43" spans="1:21" x14ac:dyDescent="0.25">
      <c r="A43" s="606" t="s">
        <v>703</v>
      </c>
      <c r="B43" s="779">
        <f>SUM(B21:B42)</f>
        <v>30703173</v>
      </c>
      <c r="C43" s="1317">
        <f>SUM(C5:C41)</f>
        <v>1.0000000000000004</v>
      </c>
      <c r="D43" s="779">
        <f t="shared" ref="D43:S43" si="31">SUM(D24:D42)+D21</f>
        <v>26011366</v>
      </c>
      <c r="E43" s="779">
        <f t="shared" si="31"/>
        <v>2759825</v>
      </c>
      <c r="F43" s="779">
        <f t="shared" si="31"/>
        <v>286043</v>
      </c>
      <c r="G43" s="779">
        <f t="shared" si="31"/>
        <v>52250</v>
      </c>
      <c r="H43" s="779">
        <f t="shared" si="31"/>
        <v>0</v>
      </c>
      <c r="I43" s="780">
        <f t="shared" si="31"/>
        <v>405402</v>
      </c>
      <c r="J43" s="780">
        <f t="shared" si="31"/>
        <v>0</v>
      </c>
      <c r="K43" s="780">
        <f t="shared" si="31"/>
        <v>487</v>
      </c>
      <c r="L43" s="779">
        <f t="shared" si="31"/>
        <v>730000</v>
      </c>
      <c r="M43" s="779">
        <f t="shared" si="31"/>
        <v>0</v>
      </c>
      <c r="N43" s="779">
        <f t="shared" si="31"/>
        <v>24000</v>
      </c>
      <c r="O43" s="779">
        <f t="shared" si="31"/>
        <v>0</v>
      </c>
      <c r="P43" s="779">
        <f t="shared" si="31"/>
        <v>0</v>
      </c>
      <c r="Q43" s="779">
        <f t="shared" si="31"/>
        <v>0</v>
      </c>
      <c r="R43" s="779">
        <f t="shared" si="31"/>
        <v>0</v>
      </c>
      <c r="S43" s="779">
        <f t="shared" si="31"/>
        <v>0</v>
      </c>
      <c r="T43" s="779">
        <f t="shared" ref="T43:U43" si="32">SUM(T24:T42)+T21</f>
        <v>283800</v>
      </c>
      <c r="U43" s="779">
        <f t="shared" si="32"/>
        <v>0</v>
      </c>
    </row>
    <row r="44" spans="1:21" x14ac:dyDescent="0.25">
      <c r="A44" s="606" t="s">
        <v>704</v>
      </c>
      <c r="D44" s="775">
        <f t="shared" ref="D44:S44" si="33">+D3-D43</f>
        <v>222885.57999999821</v>
      </c>
      <c r="E44" s="775">
        <f t="shared" si="33"/>
        <v>0</v>
      </c>
      <c r="F44" s="775">
        <f t="shared" si="33"/>
        <v>0</v>
      </c>
      <c r="G44" s="775">
        <f t="shared" si="33"/>
        <v>415219</v>
      </c>
      <c r="H44" s="775">
        <f t="shared" si="33"/>
        <v>0</v>
      </c>
      <c r="I44" s="777">
        <f t="shared" si="33"/>
        <v>91639</v>
      </c>
      <c r="J44" s="777">
        <f t="shared" si="33"/>
        <v>140134</v>
      </c>
      <c r="K44" s="777">
        <f t="shared" si="33"/>
        <v>0</v>
      </c>
      <c r="L44" s="775">
        <f t="shared" si="33"/>
        <v>1936353</v>
      </c>
      <c r="M44" s="775">
        <f t="shared" si="33"/>
        <v>294816</v>
      </c>
      <c r="N44" s="775">
        <f t="shared" si="33"/>
        <v>107085</v>
      </c>
      <c r="O44" s="775">
        <f t="shared" si="33"/>
        <v>262668</v>
      </c>
      <c r="P44" s="775">
        <f t="shared" si="33"/>
        <v>39216</v>
      </c>
      <c r="Q44" s="775">
        <f t="shared" si="33"/>
        <v>0</v>
      </c>
      <c r="R44" s="775">
        <f t="shared" si="33"/>
        <v>502446</v>
      </c>
      <c r="S44" s="775">
        <f t="shared" si="33"/>
        <v>1146940</v>
      </c>
      <c r="T44" s="775">
        <f t="shared" ref="T44:U44" si="34">+T3-T43</f>
        <v>-283800</v>
      </c>
      <c r="U44" s="775">
        <f t="shared" si="34"/>
        <v>0</v>
      </c>
    </row>
    <row r="46" spans="1:21" x14ac:dyDescent="0.25">
      <c r="L46" s="776"/>
      <c r="M46" s="776"/>
      <c r="N46" s="776"/>
      <c r="O46" s="776"/>
      <c r="S46" s="776"/>
    </row>
    <row r="49" spans="1:1" x14ac:dyDescent="0.25">
      <c r="A49" s="703"/>
    </row>
    <row r="50" spans="1:1" x14ac:dyDescent="0.25">
      <c r="A50" s="703"/>
    </row>
    <row r="51" spans="1:1" x14ac:dyDescent="0.25">
      <c r="A51" s="703"/>
    </row>
  </sheetData>
  <pageMargins left="0.7" right="0.7" top="0.75" bottom="0.75" header="0.3" footer="0.3"/>
  <pageSetup scale="69" orientation="landscape" r:id="rId1"/>
  <headerFooter>
    <oddFooter>&amp;L&amp;D &amp;T&amp;C&amp;F&amp;R&amp;A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W191"/>
  <sheetViews>
    <sheetView workbookViewId="0">
      <pane ySplit="7" topLeftCell="A8" activePane="bottomLeft" state="frozen"/>
      <selection activeCell="W26" sqref="W26"/>
      <selection pane="bottomLeft" activeCell="R16" sqref="R16"/>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0" width="14.44140625" style="1" customWidth="1"/>
    <col min="21" max="21" width="14.44140625" customWidth="1"/>
    <col min="23" max="23" width="14.44140625" customWidth="1"/>
    <col min="24" max="24" width="14.6640625" customWidth="1"/>
  </cols>
  <sheetData>
    <row r="1" spans="1:23" x14ac:dyDescent="0.25">
      <c r="A1" s="701" t="s">
        <v>85</v>
      </c>
      <c r="B1" s="290" t="s">
        <v>194</v>
      </c>
      <c r="D1" s="194"/>
      <c r="E1" s="194"/>
      <c r="F1" s="194"/>
      <c r="G1" s="194"/>
      <c r="H1" s="194"/>
      <c r="I1" s="194"/>
      <c r="J1" s="194"/>
      <c r="K1" s="194"/>
      <c r="L1" s="194"/>
      <c r="M1" s="194"/>
      <c r="N1" s="194"/>
      <c r="O1" s="194"/>
      <c r="P1" s="194"/>
      <c r="Q1" s="194"/>
    </row>
    <row r="2" spans="1:23" ht="13.8" x14ac:dyDescent="0.25">
      <c r="A2" s="702" t="s">
        <v>705</v>
      </c>
      <c r="B2" s="43"/>
      <c r="D2" s="194"/>
      <c r="E2" s="125"/>
      <c r="F2" s="194"/>
      <c r="G2" s="194"/>
      <c r="H2" s="194"/>
      <c r="I2" s="125" t="s">
        <v>706</v>
      </c>
      <c r="J2" s="125"/>
      <c r="K2" s="125"/>
      <c r="L2" s="125"/>
      <c r="M2" s="125"/>
      <c r="N2" s="125"/>
      <c r="O2" s="125"/>
      <c r="P2" s="125"/>
      <c r="Q2" s="125"/>
      <c r="R2" s="58" t="s">
        <v>513</v>
      </c>
      <c r="U2" s="44" t="s">
        <v>707</v>
      </c>
    </row>
    <row r="3" spans="1:23" ht="13.8" thickBot="1" x14ac:dyDescent="0.3">
      <c r="A3" s="703"/>
      <c r="B3" s="4"/>
      <c r="C3" s="23"/>
      <c r="D3" s="23"/>
      <c r="E3" s="23"/>
      <c r="F3" s="23"/>
      <c r="G3" s="23"/>
      <c r="H3" s="23"/>
      <c r="I3" s="23"/>
      <c r="J3" s="23"/>
      <c r="K3" s="23"/>
      <c r="L3" s="23"/>
      <c r="M3" s="23"/>
      <c r="N3" s="23"/>
      <c r="O3" s="23"/>
      <c r="P3" s="23"/>
      <c r="Q3" s="23"/>
      <c r="R3" s="4"/>
      <c r="S3" s="23"/>
      <c r="T3" s="23"/>
      <c r="U3" s="4"/>
      <c r="W3" s="4"/>
    </row>
    <row r="4" spans="1:23" ht="13.8" thickTop="1" x14ac:dyDescent="0.25">
      <c r="A4" s="704"/>
      <c r="B4" s="524"/>
      <c r="C4" s="113" t="s">
        <v>256</v>
      </c>
      <c r="D4" s="212" t="s">
        <v>256</v>
      </c>
      <c r="E4" s="212" t="s">
        <v>256</v>
      </c>
      <c r="F4" s="212" t="s">
        <v>256</v>
      </c>
      <c r="G4" s="212" t="s">
        <v>256</v>
      </c>
      <c r="H4" s="212"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3" x14ac:dyDescent="0.25">
      <c r="A5" s="705"/>
      <c r="B5" s="184"/>
      <c r="C5" s="112"/>
      <c r="D5" s="82"/>
      <c r="E5" s="104"/>
      <c r="F5" s="82"/>
      <c r="G5" s="82"/>
      <c r="H5" s="82"/>
      <c r="I5" s="229"/>
      <c r="J5" s="229"/>
      <c r="K5" s="229"/>
      <c r="L5" s="229"/>
      <c r="M5" s="229"/>
      <c r="N5" s="229"/>
      <c r="O5" s="229"/>
      <c r="P5" s="229"/>
      <c r="Q5" s="229"/>
      <c r="R5" s="104" t="s">
        <v>709</v>
      </c>
      <c r="S5" s="83" t="s">
        <v>710</v>
      </c>
      <c r="T5" s="83" t="s">
        <v>711</v>
      </c>
      <c r="U5" s="178" t="s">
        <v>712</v>
      </c>
    </row>
    <row r="6" spans="1:23"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3"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3" ht="13.8" thickTop="1" x14ac:dyDescent="0.25">
      <c r="A8" s="715"/>
      <c r="B8" s="46"/>
      <c r="C8" s="257"/>
      <c r="D8" s="92"/>
      <c r="E8" s="92"/>
      <c r="F8" s="92"/>
      <c r="G8" s="92"/>
      <c r="H8" s="92"/>
      <c r="I8" s="92"/>
      <c r="J8" s="92"/>
      <c r="K8" s="47"/>
      <c r="L8" s="92"/>
      <c r="M8" s="92"/>
      <c r="N8" s="92"/>
      <c r="O8" s="47"/>
      <c r="P8" s="47"/>
      <c r="Q8" s="195"/>
      <c r="R8" s="92"/>
      <c r="S8" s="47"/>
      <c r="T8" s="47"/>
      <c r="U8" s="47"/>
    </row>
    <row r="9" spans="1:23" ht="13.8" thickBot="1" x14ac:dyDescent="0.3">
      <c r="A9" s="716">
        <v>5115</v>
      </c>
      <c r="B9" s="48" t="s">
        <v>717</v>
      </c>
      <c r="C9" s="116">
        <v>327</v>
      </c>
      <c r="D9" s="15">
        <v>340</v>
      </c>
      <c r="E9" s="15">
        <v>340</v>
      </c>
      <c r="F9" s="15">
        <v>340</v>
      </c>
      <c r="G9" s="15">
        <v>340</v>
      </c>
      <c r="H9" s="15">
        <v>350</v>
      </c>
      <c r="I9" s="15">
        <v>350</v>
      </c>
      <c r="J9" s="15">
        <v>370</v>
      </c>
      <c r="K9" s="16">
        <v>370</v>
      </c>
      <c r="L9" s="15">
        <v>370</v>
      </c>
      <c r="M9" s="16">
        <v>370</v>
      </c>
      <c r="N9" s="15">
        <v>370</v>
      </c>
      <c r="O9" s="16">
        <v>370</v>
      </c>
      <c r="P9" s="15">
        <v>370</v>
      </c>
      <c r="Q9" s="16">
        <v>500</v>
      </c>
      <c r="R9" s="252"/>
      <c r="S9" s="16">
        <v>500</v>
      </c>
      <c r="T9" s="16"/>
      <c r="U9" s="16"/>
    </row>
    <row r="10" spans="1:23" x14ac:dyDescent="0.25">
      <c r="A10" s="716"/>
      <c r="B10" s="49" t="s">
        <v>718</v>
      </c>
      <c r="C10" s="117">
        <f t="shared" ref="C10:S10" si="0">+C9</f>
        <v>327</v>
      </c>
      <c r="D10" s="18">
        <f t="shared" si="0"/>
        <v>340</v>
      </c>
      <c r="E10" s="18">
        <f t="shared" si="0"/>
        <v>340</v>
      </c>
      <c r="F10" s="18">
        <f>+F9</f>
        <v>340</v>
      </c>
      <c r="G10" s="18">
        <f>+G9</f>
        <v>340</v>
      </c>
      <c r="H10" s="18">
        <f>+H9</f>
        <v>350</v>
      </c>
      <c r="I10" s="18">
        <f>+I9</f>
        <v>350</v>
      </c>
      <c r="J10" s="18">
        <f>+J9</f>
        <v>370</v>
      </c>
      <c r="K10" s="34">
        <f t="shared" ref="K10:P10" si="1">+K9</f>
        <v>370</v>
      </c>
      <c r="L10" s="18">
        <f t="shared" si="1"/>
        <v>370</v>
      </c>
      <c r="M10" s="34">
        <f t="shared" si="1"/>
        <v>370</v>
      </c>
      <c r="N10" s="18">
        <f t="shared" si="1"/>
        <v>370</v>
      </c>
      <c r="O10" s="34">
        <f t="shared" si="1"/>
        <v>370</v>
      </c>
      <c r="P10" s="18">
        <f t="shared" si="1"/>
        <v>370</v>
      </c>
      <c r="Q10" s="34">
        <f t="shared" ref="Q10" si="2">+Q9</f>
        <v>500</v>
      </c>
      <c r="R10" s="18">
        <f t="shared" si="0"/>
        <v>0</v>
      </c>
      <c r="S10" s="34">
        <f t="shared" si="0"/>
        <v>500</v>
      </c>
      <c r="T10" s="34"/>
      <c r="U10" s="34"/>
    </row>
    <row r="11" spans="1:23" x14ac:dyDescent="0.25">
      <c r="A11" s="716"/>
      <c r="B11" s="48"/>
      <c r="C11" s="115"/>
      <c r="D11" s="13"/>
      <c r="E11" s="13"/>
      <c r="F11" s="13"/>
      <c r="G11" s="13"/>
      <c r="H11" s="13"/>
      <c r="I11" s="13"/>
      <c r="J11" s="13"/>
      <c r="K11" s="14"/>
      <c r="L11" s="13"/>
      <c r="M11" s="14"/>
      <c r="N11" s="13"/>
      <c r="O11" s="14"/>
      <c r="P11" s="13"/>
      <c r="Q11" s="14"/>
      <c r="R11" s="13"/>
      <c r="S11" s="14"/>
      <c r="T11" s="14"/>
      <c r="U11" s="14"/>
    </row>
    <row r="12" spans="1:23" x14ac:dyDescent="0.25">
      <c r="A12" s="716">
        <v>5279</v>
      </c>
      <c r="B12" s="48" t="s">
        <v>719</v>
      </c>
      <c r="C12" s="115"/>
      <c r="D12" s="13">
        <v>0</v>
      </c>
      <c r="E12" s="13"/>
      <c r="F12" s="13"/>
      <c r="G12" s="13"/>
      <c r="H12" s="13"/>
      <c r="I12" s="127"/>
      <c r="J12" s="127"/>
      <c r="K12" s="14"/>
      <c r="L12" s="127"/>
      <c r="M12" s="14"/>
      <c r="N12" s="127"/>
      <c r="O12" s="14"/>
      <c r="P12" s="13"/>
      <c r="Q12" s="14"/>
      <c r="R12" s="13"/>
      <c r="S12" s="14"/>
      <c r="T12" s="14"/>
      <c r="U12" s="14"/>
    </row>
    <row r="13" spans="1:23" x14ac:dyDescent="0.25">
      <c r="A13" s="716">
        <v>5314</v>
      </c>
      <c r="B13" s="48" t="s">
        <v>720</v>
      </c>
      <c r="C13" s="210"/>
      <c r="D13" s="35"/>
      <c r="E13" s="35"/>
      <c r="F13" s="35"/>
      <c r="G13" s="35">
        <v>37</v>
      </c>
      <c r="H13" s="35"/>
      <c r="I13" s="200"/>
      <c r="J13" s="200"/>
      <c r="K13" s="36"/>
      <c r="L13" s="200"/>
      <c r="M13" s="36"/>
      <c r="N13" s="200"/>
      <c r="O13" s="36"/>
      <c r="P13" s="35"/>
      <c r="Q13" s="36">
        <v>150</v>
      </c>
      <c r="R13" s="35"/>
      <c r="S13" s="36">
        <v>150</v>
      </c>
      <c r="T13" s="36"/>
      <c r="U13" s="36"/>
    </row>
    <row r="14" spans="1:23" x14ac:dyDescent="0.25">
      <c r="A14" s="716">
        <v>5315</v>
      </c>
      <c r="B14" s="48" t="s">
        <v>721</v>
      </c>
      <c r="C14" s="210">
        <v>300</v>
      </c>
      <c r="D14" s="35">
        <v>105</v>
      </c>
      <c r="E14" s="35">
        <v>165</v>
      </c>
      <c r="F14" s="35">
        <v>165</v>
      </c>
      <c r="G14" s="35">
        <v>120</v>
      </c>
      <c r="H14" s="35">
        <v>165</v>
      </c>
      <c r="I14" s="35">
        <v>185</v>
      </c>
      <c r="J14" s="35">
        <v>740</v>
      </c>
      <c r="K14" s="36">
        <v>200</v>
      </c>
      <c r="L14" s="35">
        <v>150</v>
      </c>
      <c r="M14" s="36">
        <v>200</v>
      </c>
      <c r="N14" s="35">
        <v>175</v>
      </c>
      <c r="O14" s="36">
        <v>200</v>
      </c>
      <c r="P14" s="35">
        <v>225</v>
      </c>
      <c r="Q14" s="36">
        <v>200</v>
      </c>
      <c r="R14" s="35">
        <v>25</v>
      </c>
      <c r="S14" s="36">
        <v>300</v>
      </c>
      <c r="T14" s="36"/>
      <c r="U14" s="36"/>
    </row>
    <row r="15" spans="1:23" x14ac:dyDescent="0.25">
      <c r="A15" s="716">
        <v>5344</v>
      </c>
      <c r="B15" s="48" t="s">
        <v>722</v>
      </c>
      <c r="C15" s="115">
        <v>403.4</v>
      </c>
      <c r="D15" s="13">
        <v>452.78</v>
      </c>
      <c r="E15" s="13">
        <v>550.83000000000004</v>
      </c>
      <c r="F15" s="13">
        <v>253.05</v>
      </c>
      <c r="G15" s="13">
        <v>487.99</v>
      </c>
      <c r="H15" s="13">
        <v>600.05999999999995</v>
      </c>
      <c r="I15" s="13">
        <v>621.99</v>
      </c>
      <c r="J15" s="13">
        <v>614.79999999999995</v>
      </c>
      <c r="K15" s="14">
        <v>700</v>
      </c>
      <c r="L15" s="13">
        <v>873.7</v>
      </c>
      <c r="M15" s="14">
        <v>750</v>
      </c>
      <c r="N15" s="13">
        <v>731.57</v>
      </c>
      <c r="O15" s="14">
        <v>1000</v>
      </c>
      <c r="P15" s="13">
        <v>783.42</v>
      </c>
      <c r="Q15" s="14">
        <v>1000</v>
      </c>
      <c r="R15" s="13">
        <v>206.79</v>
      </c>
      <c r="S15" s="14">
        <v>1000</v>
      </c>
      <c r="T15" s="14"/>
      <c r="U15" s="14"/>
    </row>
    <row r="16" spans="1:23" x14ac:dyDescent="0.25">
      <c r="A16" s="716">
        <v>5420</v>
      </c>
      <c r="B16" s="48" t="s">
        <v>723</v>
      </c>
      <c r="C16" s="115"/>
      <c r="D16" s="13"/>
      <c r="E16" s="13"/>
      <c r="F16" s="13"/>
      <c r="G16" s="13"/>
      <c r="H16" s="13"/>
      <c r="I16" s="111">
        <v>0</v>
      </c>
      <c r="J16" s="111">
        <v>74.040000000000006</v>
      </c>
      <c r="K16" s="19">
        <v>150</v>
      </c>
      <c r="L16" s="111"/>
      <c r="M16" s="19">
        <v>150</v>
      </c>
      <c r="N16" s="111">
        <v>132.72</v>
      </c>
      <c r="O16" s="19">
        <v>150</v>
      </c>
      <c r="P16" s="18"/>
      <c r="Q16" s="19">
        <v>200</v>
      </c>
      <c r="R16" s="13"/>
      <c r="S16" s="19">
        <v>200</v>
      </c>
      <c r="T16" s="19"/>
      <c r="U16" s="14"/>
    </row>
    <row r="17" spans="1:23" x14ac:dyDescent="0.25">
      <c r="A17" s="716">
        <v>5490</v>
      </c>
      <c r="B17" s="48" t="s">
        <v>724</v>
      </c>
      <c r="C17" s="115">
        <v>511.33</v>
      </c>
      <c r="D17" s="13">
        <v>505.6</v>
      </c>
      <c r="E17" s="13">
        <v>538.77</v>
      </c>
      <c r="F17" s="13">
        <v>590.80999999999995</v>
      </c>
      <c r="G17" s="13">
        <v>576.74</v>
      </c>
      <c r="H17" s="13">
        <v>595.02</v>
      </c>
      <c r="I17" s="13">
        <v>618.01</v>
      </c>
      <c r="J17" s="13">
        <v>17.52</v>
      </c>
      <c r="K17" s="14">
        <v>650</v>
      </c>
      <c r="L17" s="13">
        <v>10</v>
      </c>
      <c r="M17" s="14">
        <v>650</v>
      </c>
      <c r="N17" s="13">
        <v>730.71</v>
      </c>
      <c r="O17" s="14">
        <v>650</v>
      </c>
      <c r="P17" s="13">
        <v>790.06</v>
      </c>
      <c r="Q17" s="14">
        <v>750</v>
      </c>
      <c r="R17" s="13"/>
      <c r="S17" s="14">
        <v>850</v>
      </c>
      <c r="T17" s="14"/>
      <c r="U17" s="14"/>
    </row>
    <row r="18" spans="1:23" x14ac:dyDescent="0.25">
      <c r="A18" s="716">
        <v>5586</v>
      </c>
      <c r="B18" s="48" t="s">
        <v>725</v>
      </c>
      <c r="C18" s="117"/>
      <c r="D18" s="18"/>
      <c r="E18" s="18"/>
      <c r="F18" s="18"/>
      <c r="G18" s="18"/>
      <c r="H18" s="18">
        <v>53.74</v>
      </c>
      <c r="I18" s="18"/>
      <c r="J18" s="18">
        <v>2221.27</v>
      </c>
      <c r="K18" s="19"/>
      <c r="L18" s="18"/>
      <c r="M18" s="19"/>
      <c r="N18" s="18"/>
      <c r="O18" s="19"/>
      <c r="P18" s="18"/>
      <c r="Q18" s="19"/>
      <c r="R18" s="18"/>
      <c r="S18" s="19"/>
      <c r="T18" s="19"/>
      <c r="U18" s="19"/>
    </row>
    <row r="19" spans="1:23" x14ac:dyDescent="0.25">
      <c r="A19" s="716">
        <v>5710</v>
      </c>
      <c r="B19" s="48" t="s">
        <v>726</v>
      </c>
      <c r="C19" s="18"/>
      <c r="D19" s="18">
        <v>0</v>
      </c>
      <c r="E19" s="18"/>
      <c r="F19" s="18"/>
      <c r="G19" s="18"/>
      <c r="H19" s="18"/>
      <c r="I19" s="18"/>
      <c r="J19" s="18"/>
      <c r="K19" s="19"/>
      <c r="L19" s="18"/>
      <c r="M19" s="19"/>
      <c r="N19" s="18"/>
      <c r="O19" s="19"/>
      <c r="P19" s="18"/>
      <c r="Q19" s="19">
        <v>150</v>
      </c>
      <c r="R19" s="18"/>
      <c r="S19" s="19">
        <v>150</v>
      </c>
      <c r="T19" s="19"/>
      <c r="U19" s="19"/>
    </row>
    <row r="20" spans="1:23" ht="13.8" thickBot="1" x14ac:dyDescent="0.3">
      <c r="A20" s="716">
        <v>5730</v>
      </c>
      <c r="B20" s="48" t="s">
        <v>727</v>
      </c>
      <c r="C20" s="15">
        <v>20</v>
      </c>
      <c r="D20" s="15">
        <v>20</v>
      </c>
      <c r="E20" s="15">
        <v>20</v>
      </c>
      <c r="F20" s="15">
        <v>20</v>
      </c>
      <c r="G20" s="15">
        <v>20</v>
      </c>
      <c r="H20" s="15">
        <v>20</v>
      </c>
      <c r="I20" s="15">
        <v>25</v>
      </c>
      <c r="J20" s="15">
        <v>0</v>
      </c>
      <c r="K20" s="16">
        <v>20</v>
      </c>
      <c r="L20" s="15"/>
      <c r="M20" s="16">
        <v>20</v>
      </c>
      <c r="N20" s="15"/>
      <c r="O20" s="16">
        <v>20</v>
      </c>
      <c r="P20" s="15"/>
      <c r="Q20" s="16">
        <v>30</v>
      </c>
      <c r="R20" s="15"/>
      <c r="S20" s="16">
        <v>30</v>
      </c>
      <c r="T20" s="16"/>
      <c r="U20" s="16"/>
    </row>
    <row r="21" spans="1:23" x14ac:dyDescent="0.25">
      <c r="A21" s="716"/>
      <c r="B21" s="49" t="s">
        <v>728</v>
      </c>
      <c r="C21" s="18">
        <f t="shared" ref="C21:R21" si="3">SUM(C12:C20)</f>
        <v>1234.73</v>
      </c>
      <c r="D21" s="18">
        <f t="shared" si="3"/>
        <v>1083.3800000000001</v>
      </c>
      <c r="E21" s="18">
        <f t="shared" si="3"/>
        <v>1274.5999999999999</v>
      </c>
      <c r="F21" s="18">
        <f>SUM(F14:F20)</f>
        <v>1028.8599999999999</v>
      </c>
      <c r="G21" s="18">
        <f>SUM(G12:G20)</f>
        <v>1241.73</v>
      </c>
      <c r="H21" s="18">
        <f>SUM(H12:H20)</f>
        <v>1433.82</v>
      </c>
      <c r="I21" s="18">
        <f>SUM(I12:I20)</f>
        <v>1450</v>
      </c>
      <c r="J21" s="18">
        <f>SUM(J12:J20)</f>
        <v>3667.63</v>
      </c>
      <c r="K21" s="19">
        <f t="shared" ref="K21:O21" si="4">SUM(K12:K20)</f>
        <v>1720</v>
      </c>
      <c r="L21" s="18">
        <f t="shared" si="4"/>
        <v>1033.7</v>
      </c>
      <c r="M21" s="19">
        <f t="shared" si="4"/>
        <v>1770</v>
      </c>
      <c r="N21" s="18">
        <f t="shared" ref="N21" si="5">SUM(N12:N20)</f>
        <v>1770</v>
      </c>
      <c r="O21" s="19">
        <f t="shared" si="4"/>
        <v>2020</v>
      </c>
      <c r="P21" s="18">
        <f t="shared" ref="P21" si="6">SUM(P12:P20)</f>
        <v>1798.48</v>
      </c>
      <c r="Q21" s="19">
        <f t="shared" ref="Q21:S21" si="7">SUM(Q12:Q20)</f>
        <v>2480</v>
      </c>
      <c r="R21" s="18">
        <f t="shared" si="3"/>
        <v>231.79</v>
      </c>
      <c r="S21" s="19">
        <f t="shared" si="7"/>
        <v>2680</v>
      </c>
      <c r="T21" s="19"/>
      <c r="U21" s="19">
        <f>SUM(U12:U20)</f>
        <v>0</v>
      </c>
    </row>
    <row r="22" spans="1:23" x14ac:dyDescent="0.25">
      <c r="A22" s="716"/>
      <c r="B22" s="48"/>
      <c r="C22" s="13"/>
      <c r="D22" s="13"/>
      <c r="E22" s="13"/>
      <c r="F22" s="13"/>
      <c r="G22" s="13"/>
      <c r="H22" s="13"/>
      <c r="I22" s="13"/>
      <c r="J22" s="13"/>
      <c r="K22" s="14"/>
      <c r="L22" s="13"/>
      <c r="M22" s="14"/>
      <c r="N22" s="13"/>
      <c r="O22" s="14"/>
      <c r="P22" s="13"/>
      <c r="Q22" s="14"/>
      <c r="R22" s="13"/>
      <c r="S22" s="14"/>
      <c r="T22" s="14"/>
      <c r="U22" s="14"/>
    </row>
    <row r="23" spans="1:23" ht="13.8" thickBot="1" x14ac:dyDescent="0.3">
      <c r="A23" s="717"/>
      <c r="B23" s="50" t="s">
        <v>729</v>
      </c>
      <c r="C23" s="21">
        <f t="shared" ref="C23:S23" si="8">+C21+C10</f>
        <v>1561.73</v>
      </c>
      <c r="D23" s="21">
        <f t="shared" si="8"/>
        <v>1423.38</v>
      </c>
      <c r="E23" s="21">
        <f t="shared" si="8"/>
        <v>1614.6</v>
      </c>
      <c r="F23" s="21">
        <f>+F21+F10</f>
        <v>1368.86</v>
      </c>
      <c r="G23" s="21">
        <f>+G21+G10</f>
        <v>1581.73</v>
      </c>
      <c r="H23" s="21">
        <f>+H21+H10</f>
        <v>1783.82</v>
      </c>
      <c r="I23" s="21">
        <f t="shared" si="8"/>
        <v>1800</v>
      </c>
      <c r="J23" s="21">
        <f t="shared" ref="J23" si="9">+J21+J10</f>
        <v>4037.63</v>
      </c>
      <c r="K23" s="39">
        <f t="shared" ref="K23:O23" si="10">+K21+K10</f>
        <v>2090</v>
      </c>
      <c r="L23" s="21">
        <f t="shared" si="10"/>
        <v>1403.7</v>
      </c>
      <c r="M23" s="39">
        <f t="shared" si="10"/>
        <v>2140</v>
      </c>
      <c r="N23" s="21">
        <f t="shared" ref="N23" si="11">+N21+N10</f>
        <v>2140</v>
      </c>
      <c r="O23" s="39">
        <f t="shared" si="10"/>
        <v>2390</v>
      </c>
      <c r="P23" s="21">
        <f t="shared" ref="P23" si="12">+P21+P10</f>
        <v>2168.48</v>
      </c>
      <c r="Q23" s="39">
        <f t="shared" ref="Q23" si="13">+Q21+Q10</f>
        <v>2980</v>
      </c>
      <c r="R23" s="21">
        <f t="shared" si="8"/>
        <v>231.79</v>
      </c>
      <c r="S23" s="39">
        <f t="shared" si="8"/>
        <v>3180</v>
      </c>
      <c r="T23" s="39">
        <f>+S23</f>
        <v>3180</v>
      </c>
      <c r="U23" s="39">
        <f>+S23</f>
        <v>3180</v>
      </c>
    </row>
    <row r="24" spans="1:23" ht="13.8" thickTop="1" x14ac:dyDescent="0.25">
      <c r="A24" s="703"/>
      <c r="B24" s="4"/>
      <c r="C24" s="23"/>
      <c r="D24" s="23"/>
      <c r="E24" s="23"/>
      <c r="F24" s="23"/>
      <c r="G24" s="23"/>
      <c r="H24" s="23"/>
      <c r="I24" s="23"/>
      <c r="J24" s="23"/>
      <c r="K24" s="23"/>
      <c r="L24" s="23"/>
      <c r="M24" s="23"/>
      <c r="N24" s="23"/>
      <c r="O24" s="23"/>
      <c r="P24" s="23"/>
      <c r="Q24" s="23"/>
      <c r="R24" s="181" t="s">
        <v>732</v>
      </c>
      <c r="S24" s="1001">
        <f>+S23-Q23</f>
        <v>200</v>
      </c>
      <c r="T24" s="1002">
        <f>ROUND((+S24/Q23),4)</f>
        <v>6.7100000000000007E-2</v>
      </c>
      <c r="U24" s="25"/>
      <c r="W24" s="25"/>
    </row>
    <row r="25" spans="1:23" ht="13.8" thickBot="1" x14ac:dyDescent="0.3">
      <c r="A25" s="63"/>
      <c r="B25" s="4"/>
      <c r="C25" s="23"/>
      <c r="D25" s="23"/>
      <c r="E25" s="23"/>
      <c r="F25" s="23"/>
      <c r="G25" s="23"/>
      <c r="H25" s="23"/>
      <c r="I25" s="23"/>
      <c r="J25" s="23"/>
      <c r="K25" s="23"/>
      <c r="L25" s="23"/>
      <c r="M25" s="23"/>
      <c r="N25" s="23"/>
      <c r="O25" s="23"/>
      <c r="P25" s="23"/>
      <c r="Q25" s="23"/>
      <c r="R25" s="25"/>
      <c r="S25" s="23"/>
      <c r="T25" s="23"/>
      <c r="U25" s="25"/>
      <c r="W25" s="25"/>
    </row>
    <row r="26" spans="1:23" ht="13.8" thickTop="1" x14ac:dyDescent="0.25">
      <c r="A26" s="718"/>
      <c r="B26" s="349"/>
      <c r="C26" s="350" t="s">
        <v>256</v>
      </c>
      <c r="D26" s="351" t="s">
        <v>256</v>
      </c>
      <c r="E26" s="351" t="s">
        <v>256</v>
      </c>
      <c r="F26" s="194"/>
      <c r="G26" s="194"/>
      <c r="H26" s="194"/>
      <c r="I26" s="194"/>
      <c r="J26" s="194"/>
      <c r="K26" s="194"/>
      <c r="L26" s="194"/>
      <c r="O26" s="352" t="s">
        <v>255</v>
      </c>
      <c r="P26" s="353" t="s">
        <v>716</v>
      </c>
      <c r="Q26" s="354" t="s">
        <v>730</v>
      </c>
      <c r="R26" s="353" t="s">
        <v>731</v>
      </c>
      <c r="S26" s="355"/>
      <c r="T26" s="550"/>
      <c r="U26" s="354"/>
    </row>
    <row r="27" spans="1:23" ht="13.8" thickBot="1" x14ac:dyDescent="0.3">
      <c r="A27" s="719" t="s">
        <v>715</v>
      </c>
      <c r="B27" s="356"/>
      <c r="C27" s="357" t="s">
        <v>243</v>
      </c>
      <c r="D27" s="357" t="s">
        <v>244</v>
      </c>
      <c r="E27" s="358" t="s">
        <v>245</v>
      </c>
      <c r="F27" s="194"/>
      <c r="G27" s="194"/>
      <c r="H27" s="194"/>
      <c r="I27" s="194"/>
      <c r="J27" s="194"/>
      <c r="K27" s="194"/>
      <c r="L27" s="194"/>
      <c r="O27" s="359" t="s">
        <v>469</v>
      </c>
      <c r="P27" s="359" t="s">
        <v>1345</v>
      </c>
      <c r="Q27" s="358" t="s">
        <v>732</v>
      </c>
      <c r="R27" s="360" t="s">
        <v>732</v>
      </c>
      <c r="S27" s="361" t="s">
        <v>733</v>
      </c>
      <c r="T27" s="551"/>
      <c r="U27" s="359"/>
      <c r="W27" s="84"/>
    </row>
    <row r="28" spans="1:23" ht="13.8" thickTop="1" x14ac:dyDescent="0.25">
      <c r="A28" s="720"/>
      <c r="B28" s="362"/>
      <c r="C28" s="363"/>
      <c r="D28" s="363"/>
      <c r="E28" s="363"/>
      <c r="F28" s="194"/>
      <c r="G28" s="194"/>
      <c r="H28" s="194"/>
      <c r="I28" s="194"/>
      <c r="J28" s="194"/>
      <c r="K28" s="194"/>
      <c r="L28" s="194"/>
      <c r="O28" s="364"/>
      <c r="P28" s="365"/>
      <c r="Q28" s="366"/>
      <c r="R28" s="365"/>
      <c r="S28" s="367"/>
      <c r="T28" s="553"/>
      <c r="U28" s="368"/>
      <c r="W28" s="25"/>
    </row>
    <row r="29" spans="1:23" ht="13.8" thickBot="1" x14ac:dyDescent="0.3">
      <c r="A29" s="721">
        <v>5115</v>
      </c>
      <c r="B29" s="370" t="s">
        <v>717</v>
      </c>
      <c r="C29" s="371">
        <v>327</v>
      </c>
      <c r="D29" s="371">
        <v>340</v>
      </c>
      <c r="E29" s="371">
        <v>340</v>
      </c>
      <c r="F29" s="194"/>
      <c r="G29" s="194"/>
      <c r="H29" s="194"/>
      <c r="I29" s="194"/>
      <c r="J29" s="194"/>
      <c r="K29" s="194"/>
      <c r="L29" s="194"/>
      <c r="O29" s="372">
        <f>+Q9</f>
        <v>500</v>
      </c>
      <c r="P29" s="393">
        <f>+S9</f>
        <v>500</v>
      </c>
      <c r="Q29" s="368">
        <f t="shared" ref="Q29:Q38" si="14">+P29-O29</f>
        <v>0</v>
      </c>
      <c r="R29" s="374" t="str">
        <f t="shared" ref="R29:R38" si="15">IF(O29+P29&lt;&gt;0,IF(O29&lt;&gt;0,IF(Q29&lt;&gt;0,ROUND((+Q29/O29),4),""),1),"")</f>
        <v/>
      </c>
      <c r="S29" s="367"/>
      <c r="T29" s="553"/>
      <c r="U29" s="368"/>
      <c r="W29" s="25"/>
    </row>
    <row r="30" spans="1:23" x14ac:dyDescent="0.25">
      <c r="A30" s="721">
        <v>5279</v>
      </c>
      <c r="B30" s="370" t="s">
        <v>719</v>
      </c>
      <c r="C30" s="373"/>
      <c r="D30" s="373">
        <v>0</v>
      </c>
      <c r="E30" s="373"/>
      <c r="F30" s="194"/>
      <c r="G30" s="194"/>
      <c r="H30" s="194"/>
      <c r="I30" s="194"/>
      <c r="J30" s="194"/>
      <c r="K30" s="194"/>
      <c r="L30" s="194"/>
      <c r="O30" s="372">
        <f t="shared" ref="O30:O38" si="16">+Q12</f>
        <v>0</v>
      </c>
      <c r="P30" s="393">
        <f t="shared" ref="P30:P38" si="17">+S12</f>
        <v>0</v>
      </c>
      <c r="Q30" s="368">
        <f t="shared" si="14"/>
        <v>0</v>
      </c>
      <c r="R30" s="374" t="str">
        <f t="shared" si="15"/>
        <v/>
      </c>
      <c r="S30" s="367"/>
      <c r="T30" s="553"/>
      <c r="U30" s="368"/>
      <c r="W30" s="25"/>
    </row>
    <row r="31" spans="1:23" x14ac:dyDescent="0.25">
      <c r="A31" s="721">
        <v>5314</v>
      </c>
      <c r="B31" s="370" t="s">
        <v>720</v>
      </c>
      <c r="C31" s="375"/>
      <c r="D31" s="375"/>
      <c r="E31" s="375"/>
      <c r="F31" s="194"/>
      <c r="G31" s="194"/>
      <c r="H31" s="194"/>
      <c r="I31" s="194"/>
      <c r="J31" s="194"/>
      <c r="K31" s="194"/>
      <c r="L31" s="194"/>
      <c r="O31" s="372">
        <f t="shared" si="16"/>
        <v>150</v>
      </c>
      <c r="P31" s="393">
        <f t="shared" si="17"/>
        <v>150</v>
      </c>
      <c r="Q31" s="368">
        <f t="shared" si="14"/>
        <v>0</v>
      </c>
      <c r="R31" s="374" t="str">
        <f t="shared" si="15"/>
        <v/>
      </c>
      <c r="S31" s="367"/>
      <c r="T31" s="553"/>
      <c r="U31" s="368"/>
      <c r="W31" s="25"/>
    </row>
    <row r="32" spans="1:23" x14ac:dyDescent="0.25">
      <c r="A32" s="721">
        <v>5315</v>
      </c>
      <c r="B32" s="370" t="s">
        <v>721</v>
      </c>
      <c r="C32" s="375">
        <v>300</v>
      </c>
      <c r="D32" s="375">
        <v>105</v>
      </c>
      <c r="E32" s="375">
        <v>165</v>
      </c>
      <c r="F32" s="194"/>
      <c r="G32" s="194"/>
      <c r="H32" s="194"/>
      <c r="I32" s="194"/>
      <c r="J32" s="194"/>
      <c r="K32" s="194"/>
      <c r="L32" s="194"/>
      <c r="O32" s="372">
        <f t="shared" si="16"/>
        <v>200</v>
      </c>
      <c r="P32" s="393">
        <f t="shared" si="17"/>
        <v>300</v>
      </c>
      <c r="Q32" s="368">
        <f t="shared" si="14"/>
        <v>100</v>
      </c>
      <c r="R32" s="374">
        <f t="shared" si="15"/>
        <v>0.5</v>
      </c>
      <c r="S32" s="367" t="s">
        <v>2369</v>
      </c>
      <c r="T32" s="553"/>
      <c r="U32" s="368"/>
      <c r="W32" s="25"/>
    </row>
    <row r="33" spans="1:23" x14ac:dyDescent="0.25">
      <c r="A33" s="721">
        <v>5344</v>
      </c>
      <c r="B33" s="370" t="s">
        <v>722</v>
      </c>
      <c r="C33" s="373">
        <v>403.4</v>
      </c>
      <c r="D33" s="373">
        <v>452.78</v>
      </c>
      <c r="E33" s="373">
        <v>550.83000000000004</v>
      </c>
      <c r="F33" s="194"/>
      <c r="G33" s="194"/>
      <c r="H33" s="194"/>
      <c r="I33" s="194"/>
      <c r="J33" s="194"/>
      <c r="K33" s="194"/>
      <c r="L33" s="194"/>
      <c r="O33" s="372">
        <f t="shared" si="16"/>
        <v>1000</v>
      </c>
      <c r="P33" s="393">
        <f t="shared" si="17"/>
        <v>1000</v>
      </c>
      <c r="Q33" s="368">
        <f t="shared" si="14"/>
        <v>0</v>
      </c>
      <c r="R33" s="374" t="str">
        <f t="shared" si="15"/>
        <v/>
      </c>
      <c r="S33" s="367"/>
      <c r="T33" s="553"/>
      <c r="U33" s="368"/>
      <c r="W33" s="25"/>
    </row>
    <row r="34" spans="1:23" x14ac:dyDescent="0.25">
      <c r="A34" s="721">
        <v>5420</v>
      </c>
      <c r="B34" s="370" t="s">
        <v>734</v>
      </c>
      <c r="C34" s="373"/>
      <c r="D34" s="373"/>
      <c r="E34" s="373"/>
      <c r="F34" s="194"/>
      <c r="G34" s="194"/>
      <c r="H34" s="194"/>
      <c r="I34" s="194"/>
      <c r="J34" s="194"/>
      <c r="K34" s="194"/>
      <c r="L34" s="194"/>
      <c r="O34" s="372">
        <f t="shared" si="16"/>
        <v>200</v>
      </c>
      <c r="P34" s="393">
        <f t="shared" si="17"/>
        <v>200</v>
      </c>
      <c r="Q34" s="368">
        <f t="shared" si="14"/>
        <v>0</v>
      </c>
      <c r="R34" s="374" t="str">
        <f t="shared" si="15"/>
        <v/>
      </c>
      <c r="S34" s="367"/>
      <c r="T34" s="553"/>
      <c r="U34" s="368"/>
      <c r="W34" s="25"/>
    </row>
    <row r="35" spans="1:23" x14ac:dyDescent="0.25">
      <c r="A35" s="721">
        <v>5586</v>
      </c>
      <c r="B35" s="370" t="s">
        <v>725</v>
      </c>
      <c r="C35" s="373"/>
      <c r="D35" s="373"/>
      <c r="E35" s="373"/>
      <c r="F35" s="194"/>
      <c r="G35" s="194"/>
      <c r="H35" s="194"/>
      <c r="I35" s="194"/>
      <c r="J35" s="194"/>
      <c r="K35" s="194"/>
      <c r="L35" s="194"/>
      <c r="O35" s="372">
        <f t="shared" si="16"/>
        <v>750</v>
      </c>
      <c r="P35" s="393">
        <f t="shared" si="17"/>
        <v>850</v>
      </c>
      <c r="Q35" s="368">
        <f t="shared" si="14"/>
        <v>100</v>
      </c>
      <c r="R35" s="374">
        <f t="shared" si="15"/>
        <v>0.1333</v>
      </c>
      <c r="S35" s="367" t="s">
        <v>2370</v>
      </c>
      <c r="T35" s="553"/>
      <c r="U35" s="368"/>
      <c r="W35" s="25"/>
    </row>
    <row r="36" spans="1:23" x14ac:dyDescent="0.25">
      <c r="A36" s="721">
        <v>5490</v>
      </c>
      <c r="B36" s="370" t="s">
        <v>724</v>
      </c>
      <c r="C36" s="373">
        <v>511.33</v>
      </c>
      <c r="D36" s="373">
        <v>505.6</v>
      </c>
      <c r="E36" s="373">
        <v>538.77</v>
      </c>
      <c r="F36" s="194"/>
      <c r="G36" s="194"/>
      <c r="H36" s="194"/>
      <c r="I36" s="194"/>
      <c r="J36" s="194"/>
      <c r="K36" s="194"/>
      <c r="L36" s="194"/>
      <c r="O36" s="372">
        <f t="shared" si="16"/>
        <v>0</v>
      </c>
      <c r="P36" s="393">
        <f t="shared" si="17"/>
        <v>0</v>
      </c>
      <c r="Q36" s="368">
        <f t="shared" si="14"/>
        <v>0</v>
      </c>
      <c r="R36" s="374" t="str">
        <f t="shared" si="15"/>
        <v/>
      </c>
      <c r="S36" s="367"/>
      <c r="T36" s="553"/>
      <c r="U36" s="368"/>
      <c r="W36" s="25"/>
    </row>
    <row r="37" spans="1:23" x14ac:dyDescent="0.25">
      <c r="A37" s="721">
        <v>5710</v>
      </c>
      <c r="B37" s="370" t="s">
        <v>726</v>
      </c>
      <c r="C37" s="365"/>
      <c r="D37" s="365">
        <v>0</v>
      </c>
      <c r="E37" s="365"/>
      <c r="F37" s="194"/>
      <c r="G37" s="194"/>
      <c r="H37" s="194"/>
      <c r="I37" s="194"/>
      <c r="J37" s="194"/>
      <c r="K37" s="194"/>
      <c r="L37" s="194"/>
      <c r="O37" s="372">
        <f t="shared" si="16"/>
        <v>150</v>
      </c>
      <c r="P37" s="393">
        <f t="shared" si="17"/>
        <v>150</v>
      </c>
      <c r="Q37" s="368">
        <f t="shared" si="14"/>
        <v>0</v>
      </c>
      <c r="R37" s="374" t="str">
        <f t="shared" si="15"/>
        <v/>
      </c>
      <c r="S37" s="367"/>
      <c r="T37" s="553"/>
      <c r="U37" s="368"/>
      <c r="W37" s="25"/>
    </row>
    <row r="38" spans="1:23" ht="13.8" thickBot="1" x14ac:dyDescent="0.3">
      <c r="A38" s="721">
        <v>5730</v>
      </c>
      <c r="B38" s="370" t="s">
        <v>727</v>
      </c>
      <c r="C38" s="371">
        <v>20</v>
      </c>
      <c r="D38" s="371">
        <v>20</v>
      </c>
      <c r="E38" s="371">
        <v>20</v>
      </c>
      <c r="F38" s="194"/>
      <c r="G38" s="194"/>
      <c r="H38" s="194"/>
      <c r="I38" s="194"/>
      <c r="J38" s="194"/>
      <c r="K38" s="194"/>
      <c r="L38" s="194"/>
      <c r="O38" s="372">
        <f t="shared" si="16"/>
        <v>30</v>
      </c>
      <c r="P38" s="393">
        <f t="shared" si="17"/>
        <v>30</v>
      </c>
      <c r="Q38" s="368">
        <f t="shared" si="14"/>
        <v>0</v>
      </c>
      <c r="R38" s="374" t="str">
        <f t="shared" si="15"/>
        <v/>
      </c>
      <c r="S38" s="367"/>
      <c r="T38" s="553"/>
      <c r="U38" s="368"/>
      <c r="W38" s="25"/>
    </row>
    <row r="39" spans="1:23" x14ac:dyDescent="0.25">
      <c r="A39" s="703"/>
      <c r="B39" s="4"/>
      <c r="C39" s="23"/>
      <c r="D39" s="23"/>
      <c r="E39" s="23"/>
      <c r="F39" s="23"/>
      <c r="G39" s="23"/>
      <c r="H39" s="194"/>
      <c r="I39" s="194"/>
      <c r="J39" s="194"/>
      <c r="K39" s="194"/>
      <c r="L39" s="194"/>
      <c r="O39" s="23"/>
      <c r="P39" s="23"/>
      <c r="Q39" s="23"/>
      <c r="R39" s="25"/>
      <c r="S39" s="23"/>
      <c r="T39" s="23"/>
      <c r="U39" s="25"/>
      <c r="W39" s="25"/>
    </row>
    <row r="40" spans="1:23" x14ac:dyDescent="0.25">
      <c r="A40" s="703"/>
      <c r="B40" s="4" t="s">
        <v>735</v>
      </c>
      <c r="C40" s="23"/>
      <c r="D40" s="23"/>
      <c r="E40" s="23"/>
      <c r="F40" s="23"/>
      <c r="G40" s="23"/>
      <c r="H40" s="194"/>
      <c r="I40" s="194"/>
      <c r="J40" s="194"/>
      <c r="K40" s="194"/>
      <c r="L40" s="194"/>
      <c r="O40" s="597">
        <f>SUM(O29:O39)</f>
        <v>2980</v>
      </c>
      <c r="P40" s="597">
        <f>SUM(P29:P39)</f>
        <v>3180</v>
      </c>
      <c r="Q40" s="25">
        <f>+P40-O40</f>
        <v>200</v>
      </c>
      <c r="R40" s="598">
        <f>IF(O40+P40&lt;&gt;0,IF(O40&lt;&gt;0,IF(Q40&lt;&gt;0,ROUND((+Q40/O40),4),""),1),"")</f>
        <v>6.7100000000000007E-2</v>
      </c>
      <c r="S40" s="23"/>
      <c r="T40" s="23"/>
      <c r="U40" s="25"/>
      <c r="W40" s="25"/>
    </row>
    <row r="41" spans="1:23" x14ac:dyDescent="0.25">
      <c r="A41" s="703"/>
      <c r="B41" s="4"/>
      <c r="C41" s="23"/>
      <c r="D41" s="23"/>
      <c r="E41" s="23"/>
      <c r="F41" s="23"/>
      <c r="G41" s="23"/>
      <c r="H41" s="597"/>
      <c r="I41" s="23"/>
      <c r="J41" s="23"/>
      <c r="K41" s="23"/>
      <c r="L41" s="23"/>
      <c r="M41" s="23"/>
      <c r="N41" s="23"/>
      <c r="O41" s="23"/>
      <c r="P41" s="23"/>
      <c r="Q41" s="23"/>
      <c r="R41" s="25"/>
      <c r="S41" s="23"/>
      <c r="T41" s="23"/>
      <c r="U41" s="25"/>
      <c r="W41" s="25"/>
    </row>
    <row r="42" spans="1:23" x14ac:dyDescent="0.25">
      <c r="A42" s="703"/>
      <c r="B42" s="4"/>
      <c r="C42" s="23"/>
      <c r="D42" s="23"/>
      <c r="E42" s="23"/>
      <c r="F42" s="23"/>
      <c r="G42" s="23"/>
      <c r="H42" s="23"/>
      <c r="I42" s="23"/>
      <c r="J42" s="23"/>
      <c r="K42" s="23"/>
      <c r="L42" s="23"/>
      <c r="M42" s="23"/>
      <c r="N42" s="23"/>
      <c r="O42" s="23"/>
      <c r="P42" s="23"/>
      <c r="Q42" s="23"/>
      <c r="R42" s="25"/>
      <c r="S42" s="23"/>
      <c r="T42" s="23"/>
      <c r="U42" s="25"/>
      <c r="W42" s="25"/>
    </row>
    <row r="43" spans="1:23" x14ac:dyDescent="0.25">
      <c r="A43" s="703"/>
      <c r="B43" s="4"/>
      <c r="C43" s="23"/>
      <c r="D43" s="23"/>
      <c r="E43" s="23"/>
      <c r="F43" s="23"/>
      <c r="G43" s="23"/>
      <c r="H43" s="23"/>
      <c r="I43" s="23"/>
      <c r="J43" s="23"/>
      <c r="K43" s="23"/>
      <c r="L43" s="23"/>
      <c r="M43" s="23"/>
      <c r="N43" s="23"/>
      <c r="O43" s="23"/>
      <c r="P43" s="23"/>
      <c r="Q43" s="23"/>
      <c r="R43" s="25"/>
      <c r="S43" s="23"/>
      <c r="T43" s="23"/>
      <c r="U43" s="25"/>
      <c r="W43" s="25"/>
    </row>
    <row r="44" spans="1:23" x14ac:dyDescent="0.25">
      <c r="A44" s="703"/>
      <c r="B44" s="4"/>
      <c r="C44" s="23"/>
      <c r="D44" s="23"/>
      <c r="E44" s="23"/>
      <c r="F44" s="23"/>
      <c r="G44" s="23"/>
      <c r="H44" s="23"/>
      <c r="I44" s="23"/>
      <c r="J44" s="23"/>
      <c r="K44" s="23"/>
      <c r="L44" s="23"/>
      <c r="M44" s="23"/>
      <c r="N44" s="23"/>
      <c r="O44" s="23"/>
      <c r="P44" s="23"/>
      <c r="Q44" s="23"/>
      <c r="R44" s="25"/>
      <c r="S44" s="23"/>
      <c r="T44" s="23"/>
      <c r="U44" s="25"/>
      <c r="W44" s="25"/>
    </row>
    <row r="45" spans="1:23" x14ac:dyDescent="0.25">
      <c r="A45" s="703"/>
      <c r="B45" s="4"/>
      <c r="C45" s="23"/>
      <c r="D45" s="23"/>
      <c r="E45" s="23"/>
      <c r="F45" s="23"/>
      <c r="G45" s="23"/>
      <c r="H45" s="23"/>
      <c r="I45" s="23"/>
      <c r="J45" s="23"/>
      <c r="K45" s="23"/>
      <c r="L45" s="23"/>
      <c r="M45" s="23"/>
      <c r="N45" s="23"/>
      <c r="O45" s="23"/>
      <c r="P45" s="23"/>
      <c r="Q45" s="23"/>
      <c r="R45" s="25"/>
      <c r="S45" s="23"/>
      <c r="T45" s="23"/>
      <c r="U45" s="25"/>
      <c r="W45" s="25"/>
    </row>
    <row r="46" spans="1:23" x14ac:dyDescent="0.25">
      <c r="A46" s="703"/>
      <c r="B46" s="4"/>
      <c r="C46" s="23"/>
      <c r="D46" s="23"/>
      <c r="E46" s="23"/>
      <c r="F46" s="23"/>
      <c r="G46" s="23"/>
      <c r="H46" s="23"/>
      <c r="I46" s="23"/>
      <c r="J46" s="23"/>
      <c r="K46" s="23"/>
      <c r="L46" s="23"/>
      <c r="M46" s="23"/>
      <c r="N46" s="23"/>
      <c r="O46" s="23"/>
      <c r="P46" s="23"/>
      <c r="Q46" s="23"/>
      <c r="R46" s="25"/>
      <c r="S46" s="23"/>
      <c r="T46" s="23"/>
      <c r="U46" s="25"/>
      <c r="W46" s="25"/>
    </row>
    <row r="47" spans="1:23" x14ac:dyDescent="0.25">
      <c r="A47" s="703"/>
      <c r="B47" s="4"/>
      <c r="C47" s="23"/>
      <c r="D47" s="23"/>
      <c r="E47" s="23"/>
      <c r="F47" s="23"/>
      <c r="G47" s="23"/>
      <c r="H47" s="23"/>
      <c r="I47" s="23"/>
      <c r="J47" s="23"/>
      <c r="K47" s="23"/>
      <c r="L47" s="23"/>
      <c r="M47" s="23"/>
      <c r="N47" s="23"/>
      <c r="O47" s="23"/>
      <c r="P47" s="23"/>
      <c r="Q47" s="23"/>
      <c r="R47" s="25"/>
      <c r="S47" s="23"/>
      <c r="T47" s="23"/>
      <c r="U47" s="25"/>
      <c r="W47" s="25"/>
    </row>
    <row r="48" spans="1:23" x14ac:dyDescent="0.25">
      <c r="A48" s="703"/>
      <c r="B48" s="4"/>
      <c r="C48" s="23"/>
      <c r="D48" s="23"/>
      <c r="E48" s="23"/>
      <c r="F48" s="23"/>
      <c r="G48" s="23"/>
      <c r="H48" s="23"/>
      <c r="I48" s="23"/>
      <c r="J48" s="23"/>
      <c r="K48" s="23"/>
      <c r="L48" s="23"/>
      <c r="M48" s="23"/>
      <c r="N48" s="23"/>
      <c r="O48" s="23"/>
      <c r="P48" s="23"/>
      <c r="Q48" s="23"/>
      <c r="R48" s="25"/>
      <c r="S48" s="23"/>
      <c r="T48" s="23"/>
      <c r="U48" s="25"/>
      <c r="W48" s="25"/>
    </row>
    <row r="49" spans="1:23" x14ac:dyDescent="0.25">
      <c r="A49" s="703"/>
      <c r="B49" s="4"/>
      <c r="C49" s="23"/>
      <c r="D49" s="23"/>
      <c r="E49" s="23"/>
      <c r="F49" s="23"/>
      <c r="G49" s="23"/>
      <c r="H49" s="23"/>
      <c r="I49" s="23"/>
      <c r="J49" s="23"/>
      <c r="K49" s="23"/>
      <c r="L49" s="23"/>
      <c r="M49" s="23"/>
      <c r="N49" s="23"/>
      <c r="O49" s="23"/>
      <c r="P49" s="23"/>
      <c r="Q49" s="23"/>
      <c r="R49" s="25"/>
      <c r="S49" s="23"/>
      <c r="T49" s="23"/>
      <c r="U49" s="25"/>
      <c r="W49" s="25"/>
    </row>
    <row r="50" spans="1:23" x14ac:dyDescent="0.25">
      <c r="A50" s="703"/>
      <c r="B50" s="4"/>
      <c r="C50" s="23"/>
      <c r="D50" s="23"/>
      <c r="E50" s="23"/>
      <c r="F50" s="23"/>
      <c r="G50" s="23"/>
      <c r="H50" s="23"/>
      <c r="I50" s="23"/>
      <c r="J50" s="23"/>
      <c r="K50" s="23"/>
      <c r="L50" s="23"/>
      <c r="M50" s="23"/>
      <c r="N50" s="23"/>
      <c r="O50" s="23"/>
      <c r="P50" s="23"/>
      <c r="Q50" s="23"/>
      <c r="R50" s="25"/>
      <c r="S50" s="23"/>
      <c r="T50" s="23"/>
      <c r="U50" s="25"/>
      <c r="W50" s="25"/>
    </row>
    <row r="51" spans="1:23" x14ac:dyDescent="0.25">
      <c r="A51" s="703"/>
      <c r="B51" s="4"/>
      <c r="C51" s="23"/>
      <c r="D51" s="23"/>
      <c r="E51" s="23"/>
      <c r="F51" s="23"/>
      <c r="G51" s="23"/>
      <c r="H51" s="23"/>
      <c r="I51" s="23"/>
      <c r="J51" s="23"/>
      <c r="K51" s="23"/>
      <c r="L51" s="23"/>
      <c r="M51" s="23"/>
      <c r="N51" s="23"/>
      <c r="O51" s="23"/>
      <c r="P51" s="23"/>
      <c r="Q51" s="23"/>
      <c r="R51" s="25"/>
      <c r="S51" s="23"/>
      <c r="T51" s="23"/>
      <c r="U51" s="25"/>
      <c r="W51" s="25"/>
    </row>
    <row r="52" spans="1:23" x14ac:dyDescent="0.25">
      <c r="A52" s="703"/>
      <c r="B52" s="4"/>
      <c r="C52" s="23"/>
      <c r="D52" s="23"/>
      <c r="E52" s="23"/>
      <c r="F52" s="23"/>
      <c r="G52" s="23"/>
      <c r="H52" s="23"/>
      <c r="I52" s="23"/>
      <c r="J52" s="23"/>
      <c r="K52" s="23"/>
      <c r="L52" s="23"/>
      <c r="M52" s="23"/>
      <c r="N52" s="23"/>
      <c r="O52" s="23"/>
      <c r="P52" s="23"/>
      <c r="Q52" s="23"/>
      <c r="R52" s="25"/>
      <c r="S52" s="23"/>
      <c r="T52" s="23"/>
      <c r="U52" s="25"/>
      <c r="W52" s="25"/>
    </row>
    <row r="53" spans="1:23" x14ac:dyDescent="0.25">
      <c r="A53" s="703"/>
      <c r="B53" s="4"/>
      <c r="C53" s="23"/>
      <c r="D53" s="23"/>
      <c r="E53" s="23"/>
      <c r="F53" s="23"/>
      <c r="G53" s="23"/>
      <c r="H53" s="23"/>
      <c r="I53" s="23"/>
      <c r="J53" s="23"/>
      <c r="K53" s="23"/>
      <c r="L53" s="23"/>
      <c r="M53" s="23"/>
      <c r="N53" s="23"/>
      <c r="O53" s="23"/>
      <c r="P53" s="23"/>
      <c r="Q53" s="23"/>
      <c r="R53" s="25"/>
      <c r="S53" s="23"/>
      <c r="T53" s="23"/>
      <c r="U53" s="25"/>
      <c r="W53" s="25"/>
    </row>
    <row r="54" spans="1:23" x14ac:dyDescent="0.25">
      <c r="A54" s="703"/>
      <c r="B54" s="4"/>
      <c r="C54" s="23"/>
      <c r="D54" s="23"/>
      <c r="E54" s="23"/>
      <c r="F54" s="23"/>
      <c r="G54" s="23"/>
      <c r="H54" s="23"/>
      <c r="I54" s="23"/>
      <c r="J54" s="23"/>
      <c r="K54" s="23"/>
      <c r="L54" s="23"/>
      <c r="M54" s="23"/>
      <c r="N54" s="23"/>
      <c r="O54" s="23"/>
      <c r="P54" s="23"/>
      <c r="Q54" s="23"/>
      <c r="R54" s="25"/>
      <c r="S54" s="23"/>
      <c r="T54" s="23"/>
      <c r="U54" s="25"/>
      <c r="W54" s="25"/>
    </row>
    <row r="55" spans="1:23" x14ac:dyDescent="0.25">
      <c r="A55" s="703"/>
      <c r="B55" s="4"/>
      <c r="C55" s="23"/>
      <c r="D55" s="23"/>
      <c r="E55" s="23"/>
      <c r="F55" s="23"/>
      <c r="G55" s="23"/>
      <c r="H55" s="23"/>
      <c r="I55" s="23"/>
      <c r="J55" s="23"/>
      <c r="K55" s="23"/>
      <c r="L55" s="23"/>
      <c r="M55" s="23"/>
      <c r="N55" s="23"/>
      <c r="O55" s="23"/>
      <c r="P55" s="23"/>
      <c r="Q55" s="23"/>
      <c r="R55" s="25"/>
      <c r="S55" s="23"/>
      <c r="T55" s="23"/>
      <c r="U55" s="25"/>
      <c r="W55" s="25"/>
    </row>
    <row r="56" spans="1:23" x14ac:dyDescent="0.25">
      <c r="A56" s="703"/>
      <c r="B56" s="4"/>
      <c r="C56" s="23"/>
      <c r="D56" s="23"/>
      <c r="E56" s="23"/>
      <c r="F56" s="23"/>
      <c r="G56" s="23"/>
      <c r="H56" s="23"/>
      <c r="I56" s="23"/>
      <c r="J56" s="23"/>
      <c r="K56" s="23"/>
      <c r="L56" s="23"/>
      <c r="M56" s="23"/>
      <c r="N56" s="23"/>
      <c r="O56" s="23"/>
      <c r="P56" s="23"/>
      <c r="Q56" s="23"/>
      <c r="R56" s="25"/>
      <c r="S56" s="23"/>
      <c r="T56" s="23"/>
      <c r="U56" s="25"/>
      <c r="W56" s="25"/>
    </row>
    <row r="57" spans="1:23" x14ac:dyDescent="0.25">
      <c r="A57" s="703"/>
      <c r="B57" s="4"/>
      <c r="C57" s="23"/>
      <c r="D57" s="23"/>
      <c r="E57" s="23"/>
      <c r="F57" s="23"/>
      <c r="G57" s="23"/>
      <c r="H57" s="23"/>
      <c r="I57" s="23"/>
      <c r="J57" s="23"/>
      <c r="K57" s="23"/>
      <c r="L57" s="23"/>
      <c r="M57" s="23"/>
      <c r="N57" s="23"/>
      <c r="O57" s="23"/>
      <c r="P57" s="23"/>
      <c r="Q57" s="23"/>
      <c r="R57" s="25"/>
      <c r="S57" s="23"/>
      <c r="T57" s="23"/>
      <c r="U57" s="25"/>
      <c r="W57" s="25"/>
    </row>
    <row r="58" spans="1:23" x14ac:dyDescent="0.25">
      <c r="A58" s="703"/>
      <c r="B58" s="4"/>
      <c r="C58" s="23"/>
      <c r="D58" s="23"/>
      <c r="E58" s="23"/>
      <c r="F58" s="23"/>
      <c r="G58" s="23"/>
      <c r="H58" s="23"/>
      <c r="I58" s="23"/>
      <c r="J58" s="23"/>
      <c r="K58" s="23"/>
      <c r="L58" s="23"/>
      <c r="M58" s="23"/>
      <c r="N58" s="23"/>
      <c r="O58" s="23"/>
      <c r="P58" s="23"/>
      <c r="Q58" s="23"/>
      <c r="R58" s="25"/>
      <c r="S58" s="23"/>
      <c r="T58" s="23"/>
      <c r="U58" s="25"/>
      <c r="W58" s="25"/>
    </row>
    <row r="59" spans="1:23" x14ac:dyDescent="0.25">
      <c r="A59" s="703"/>
      <c r="B59" s="4"/>
      <c r="C59" s="23"/>
      <c r="D59" s="23"/>
      <c r="E59" s="23"/>
      <c r="F59" s="23"/>
      <c r="G59" s="23"/>
      <c r="H59" s="23"/>
      <c r="I59" s="23"/>
      <c r="J59" s="23"/>
      <c r="K59" s="23"/>
      <c r="L59" s="23"/>
      <c r="M59" s="23"/>
      <c r="N59" s="23"/>
      <c r="O59" s="23"/>
      <c r="P59" s="23"/>
      <c r="Q59" s="23"/>
      <c r="R59" s="25"/>
      <c r="S59" s="23"/>
      <c r="T59" s="23"/>
      <c r="U59" s="25"/>
      <c r="W59" s="25"/>
    </row>
    <row r="60" spans="1:23" x14ac:dyDescent="0.25">
      <c r="A60" s="703"/>
      <c r="B60" s="4"/>
      <c r="C60" s="23"/>
      <c r="D60" s="23"/>
      <c r="E60" s="23"/>
      <c r="F60" s="23"/>
      <c r="G60" s="23"/>
      <c r="H60" s="23"/>
      <c r="I60" s="23"/>
      <c r="J60" s="23"/>
      <c r="K60" s="23"/>
      <c r="L60" s="23"/>
      <c r="M60" s="23"/>
      <c r="N60" s="23"/>
      <c r="O60" s="23"/>
      <c r="P60" s="23"/>
      <c r="Q60" s="23"/>
      <c r="R60" s="25"/>
      <c r="S60" s="23"/>
      <c r="T60" s="23"/>
      <c r="U60" s="25"/>
      <c r="W60" s="25"/>
    </row>
    <row r="61" spans="1:23" x14ac:dyDescent="0.25">
      <c r="A61" s="703"/>
      <c r="B61" s="4"/>
      <c r="C61" s="23"/>
      <c r="D61" s="23"/>
      <c r="E61" s="23"/>
      <c r="F61" s="23"/>
      <c r="G61" s="23"/>
      <c r="H61" s="23"/>
      <c r="I61" s="23"/>
      <c r="J61" s="23"/>
      <c r="K61" s="23"/>
      <c r="L61" s="23"/>
      <c r="M61" s="23"/>
      <c r="N61" s="23"/>
      <c r="O61" s="23"/>
      <c r="P61" s="23"/>
      <c r="Q61" s="23"/>
      <c r="R61" s="25"/>
      <c r="S61" s="23"/>
      <c r="T61" s="23"/>
      <c r="U61" s="25"/>
      <c r="W61" s="25"/>
    </row>
    <row r="62" spans="1:23" x14ac:dyDescent="0.25">
      <c r="A62" s="703"/>
      <c r="B62" s="4"/>
      <c r="C62" s="23"/>
      <c r="D62" s="23"/>
      <c r="E62" s="23"/>
      <c r="F62" s="23"/>
      <c r="G62" s="23"/>
      <c r="H62" s="23"/>
      <c r="I62" s="23"/>
      <c r="J62" s="23"/>
      <c r="K62" s="23"/>
      <c r="L62" s="23"/>
      <c r="M62" s="23"/>
      <c r="N62" s="23"/>
      <c r="O62" s="23"/>
      <c r="P62" s="23"/>
      <c r="Q62" s="23"/>
      <c r="R62" s="25"/>
      <c r="S62" s="23"/>
      <c r="T62" s="23"/>
      <c r="U62" s="25"/>
      <c r="W62" s="25"/>
    </row>
    <row r="63" spans="1:23" x14ac:dyDescent="0.25">
      <c r="A63" s="703"/>
      <c r="B63" s="4"/>
      <c r="C63" s="23"/>
      <c r="D63" s="23"/>
      <c r="E63" s="23"/>
      <c r="F63" s="23"/>
      <c r="G63" s="23"/>
      <c r="H63" s="23"/>
      <c r="I63" s="23"/>
      <c r="J63" s="23"/>
      <c r="K63" s="23"/>
      <c r="L63" s="23"/>
      <c r="M63" s="23"/>
      <c r="N63" s="23"/>
      <c r="O63" s="23"/>
      <c r="P63" s="23"/>
      <c r="Q63" s="23"/>
      <c r="R63" s="25"/>
      <c r="S63" s="23"/>
      <c r="T63" s="23"/>
      <c r="U63" s="25"/>
      <c r="W63" s="25"/>
    </row>
    <row r="64" spans="1:23" x14ac:dyDescent="0.25">
      <c r="A64" s="703"/>
      <c r="B64" s="4"/>
      <c r="C64" s="23"/>
      <c r="D64" s="23"/>
      <c r="E64" s="23"/>
      <c r="F64" s="23"/>
      <c r="G64" s="23"/>
      <c r="H64" s="23"/>
      <c r="I64" s="23"/>
      <c r="J64" s="23"/>
      <c r="K64" s="23"/>
      <c r="L64" s="23"/>
      <c r="M64" s="23"/>
      <c r="N64" s="23"/>
      <c r="O64" s="23"/>
      <c r="P64" s="23"/>
      <c r="Q64" s="23"/>
      <c r="R64" s="25"/>
      <c r="S64" s="23"/>
      <c r="T64" s="23"/>
      <c r="U64" s="25"/>
      <c r="W64" s="25"/>
    </row>
    <row r="65" spans="1:23" x14ac:dyDescent="0.25">
      <c r="A65" s="703"/>
      <c r="B65" s="4"/>
      <c r="C65" s="23"/>
      <c r="D65" s="23"/>
      <c r="E65" s="23"/>
      <c r="F65" s="23"/>
      <c r="G65" s="23"/>
      <c r="H65" s="23"/>
      <c r="I65" s="23"/>
      <c r="J65" s="23"/>
      <c r="K65" s="23"/>
      <c r="L65" s="23"/>
      <c r="M65" s="23"/>
      <c r="N65" s="23"/>
      <c r="O65" s="23"/>
      <c r="P65" s="23"/>
      <c r="Q65" s="23"/>
      <c r="R65" s="25"/>
      <c r="S65" s="23"/>
      <c r="T65" s="23"/>
      <c r="U65" s="25"/>
      <c r="W65" s="25"/>
    </row>
    <row r="66" spans="1:23" x14ac:dyDescent="0.25">
      <c r="A66" s="703"/>
      <c r="B66" s="4"/>
      <c r="C66" s="23"/>
      <c r="D66" s="23"/>
      <c r="E66" s="23"/>
      <c r="F66" s="23"/>
      <c r="G66" s="23"/>
      <c r="H66" s="23"/>
      <c r="I66" s="23"/>
      <c r="J66" s="23"/>
      <c r="K66" s="23"/>
      <c r="L66" s="23"/>
      <c r="M66" s="23"/>
      <c r="N66" s="23"/>
      <c r="O66" s="23"/>
      <c r="P66" s="23"/>
      <c r="Q66" s="23"/>
      <c r="R66" s="25"/>
      <c r="S66" s="23"/>
      <c r="T66" s="23"/>
      <c r="U66" s="25"/>
      <c r="W66" s="25"/>
    </row>
    <row r="67" spans="1:23" x14ac:dyDescent="0.25">
      <c r="A67" s="703"/>
      <c r="B67" s="4"/>
      <c r="C67" s="23"/>
      <c r="D67" s="23"/>
      <c r="E67" s="23"/>
      <c r="F67" s="23"/>
      <c r="G67" s="23"/>
      <c r="H67" s="23"/>
      <c r="I67" s="23"/>
      <c r="J67" s="23"/>
      <c r="K67" s="23"/>
      <c r="L67" s="23"/>
      <c r="M67" s="23"/>
      <c r="N67" s="23"/>
      <c r="O67" s="23"/>
      <c r="P67" s="23"/>
      <c r="Q67" s="23"/>
      <c r="R67" s="25"/>
      <c r="S67" s="23"/>
      <c r="T67" s="23"/>
      <c r="U67" s="25"/>
      <c r="W67" s="25"/>
    </row>
    <row r="68" spans="1:23" x14ac:dyDescent="0.25">
      <c r="A68" s="703"/>
      <c r="B68" s="4"/>
      <c r="C68" s="23"/>
      <c r="D68" s="23"/>
      <c r="E68" s="23"/>
      <c r="F68" s="23"/>
      <c r="G68" s="23"/>
      <c r="H68" s="23"/>
      <c r="I68" s="23"/>
      <c r="J68" s="23"/>
      <c r="K68" s="23"/>
      <c r="L68" s="23"/>
      <c r="M68" s="23"/>
      <c r="N68" s="23"/>
      <c r="O68" s="23"/>
      <c r="P68" s="23"/>
      <c r="Q68" s="23"/>
      <c r="R68" s="25"/>
      <c r="S68" s="23"/>
      <c r="T68" s="23"/>
      <c r="U68" s="25"/>
      <c r="W68" s="25"/>
    </row>
    <row r="69" spans="1:23" x14ac:dyDescent="0.25">
      <c r="A69" s="703"/>
      <c r="B69" s="4"/>
      <c r="C69" s="23"/>
      <c r="D69" s="23"/>
      <c r="E69" s="23"/>
      <c r="F69" s="23"/>
      <c r="G69" s="23"/>
      <c r="H69" s="23"/>
      <c r="I69" s="23"/>
      <c r="J69" s="23"/>
      <c r="K69" s="23"/>
      <c r="L69" s="23"/>
      <c r="M69" s="23"/>
      <c r="N69" s="23"/>
      <c r="O69" s="23"/>
      <c r="P69" s="23"/>
      <c r="Q69" s="23"/>
      <c r="R69" s="25"/>
      <c r="S69" s="23"/>
      <c r="T69" s="23"/>
      <c r="U69" s="25"/>
      <c r="W69" s="25"/>
    </row>
    <row r="70" spans="1:23" x14ac:dyDescent="0.25">
      <c r="A70" s="703"/>
      <c r="B70" s="4"/>
      <c r="C70" s="23"/>
      <c r="D70" s="23"/>
      <c r="E70" s="23"/>
      <c r="F70" s="23"/>
      <c r="G70" s="23"/>
      <c r="H70" s="23"/>
      <c r="I70" s="23"/>
      <c r="J70" s="23"/>
      <c r="K70" s="23"/>
      <c r="L70" s="23"/>
      <c r="M70" s="23"/>
      <c r="N70" s="23"/>
      <c r="O70" s="23"/>
      <c r="P70" s="23"/>
      <c r="Q70" s="23"/>
      <c r="R70" s="25"/>
      <c r="S70" s="23"/>
      <c r="T70" s="23"/>
      <c r="U70" s="25"/>
      <c r="W70" s="25"/>
    </row>
    <row r="71" spans="1:23" x14ac:dyDescent="0.25">
      <c r="A71" s="703"/>
      <c r="B71" s="4"/>
      <c r="C71" s="23"/>
      <c r="D71" s="23"/>
      <c r="E71" s="23"/>
      <c r="F71" s="23"/>
      <c r="G71" s="23"/>
      <c r="H71" s="23"/>
      <c r="I71" s="23"/>
      <c r="J71" s="23"/>
      <c r="K71" s="23"/>
      <c r="L71" s="23"/>
      <c r="M71" s="23"/>
      <c r="N71" s="23"/>
      <c r="O71" s="23"/>
      <c r="P71" s="23"/>
      <c r="Q71" s="23"/>
      <c r="R71" s="25"/>
      <c r="S71" s="23"/>
      <c r="T71" s="23"/>
      <c r="U71" s="25"/>
      <c r="W71" s="25"/>
    </row>
    <row r="72" spans="1:23" x14ac:dyDescent="0.25">
      <c r="A72" s="703"/>
      <c r="B72" s="4"/>
      <c r="C72" s="23"/>
      <c r="D72" s="23"/>
      <c r="E72" s="23"/>
      <c r="F72" s="23"/>
      <c r="G72" s="23"/>
      <c r="H72" s="23"/>
      <c r="I72" s="23"/>
      <c r="J72" s="23"/>
      <c r="K72" s="23"/>
      <c r="L72" s="23"/>
      <c r="M72" s="23"/>
      <c r="N72" s="23"/>
      <c r="O72" s="23"/>
      <c r="P72" s="23"/>
      <c r="Q72" s="23"/>
      <c r="R72" s="4"/>
      <c r="S72" s="23"/>
      <c r="T72" s="23"/>
      <c r="U72" s="4"/>
      <c r="W72" s="4"/>
    </row>
    <row r="73" spans="1:23" x14ac:dyDescent="0.25">
      <c r="A73" s="703"/>
      <c r="B73" s="4"/>
      <c r="C73" s="23"/>
      <c r="D73" s="23"/>
      <c r="E73" s="23"/>
      <c r="F73" s="23"/>
      <c r="G73" s="23"/>
      <c r="H73" s="23"/>
      <c r="I73" s="23"/>
      <c r="J73" s="23"/>
      <c r="K73" s="23"/>
      <c r="L73" s="23"/>
      <c r="M73" s="23"/>
      <c r="N73" s="23"/>
      <c r="O73" s="23"/>
      <c r="P73" s="23"/>
      <c r="Q73" s="23"/>
      <c r="R73" s="4"/>
      <c r="S73" s="23"/>
      <c r="T73" s="23"/>
      <c r="U73" s="4"/>
      <c r="W73" s="4"/>
    </row>
    <row r="74" spans="1:23" x14ac:dyDescent="0.25">
      <c r="A74" s="703"/>
      <c r="B74" s="4"/>
      <c r="C74" s="23"/>
      <c r="D74" s="23"/>
      <c r="E74" s="23"/>
      <c r="F74" s="23"/>
      <c r="G74" s="23"/>
      <c r="H74" s="23"/>
      <c r="I74" s="23"/>
      <c r="J74" s="23"/>
      <c r="K74" s="23"/>
      <c r="L74" s="23"/>
      <c r="M74" s="23"/>
      <c r="N74" s="23"/>
      <c r="O74" s="23"/>
      <c r="P74" s="23"/>
      <c r="Q74" s="23"/>
      <c r="R74" s="4"/>
      <c r="S74" s="23"/>
      <c r="T74" s="23"/>
      <c r="U74" s="4"/>
      <c r="W74" s="4"/>
    </row>
    <row r="75" spans="1:23" x14ac:dyDescent="0.25">
      <c r="A75" s="703"/>
      <c r="B75" s="4"/>
      <c r="C75" s="23"/>
      <c r="D75" s="23"/>
      <c r="E75" s="23"/>
      <c r="F75" s="23"/>
      <c r="G75" s="23"/>
      <c r="H75" s="23"/>
      <c r="I75" s="23"/>
      <c r="J75" s="23"/>
      <c r="K75" s="23"/>
      <c r="L75" s="23"/>
      <c r="M75" s="23"/>
      <c r="N75" s="23"/>
      <c r="O75" s="23"/>
      <c r="P75" s="23"/>
      <c r="Q75" s="23"/>
      <c r="R75" s="4"/>
      <c r="S75" s="23"/>
      <c r="T75" s="23"/>
      <c r="U75" s="4"/>
      <c r="W75" s="4"/>
    </row>
    <row r="76" spans="1:23" x14ac:dyDescent="0.25">
      <c r="A76" s="703"/>
      <c r="B76" s="4"/>
      <c r="C76" s="23"/>
      <c r="D76" s="23"/>
      <c r="E76" s="23"/>
      <c r="F76" s="23"/>
      <c r="G76" s="23"/>
      <c r="H76" s="23"/>
      <c r="I76" s="23"/>
      <c r="J76" s="23"/>
      <c r="K76" s="23"/>
      <c r="L76" s="23"/>
      <c r="M76" s="23"/>
      <c r="N76" s="23"/>
      <c r="O76" s="23"/>
      <c r="P76" s="23"/>
      <c r="Q76" s="23"/>
      <c r="R76" s="4"/>
      <c r="S76" s="23"/>
      <c r="T76" s="23"/>
      <c r="U76" s="4"/>
      <c r="W76" s="4"/>
    </row>
    <row r="77" spans="1:23" x14ac:dyDescent="0.25">
      <c r="A77" s="703"/>
      <c r="B77" s="4"/>
      <c r="C77" s="23"/>
      <c r="D77" s="23"/>
      <c r="E77" s="23"/>
      <c r="F77" s="23"/>
      <c r="G77" s="23"/>
      <c r="H77" s="23"/>
      <c r="I77" s="23"/>
      <c r="J77" s="23"/>
      <c r="K77" s="23"/>
      <c r="L77" s="23"/>
      <c r="M77" s="23"/>
      <c r="N77" s="23"/>
      <c r="O77" s="23"/>
      <c r="P77" s="23"/>
      <c r="Q77" s="23"/>
      <c r="R77" s="4"/>
      <c r="S77" s="23"/>
      <c r="T77" s="23"/>
      <c r="U77" s="4"/>
      <c r="W77" s="4"/>
    </row>
    <row r="78" spans="1:23" x14ac:dyDescent="0.25">
      <c r="A78" s="703"/>
      <c r="B78" s="4"/>
      <c r="C78" s="23"/>
      <c r="D78" s="23"/>
      <c r="E78" s="23"/>
      <c r="F78" s="23"/>
      <c r="G78" s="23"/>
      <c r="H78" s="23"/>
      <c r="I78" s="23"/>
      <c r="J78" s="23"/>
      <c r="K78" s="23"/>
      <c r="L78" s="23"/>
      <c r="M78" s="23"/>
      <c r="N78" s="23"/>
      <c r="O78" s="23"/>
      <c r="P78" s="23"/>
      <c r="Q78" s="23"/>
      <c r="R78" s="4"/>
      <c r="S78" s="23"/>
      <c r="T78" s="23"/>
      <c r="U78" s="4"/>
      <c r="W78" s="4"/>
    </row>
    <row r="79" spans="1:23" x14ac:dyDescent="0.25">
      <c r="A79" s="703"/>
      <c r="B79" s="4"/>
      <c r="C79" s="23"/>
      <c r="D79" s="23"/>
      <c r="E79" s="23"/>
      <c r="F79" s="23"/>
      <c r="G79" s="23"/>
      <c r="H79" s="23"/>
      <c r="I79" s="23"/>
      <c r="J79" s="23"/>
      <c r="K79" s="23"/>
      <c r="L79" s="23"/>
      <c r="M79" s="23"/>
      <c r="N79" s="23"/>
      <c r="O79" s="23"/>
      <c r="P79" s="23"/>
      <c r="Q79" s="23"/>
      <c r="R79" s="4"/>
      <c r="S79" s="23"/>
      <c r="T79" s="23"/>
      <c r="U79" s="4"/>
      <c r="W79" s="4"/>
    </row>
    <row r="80" spans="1:23" x14ac:dyDescent="0.25">
      <c r="A80" s="703"/>
      <c r="B80" s="4"/>
      <c r="C80" s="23"/>
      <c r="D80" s="23"/>
      <c r="E80" s="23"/>
      <c r="F80" s="23"/>
      <c r="G80" s="23"/>
      <c r="H80" s="23"/>
      <c r="I80" s="23"/>
      <c r="J80" s="23"/>
      <c r="K80" s="23"/>
      <c r="L80" s="23"/>
      <c r="M80" s="23"/>
      <c r="N80" s="23"/>
      <c r="O80" s="23"/>
      <c r="P80" s="23"/>
      <c r="Q80" s="23"/>
      <c r="R80" s="4"/>
      <c r="S80" s="23"/>
      <c r="T80" s="23"/>
      <c r="U80" s="4"/>
      <c r="W80" s="4"/>
    </row>
    <row r="81" spans="1:23" x14ac:dyDescent="0.25">
      <c r="A81" s="703"/>
      <c r="B81" s="4"/>
      <c r="C81" s="23"/>
      <c r="D81" s="23"/>
      <c r="E81" s="23"/>
      <c r="F81" s="23"/>
      <c r="G81" s="23"/>
      <c r="H81" s="23"/>
      <c r="I81" s="23"/>
      <c r="J81" s="23"/>
      <c r="K81" s="23"/>
      <c r="L81" s="23"/>
      <c r="M81" s="23"/>
      <c r="N81" s="23"/>
      <c r="O81" s="23"/>
      <c r="P81" s="23"/>
      <c r="Q81" s="23"/>
      <c r="R81" s="4"/>
      <c r="S81" s="23"/>
      <c r="T81" s="23"/>
      <c r="U81" s="4"/>
      <c r="W81" s="4"/>
    </row>
    <row r="82" spans="1:23" x14ac:dyDescent="0.25">
      <c r="A82" s="703"/>
      <c r="B82" s="4"/>
      <c r="C82" s="23"/>
      <c r="D82" s="23"/>
      <c r="E82" s="23"/>
      <c r="F82" s="23"/>
      <c r="G82" s="23"/>
      <c r="H82" s="23"/>
      <c r="I82" s="23"/>
      <c r="J82" s="23"/>
      <c r="K82" s="23"/>
      <c r="L82" s="23"/>
      <c r="M82" s="23"/>
      <c r="N82" s="23"/>
      <c r="O82" s="23"/>
      <c r="P82" s="23"/>
      <c r="Q82" s="23"/>
      <c r="R82" s="4"/>
      <c r="S82" s="23"/>
      <c r="T82" s="23"/>
      <c r="U82" s="4"/>
      <c r="W82" s="4"/>
    </row>
    <row r="83" spans="1:23" x14ac:dyDescent="0.25">
      <c r="A83" s="703"/>
      <c r="B83" s="4"/>
      <c r="C83" s="23"/>
      <c r="D83" s="23"/>
      <c r="E83" s="23"/>
      <c r="F83" s="23"/>
      <c r="G83" s="23"/>
      <c r="H83" s="23"/>
      <c r="I83" s="23"/>
      <c r="J83" s="23"/>
      <c r="K83" s="23"/>
      <c r="L83" s="23"/>
      <c r="M83" s="23"/>
      <c r="N83" s="23"/>
      <c r="O83" s="23"/>
      <c r="P83" s="23"/>
      <c r="Q83" s="23"/>
      <c r="R83" s="4"/>
      <c r="S83" s="23"/>
      <c r="T83" s="23"/>
      <c r="U83" s="4"/>
      <c r="W83" s="4"/>
    </row>
    <row r="84" spans="1:23" x14ac:dyDescent="0.25">
      <c r="A84" s="703"/>
      <c r="B84" s="4"/>
      <c r="C84" s="23"/>
      <c r="D84" s="23"/>
      <c r="E84" s="23"/>
      <c r="F84" s="23"/>
      <c r="G84" s="23"/>
      <c r="H84" s="23"/>
      <c r="I84" s="23"/>
      <c r="J84" s="23"/>
      <c r="K84" s="23"/>
      <c r="L84" s="23"/>
      <c r="M84" s="23"/>
      <c r="N84" s="23"/>
      <c r="O84" s="23"/>
      <c r="P84" s="23"/>
      <c r="Q84" s="23"/>
      <c r="R84" s="4"/>
      <c r="S84" s="23"/>
      <c r="T84" s="23"/>
      <c r="U84" s="4"/>
      <c r="W84" s="4"/>
    </row>
    <row r="85" spans="1:23" x14ac:dyDescent="0.25">
      <c r="A85" s="703"/>
      <c r="B85" s="4"/>
      <c r="C85" s="23"/>
      <c r="D85" s="23"/>
      <c r="E85" s="23"/>
      <c r="F85" s="23"/>
      <c r="G85" s="23"/>
      <c r="H85" s="23"/>
      <c r="I85" s="23"/>
      <c r="J85" s="23"/>
      <c r="K85" s="23"/>
      <c r="L85" s="23"/>
      <c r="M85" s="23"/>
      <c r="N85" s="23"/>
      <c r="O85" s="23"/>
      <c r="P85" s="23"/>
      <c r="Q85" s="23"/>
      <c r="R85" s="4"/>
      <c r="S85" s="23"/>
      <c r="T85" s="23"/>
      <c r="U85" s="4"/>
      <c r="W85" s="4"/>
    </row>
    <row r="86" spans="1:23" x14ac:dyDescent="0.25">
      <c r="A86" s="703"/>
      <c r="B86" s="4"/>
      <c r="C86" s="23"/>
      <c r="D86" s="23"/>
      <c r="E86" s="23"/>
      <c r="F86" s="23"/>
      <c r="G86" s="23"/>
      <c r="H86" s="23"/>
      <c r="I86" s="23"/>
      <c r="J86" s="23"/>
      <c r="K86" s="23"/>
      <c r="L86" s="23"/>
      <c r="M86" s="23"/>
      <c r="N86" s="23"/>
      <c r="O86" s="23"/>
      <c r="P86" s="23"/>
      <c r="Q86" s="23"/>
      <c r="R86" s="4"/>
      <c r="S86" s="23"/>
      <c r="T86" s="23"/>
      <c r="U86" s="4"/>
      <c r="W86" s="4"/>
    </row>
    <row r="87" spans="1:23" x14ac:dyDescent="0.25">
      <c r="A87" s="703"/>
      <c r="B87" s="4"/>
      <c r="C87" s="23"/>
      <c r="D87" s="23"/>
      <c r="E87" s="23"/>
      <c r="F87" s="23"/>
      <c r="G87" s="23"/>
      <c r="H87" s="23"/>
      <c r="I87" s="23"/>
      <c r="J87" s="23"/>
      <c r="K87" s="23"/>
      <c r="L87" s="23"/>
      <c r="M87" s="23"/>
      <c r="N87" s="23"/>
      <c r="O87" s="23"/>
      <c r="P87" s="23"/>
      <c r="Q87" s="23"/>
      <c r="R87" s="4"/>
      <c r="S87" s="23"/>
      <c r="T87" s="23"/>
      <c r="U87" s="4"/>
      <c r="W87" s="4"/>
    </row>
    <row r="88" spans="1:23" x14ac:dyDescent="0.25">
      <c r="A88" s="703"/>
      <c r="B88" s="4"/>
      <c r="C88" s="23"/>
      <c r="D88" s="23"/>
      <c r="E88" s="23"/>
      <c r="F88" s="23"/>
      <c r="G88" s="23"/>
      <c r="H88" s="23"/>
      <c r="I88" s="23"/>
      <c r="J88" s="23"/>
      <c r="K88" s="23"/>
      <c r="L88" s="23"/>
      <c r="M88" s="23"/>
      <c r="N88" s="23"/>
      <c r="O88" s="23"/>
      <c r="P88" s="23"/>
      <c r="Q88" s="23"/>
      <c r="R88" s="4"/>
      <c r="S88" s="23"/>
      <c r="T88" s="23"/>
      <c r="U88" s="4"/>
      <c r="W88" s="4"/>
    </row>
    <row r="89" spans="1:23" x14ac:dyDescent="0.25">
      <c r="A89" s="703"/>
      <c r="B89" s="4"/>
      <c r="C89" s="23"/>
      <c r="D89" s="23"/>
      <c r="E89" s="23"/>
      <c r="F89" s="23"/>
      <c r="G89" s="23"/>
      <c r="H89" s="23"/>
      <c r="I89" s="23"/>
      <c r="J89" s="23"/>
      <c r="K89" s="23"/>
      <c r="L89" s="23"/>
      <c r="M89" s="23"/>
      <c r="N89" s="23"/>
      <c r="O89" s="23"/>
      <c r="P89" s="23"/>
      <c r="Q89" s="23"/>
      <c r="R89" s="4"/>
      <c r="S89" s="23"/>
      <c r="T89" s="23"/>
      <c r="U89" s="4"/>
      <c r="W89" s="4"/>
    </row>
    <row r="90" spans="1:23" x14ac:dyDescent="0.25">
      <c r="A90" s="703"/>
      <c r="B90" s="4"/>
      <c r="C90" s="23"/>
      <c r="D90" s="23"/>
      <c r="E90" s="23"/>
      <c r="F90" s="23"/>
      <c r="G90" s="23"/>
      <c r="H90" s="23"/>
      <c r="I90" s="23"/>
      <c r="J90" s="23"/>
      <c r="K90" s="23"/>
      <c r="L90" s="23"/>
      <c r="M90" s="23"/>
      <c r="N90" s="23"/>
      <c r="O90" s="23"/>
      <c r="P90" s="23"/>
      <c r="Q90" s="23"/>
      <c r="R90" s="4"/>
      <c r="S90" s="23"/>
      <c r="T90" s="23"/>
      <c r="U90" s="4"/>
      <c r="W90" s="4"/>
    </row>
    <row r="91" spans="1:23" x14ac:dyDescent="0.25">
      <c r="A91" s="703"/>
      <c r="B91" s="4"/>
      <c r="C91" s="23"/>
      <c r="D91" s="23"/>
      <c r="E91" s="23"/>
      <c r="F91" s="23"/>
      <c r="G91" s="23"/>
      <c r="H91" s="23"/>
      <c r="I91" s="23"/>
      <c r="J91" s="23"/>
      <c r="K91" s="23"/>
      <c r="L91" s="23"/>
      <c r="M91" s="23"/>
      <c r="N91" s="23"/>
      <c r="O91" s="23"/>
      <c r="P91" s="23"/>
      <c r="Q91" s="23"/>
      <c r="R91" s="4"/>
      <c r="S91" s="23"/>
      <c r="T91" s="23"/>
      <c r="U91" s="4"/>
      <c r="W91" s="4"/>
    </row>
    <row r="92" spans="1:23" x14ac:dyDescent="0.25">
      <c r="A92" s="703"/>
      <c r="B92" s="4"/>
      <c r="C92" s="23"/>
      <c r="D92" s="23"/>
      <c r="E92" s="23"/>
      <c r="F92" s="23"/>
      <c r="G92" s="23"/>
      <c r="H92" s="23"/>
      <c r="I92" s="23"/>
      <c r="J92" s="23"/>
      <c r="K92" s="23"/>
      <c r="L92" s="23"/>
      <c r="M92" s="23"/>
      <c r="N92" s="23"/>
      <c r="O92" s="23"/>
      <c r="P92" s="23"/>
      <c r="Q92" s="23"/>
      <c r="R92" s="4"/>
      <c r="S92" s="23"/>
      <c r="T92" s="23"/>
      <c r="U92" s="4"/>
      <c r="W92" s="4"/>
    </row>
    <row r="93" spans="1:23" x14ac:dyDescent="0.25">
      <c r="A93" s="703"/>
      <c r="B93" s="4"/>
      <c r="C93" s="23"/>
      <c r="D93" s="23"/>
      <c r="E93" s="23"/>
      <c r="F93" s="23"/>
      <c r="G93" s="23"/>
      <c r="H93" s="23"/>
      <c r="I93" s="23"/>
      <c r="J93" s="23"/>
      <c r="K93" s="23"/>
      <c r="L93" s="23"/>
      <c r="M93" s="23"/>
      <c r="N93" s="23"/>
      <c r="O93" s="23"/>
      <c r="P93" s="23"/>
      <c r="Q93" s="23"/>
      <c r="R93" s="4"/>
      <c r="S93" s="23"/>
      <c r="T93" s="23"/>
      <c r="U93" s="4"/>
      <c r="W93" s="4"/>
    </row>
    <row r="94" spans="1:23" x14ac:dyDescent="0.25">
      <c r="A94" s="703"/>
      <c r="B94" s="4"/>
      <c r="C94" s="23"/>
      <c r="D94" s="23"/>
      <c r="E94" s="23"/>
      <c r="F94" s="23"/>
      <c r="G94" s="23"/>
      <c r="H94" s="23"/>
      <c r="I94" s="23"/>
      <c r="J94" s="23"/>
      <c r="K94" s="23"/>
      <c r="L94" s="23"/>
      <c r="M94" s="23"/>
      <c r="N94" s="23"/>
      <c r="O94" s="23"/>
      <c r="P94" s="23"/>
      <c r="Q94" s="23"/>
      <c r="R94" s="4"/>
      <c r="S94" s="23"/>
      <c r="T94" s="23"/>
      <c r="U94" s="4"/>
      <c r="W94" s="4"/>
    </row>
    <row r="95" spans="1:23" x14ac:dyDescent="0.25">
      <c r="A95" s="703"/>
      <c r="B95" s="4"/>
      <c r="C95" s="23"/>
      <c r="D95" s="23"/>
      <c r="E95" s="23"/>
      <c r="F95" s="23"/>
      <c r="G95" s="23"/>
      <c r="H95" s="23"/>
      <c r="I95" s="23"/>
      <c r="J95" s="23"/>
      <c r="K95" s="23"/>
      <c r="L95" s="23"/>
      <c r="M95" s="23"/>
      <c r="N95" s="23"/>
      <c r="O95" s="23"/>
      <c r="P95" s="23"/>
      <c r="Q95" s="23"/>
      <c r="R95" s="4"/>
      <c r="S95" s="23"/>
      <c r="T95" s="23"/>
      <c r="U95" s="4"/>
      <c r="W95" s="4"/>
    </row>
    <row r="96" spans="1:23" x14ac:dyDescent="0.25">
      <c r="A96" s="703"/>
      <c r="B96" s="4"/>
      <c r="C96" s="23"/>
      <c r="D96" s="23"/>
      <c r="E96" s="23"/>
      <c r="F96" s="23"/>
      <c r="G96" s="23"/>
      <c r="H96" s="23"/>
      <c r="I96" s="23"/>
      <c r="J96" s="23"/>
      <c r="K96" s="23"/>
      <c r="L96" s="23"/>
      <c r="M96" s="23"/>
      <c r="N96" s="23"/>
      <c r="O96" s="23"/>
      <c r="P96" s="23"/>
      <c r="Q96" s="23"/>
      <c r="R96" s="4"/>
      <c r="S96" s="23"/>
      <c r="T96" s="23"/>
      <c r="U96" s="4"/>
      <c r="W96" s="4"/>
    </row>
    <row r="97" spans="1:23" x14ac:dyDescent="0.25">
      <c r="A97" s="703"/>
      <c r="B97" s="4"/>
      <c r="C97" s="23"/>
      <c r="D97" s="23"/>
      <c r="E97" s="23"/>
      <c r="F97" s="23"/>
      <c r="G97" s="23"/>
      <c r="H97" s="23"/>
      <c r="I97" s="23"/>
      <c r="J97" s="23"/>
      <c r="K97" s="23"/>
      <c r="L97" s="23"/>
      <c r="M97" s="23"/>
      <c r="N97" s="23"/>
      <c r="O97" s="23"/>
      <c r="P97" s="23"/>
      <c r="Q97" s="23"/>
      <c r="R97" s="4"/>
      <c r="S97" s="23"/>
      <c r="T97" s="23"/>
      <c r="U97" s="4"/>
      <c r="W97" s="4"/>
    </row>
    <row r="98" spans="1:23" x14ac:dyDescent="0.25">
      <c r="A98" s="703"/>
      <c r="B98" s="4"/>
      <c r="C98" s="23"/>
      <c r="D98" s="23"/>
      <c r="E98" s="23"/>
      <c r="F98" s="23"/>
      <c r="G98" s="23"/>
      <c r="H98" s="23"/>
      <c r="I98" s="23"/>
      <c r="J98" s="23"/>
      <c r="K98" s="23"/>
      <c r="L98" s="23"/>
      <c r="M98" s="23"/>
      <c r="N98" s="23"/>
      <c r="O98" s="23"/>
      <c r="P98" s="23"/>
      <c r="Q98" s="23"/>
      <c r="R98" s="4"/>
      <c r="S98" s="23"/>
      <c r="T98" s="23"/>
      <c r="U98" s="4"/>
      <c r="W98" s="4"/>
    </row>
    <row r="99" spans="1:23" x14ac:dyDescent="0.25">
      <c r="A99" s="703"/>
      <c r="B99" s="4"/>
      <c r="C99" s="23"/>
      <c r="D99" s="23"/>
      <c r="E99" s="23"/>
      <c r="F99" s="23"/>
      <c r="G99" s="23"/>
      <c r="H99" s="23"/>
      <c r="I99" s="23"/>
      <c r="J99" s="23"/>
      <c r="K99" s="23"/>
      <c r="L99" s="23"/>
      <c r="M99" s="23"/>
      <c r="N99" s="23"/>
      <c r="O99" s="23"/>
      <c r="P99" s="23"/>
      <c r="Q99" s="23"/>
      <c r="R99" s="4"/>
      <c r="S99" s="23"/>
      <c r="T99" s="23"/>
      <c r="U99" s="4"/>
      <c r="W99" s="4"/>
    </row>
    <row r="100" spans="1:23" x14ac:dyDescent="0.25">
      <c r="A100" s="703"/>
      <c r="B100" s="4"/>
      <c r="C100" s="23"/>
      <c r="D100" s="23"/>
      <c r="E100" s="23"/>
      <c r="F100" s="23"/>
      <c r="G100" s="23"/>
      <c r="H100" s="23"/>
      <c r="I100" s="23"/>
      <c r="J100" s="23"/>
      <c r="K100" s="23"/>
      <c r="L100" s="23"/>
      <c r="M100" s="23"/>
      <c r="N100" s="23"/>
      <c r="O100" s="23"/>
      <c r="P100" s="23"/>
      <c r="Q100" s="23"/>
      <c r="R100" s="4"/>
      <c r="S100" s="23"/>
      <c r="T100" s="23"/>
      <c r="U100" s="4"/>
      <c r="W100" s="4"/>
    </row>
    <row r="101" spans="1:23" x14ac:dyDescent="0.25">
      <c r="A101" s="703"/>
      <c r="B101" s="4"/>
      <c r="C101" s="23"/>
      <c r="D101" s="23"/>
      <c r="E101" s="23"/>
      <c r="F101" s="23"/>
      <c r="G101" s="23"/>
      <c r="H101" s="23"/>
      <c r="I101" s="23"/>
      <c r="J101" s="23"/>
      <c r="K101" s="23"/>
      <c r="L101" s="23"/>
      <c r="M101" s="23"/>
      <c r="N101" s="23"/>
      <c r="O101" s="23"/>
      <c r="P101" s="23"/>
      <c r="Q101" s="23"/>
      <c r="R101" s="4"/>
      <c r="S101" s="23"/>
      <c r="T101" s="23"/>
      <c r="U101" s="4"/>
      <c r="W101" s="4"/>
    </row>
    <row r="102" spans="1:23" x14ac:dyDescent="0.25">
      <c r="A102" s="703"/>
      <c r="B102" s="4"/>
      <c r="C102" s="23"/>
      <c r="D102" s="23"/>
      <c r="E102" s="23"/>
      <c r="F102" s="23"/>
      <c r="G102" s="23"/>
      <c r="H102" s="23"/>
      <c r="I102" s="23"/>
      <c r="J102" s="23"/>
      <c r="K102" s="23"/>
      <c r="L102" s="23"/>
      <c r="M102" s="23"/>
      <c r="N102" s="23"/>
      <c r="O102" s="23"/>
      <c r="P102" s="23"/>
      <c r="Q102" s="23"/>
      <c r="R102" s="4"/>
      <c r="S102" s="23"/>
      <c r="T102" s="23"/>
      <c r="U102" s="4"/>
      <c r="W102" s="4"/>
    </row>
    <row r="103" spans="1:23" x14ac:dyDescent="0.25">
      <c r="A103" s="703"/>
      <c r="B103" s="4"/>
      <c r="C103" s="23"/>
      <c r="D103" s="23"/>
      <c r="E103" s="23"/>
      <c r="F103" s="23"/>
      <c r="G103" s="23"/>
      <c r="H103" s="23"/>
      <c r="I103" s="23"/>
      <c r="J103" s="23"/>
      <c r="K103" s="23"/>
      <c r="L103" s="23"/>
      <c r="M103" s="23"/>
      <c r="N103" s="23"/>
      <c r="O103" s="23"/>
      <c r="P103" s="23"/>
      <c r="Q103" s="23"/>
      <c r="R103" s="4"/>
      <c r="S103" s="23"/>
      <c r="T103" s="23"/>
      <c r="U103" s="4"/>
      <c r="W103" s="4"/>
    </row>
    <row r="104" spans="1:23" x14ac:dyDescent="0.25">
      <c r="A104" s="703"/>
      <c r="B104" s="4"/>
      <c r="C104" s="23"/>
      <c r="D104" s="23"/>
      <c r="E104" s="23"/>
      <c r="F104" s="23"/>
      <c r="G104" s="23"/>
      <c r="H104" s="23"/>
      <c r="I104" s="23"/>
      <c r="J104" s="23"/>
      <c r="K104" s="23"/>
      <c r="L104" s="23"/>
      <c r="M104" s="23"/>
      <c r="N104" s="23"/>
      <c r="O104" s="23"/>
      <c r="P104" s="23"/>
      <c r="Q104" s="23"/>
      <c r="R104" s="4"/>
      <c r="S104" s="23"/>
      <c r="T104" s="23"/>
      <c r="U104" s="4"/>
      <c r="W104" s="4"/>
    </row>
    <row r="105" spans="1:23" x14ac:dyDescent="0.25">
      <c r="A105" s="703"/>
      <c r="B105" s="4"/>
      <c r="C105" s="23"/>
      <c r="D105" s="23"/>
      <c r="E105" s="23"/>
      <c r="F105" s="23"/>
      <c r="G105" s="23"/>
      <c r="H105" s="23"/>
      <c r="I105" s="23"/>
      <c r="J105" s="23"/>
      <c r="K105" s="23"/>
      <c r="L105" s="23"/>
      <c r="M105" s="23"/>
      <c r="N105" s="23"/>
      <c r="O105" s="23"/>
      <c r="P105" s="23"/>
      <c r="Q105" s="23"/>
      <c r="R105" s="4"/>
      <c r="S105" s="23"/>
      <c r="T105" s="23"/>
      <c r="U105" s="4"/>
      <c r="W105" s="4"/>
    </row>
    <row r="106" spans="1:23" x14ac:dyDescent="0.25">
      <c r="A106" s="703"/>
      <c r="B106" s="4"/>
      <c r="C106" s="23"/>
      <c r="D106" s="23"/>
      <c r="E106" s="23"/>
      <c r="F106" s="23"/>
      <c r="G106" s="23"/>
      <c r="H106" s="23"/>
      <c r="I106" s="23"/>
      <c r="J106" s="23"/>
      <c r="K106" s="23"/>
      <c r="L106" s="23"/>
      <c r="M106" s="23"/>
      <c r="N106" s="23"/>
      <c r="O106" s="23"/>
      <c r="P106" s="23"/>
      <c r="Q106" s="23"/>
      <c r="R106" s="4"/>
      <c r="S106" s="23"/>
      <c r="T106" s="23"/>
      <c r="U106" s="4"/>
      <c r="W106" s="4"/>
    </row>
    <row r="107" spans="1:23" x14ac:dyDescent="0.25">
      <c r="A107" s="703"/>
      <c r="B107" s="4"/>
      <c r="C107" s="23"/>
      <c r="D107" s="23"/>
      <c r="E107" s="23"/>
      <c r="F107" s="23"/>
      <c r="G107" s="23"/>
      <c r="H107" s="23"/>
      <c r="I107" s="23"/>
      <c r="J107" s="23"/>
      <c r="K107" s="23"/>
      <c r="L107" s="23"/>
      <c r="M107" s="23"/>
      <c r="N107" s="23"/>
      <c r="O107" s="23"/>
      <c r="P107" s="23"/>
      <c r="Q107" s="23"/>
      <c r="R107" s="4"/>
      <c r="S107" s="23"/>
      <c r="T107" s="23"/>
      <c r="U107" s="4"/>
      <c r="W107" s="4"/>
    </row>
    <row r="108" spans="1:23" x14ac:dyDescent="0.25">
      <c r="A108" s="703"/>
      <c r="B108" s="4"/>
      <c r="C108" s="23"/>
      <c r="D108" s="23"/>
      <c r="E108" s="23"/>
      <c r="F108" s="23"/>
      <c r="G108" s="23"/>
      <c r="H108" s="23"/>
      <c r="I108" s="23"/>
      <c r="J108" s="23"/>
      <c r="K108" s="23"/>
      <c r="L108" s="23"/>
      <c r="M108" s="23"/>
      <c r="N108" s="23"/>
      <c r="O108" s="23"/>
      <c r="P108" s="23"/>
      <c r="Q108" s="23"/>
      <c r="R108" s="4"/>
      <c r="S108" s="23"/>
      <c r="T108" s="23"/>
      <c r="U108" s="4"/>
      <c r="W108" s="4"/>
    </row>
    <row r="109" spans="1:23" x14ac:dyDescent="0.25">
      <c r="A109" s="703"/>
      <c r="B109" s="4"/>
      <c r="C109" s="23"/>
      <c r="D109" s="23"/>
      <c r="E109" s="23"/>
      <c r="F109" s="23"/>
      <c r="G109" s="23"/>
      <c r="H109" s="23"/>
      <c r="I109" s="23"/>
      <c r="J109" s="23"/>
      <c r="K109" s="23"/>
      <c r="L109" s="23"/>
      <c r="M109" s="23"/>
      <c r="N109" s="23"/>
      <c r="O109" s="23"/>
      <c r="P109" s="23"/>
      <c r="Q109" s="23"/>
      <c r="R109" s="4"/>
      <c r="S109" s="23"/>
      <c r="T109" s="23"/>
      <c r="U109" s="4"/>
      <c r="W109" s="4"/>
    </row>
    <row r="110" spans="1:23" x14ac:dyDescent="0.25">
      <c r="A110" s="703"/>
      <c r="B110" s="4"/>
      <c r="C110" s="23"/>
      <c r="D110" s="23"/>
      <c r="E110" s="23"/>
      <c r="F110" s="23"/>
      <c r="G110" s="23"/>
      <c r="H110" s="23"/>
      <c r="I110" s="23"/>
      <c r="J110" s="23"/>
      <c r="K110" s="23"/>
      <c r="L110" s="23"/>
      <c r="M110" s="23"/>
      <c r="N110" s="23"/>
      <c r="O110" s="23"/>
      <c r="P110" s="23"/>
      <c r="Q110" s="23"/>
      <c r="R110" s="4"/>
      <c r="S110" s="23"/>
      <c r="T110" s="23"/>
      <c r="U110" s="4"/>
      <c r="W110" s="4"/>
    </row>
    <row r="111" spans="1:23" x14ac:dyDescent="0.25">
      <c r="A111" s="703"/>
      <c r="B111" s="4"/>
      <c r="C111" s="23"/>
      <c r="D111" s="23"/>
      <c r="E111" s="23"/>
      <c r="F111" s="23"/>
      <c r="G111" s="23"/>
      <c r="H111" s="23"/>
      <c r="I111" s="23"/>
      <c r="J111" s="23"/>
      <c r="K111" s="23"/>
      <c r="L111" s="23"/>
      <c r="M111" s="23"/>
      <c r="N111" s="23"/>
      <c r="O111" s="23"/>
      <c r="P111" s="23"/>
      <c r="Q111" s="23"/>
      <c r="R111" s="4"/>
      <c r="S111" s="23"/>
      <c r="T111" s="23"/>
      <c r="U111" s="4"/>
      <c r="W111" s="4"/>
    </row>
    <row r="112" spans="1:23" x14ac:dyDescent="0.25">
      <c r="A112" s="703"/>
      <c r="B112" s="4"/>
      <c r="C112" s="23"/>
      <c r="D112" s="23"/>
      <c r="E112" s="23"/>
      <c r="F112" s="23"/>
      <c r="G112" s="23"/>
      <c r="H112" s="23"/>
      <c r="I112" s="23"/>
      <c r="J112" s="23"/>
      <c r="K112" s="23"/>
      <c r="L112" s="23"/>
      <c r="M112" s="23"/>
      <c r="N112" s="23"/>
      <c r="O112" s="23"/>
      <c r="P112" s="23"/>
      <c r="Q112" s="23"/>
      <c r="R112" s="4"/>
      <c r="S112" s="23"/>
      <c r="T112" s="23"/>
      <c r="U112" s="4"/>
      <c r="W112" s="4"/>
    </row>
    <row r="113" spans="1:23" x14ac:dyDescent="0.25">
      <c r="A113" s="703"/>
      <c r="B113" s="4"/>
      <c r="C113" s="23"/>
      <c r="D113" s="23"/>
      <c r="E113" s="23"/>
      <c r="F113" s="23"/>
      <c r="G113" s="23"/>
      <c r="H113" s="23"/>
      <c r="I113" s="23"/>
      <c r="J113" s="23"/>
      <c r="K113" s="23"/>
      <c r="L113" s="23"/>
      <c r="M113" s="23"/>
      <c r="N113" s="23"/>
      <c r="O113" s="23"/>
      <c r="P113" s="23"/>
      <c r="Q113" s="23"/>
      <c r="R113" s="4"/>
      <c r="S113" s="23"/>
      <c r="T113" s="23"/>
      <c r="U113" s="4"/>
      <c r="W113" s="4"/>
    </row>
    <row r="114" spans="1:23" x14ac:dyDescent="0.25">
      <c r="A114" s="703"/>
      <c r="B114" s="4"/>
      <c r="C114" s="23"/>
      <c r="D114" s="23"/>
      <c r="E114" s="23"/>
      <c r="F114" s="23"/>
      <c r="G114" s="23"/>
      <c r="H114" s="23"/>
      <c r="I114" s="23"/>
      <c r="J114" s="23"/>
      <c r="K114" s="23"/>
      <c r="L114" s="23"/>
      <c r="M114" s="23"/>
      <c r="N114" s="23"/>
      <c r="O114" s="23"/>
      <c r="P114" s="23"/>
      <c r="Q114" s="23"/>
      <c r="R114" s="4"/>
      <c r="S114" s="23"/>
      <c r="T114" s="23"/>
      <c r="U114" s="4"/>
      <c r="W114" s="4"/>
    </row>
    <row r="115" spans="1:23" x14ac:dyDescent="0.25">
      <c r="A115" s="703"/>
      <c r="B115" s="4"/>
      <c r="C115" s="23"/>
      <c r="D115" s="23"/>
      <c r="E115" s="23"/>
      <c r="F115" s="23"/>
      <c r="G115" s="23"/>
      <c r="H115" s="23"/>
      <c r="I115" s="23"/>
      <c r="J115" s="23"/>
      <c r="K115" s="23"/>
      <c r="L115" s="23"/>
      <c r="M115" s="23"/>
      <c r="N115" s="23"/>
      <c r="O115" s="23"/>
      <c r="P115" s="23"/>
      <c r="Q115" s="23"/>
      <c r="R115" s="4"/>
      <c r="S115" s="23"/>
      <c r="T115" s="23"/>
      <c r="U115" s="4"/>
      <c r="W115" s="4"/>
    </row>
    <row r="116" spans="1:23" x14ac:dyDescent="0.25">
      <c r="A116" s="703"/>
      <c r="B116" s="4"/>
      <c r="C116" s="23"/>
      <c r="D116" s="23"/>
      <c r="E116" s="23"/>
      <c r="F116" s="23"/>
      <c r="G116" s="23"/>
      <c r="H116" s="23"/>
      <c r="I116" s="23"/>
      <c r="J116" s="23"/>
      <c r="K116" s="23"/>
      <c r="L116" s="23"/>
      <c r="M116" s="23"/>
      <c r="N116" s="23"/>
      <c r="O116" s="23"/>
      <c r="P116" s="23"/>
      <c r="Q116" s="23"/>
      <c r="R116" s="4"/>
      <c r="S116" s="23"/>
      <c r="T116" s="23"/>
      <c r="U116" s="4"/>
      <c r="W116" s="4"/>
    </row>
    <row r="117" spans="1:23" x14ac:dyDescent="0.25">
      <c r="A117" s="703"/>
      <c r="B117" s="4"/>
      <c r="C117" s="23"/>
      <c r="D117" s="23"/>
      <c r="E117" s="23"/>
      <c r="F117" s="23"/>
      <c r="G117" s="23"/>
      <c r="H117" s="23"/>
      <c r="I117" s="23"/>
      <c r="J117" s="23"/>
      <c r="K117" s="23"/>
      <c r="L117" s="23"/>
      <c r="M117" s="23"/>
      <c r="N117" s="23"/>
      <c r="O117" s="23"/>
      <c r="P117" s="23"/>
      <c r="Q117" s="23"/>
      <c r="R117" s="4"/>
      <c r="S117" s="23"/>
      <c r="T117" s="23"/>
      <c r="U117" s="4"/>
      <c r="W117" s="4"/>
    </row>
    <row r="118" spans="1:23" x14ac:dyDescent="0.25">
      <c r="A118" s="703"/>
      <c r="B118" s="4"/>
      <c r="C118" s="23"/>
      <c r="D118" s="23"/>
      <c r="E118" s="23"/>
      <c r="F118" s="23"/>
      <c r="G118" s="23"/>
      <c r="H118" s="23"/>
      <c r="I118" s="23"/>
      <c r="J118" s="23"/>
      <c r="K118" s="23"/>
      <c r="L118" s="23"/>
      <c r="M118" s="23"/>
      <c r="N118" s="23"/>
      <c r="O118" s="23"/>
      <c r="P118" s="23"/>
      <c r="Q118" s="23"/>
      <c r="R118" s="4"/>
      <c r="S118" s="23"/>
      <c r="T118" s="23"/>
      <c r="U118" s="4"/>
      <c r="W118" s="4"/>
    </row>
    <row r="119" spans="1:23" x14ac:dyDescent="0.25">
      <c r="A119" s="703"/>
      <c r="B119" s="4"/>
      <c r="C119" s="23"/>
      <c r="D119" s="23"/>
      <c r="E119" s="23"/>
      <c r="F119" s="23"/>
      <c r="G119" s="23"/>
      <c r="H119" s="23"/>
      <c r="I119" s="23"/>
      <c r="J119" s="23"/>
      <c r="K119" s="23"/>
      <c r="L119" s="23"/>
      <c r="M119" s="23"/>
      <c r="N119" s="23"/>
      <c r="O119" s="23"/>
      <c r="P119" s="23"/>
      <c r="Q119" s="23"/>
      <c r="R119" s="4"/>
      <c r="S119" s="23"/>
      <c r="T119" s="23"/>
      <c r="U119" s="4"/>
      <c r="W119" s="4"/>
    </row>
    <row r="120" spans="1:23" x14ac:dyDescent="0.25">
      <c r="A120" s="703"/>
      <c r="B120" s="4"/>
      <c r="C120" s="23"/>
      <c r="D120" s="23"/>
      <c r="E120" s="23"/>
      <c r="F120" s="23"/>
      <c r="G120" s="23"/>
      <c r="H120" s="23"/>
      <c r="I120" s="23"/>
      <c r="J120" s="23"/>
      <c r="K120" s="23"/>
      <c r="L120" s="23"/>
      <c r="M120" s="23"/>
      <c r="N120" s="23"/>
      <c r="O120" s="23"/>
      <c r="P120" s="23"/>
      <c r="Q120" s="23"/>
      <c r="R120" s="4"/>
      <c r="S120" s="23"/>
      <c r="T120" s="23"/>
      <c r="U120" s="4"/>
      <c r="W120" s="4"/>
    </row>
    <row r="121" spans="1:23" x14ac:dyDescent="0.25">
      <c r="A121" s="703"/>
      <c r="B121" s="4"/>
      <c r="C121" s="23"/>
      <c r="D121" s="23"/>
      <c r="E121" s="23"/>
      <c r="F121" s="23"/>
      <c r="G121" s="23"/>
      <c r="H121" s="23"/>
      <c r="I121" s="23"/>
      <c r="J121" s="23"/>
      <c r="K121" s="23"/>
      <c r="L121" s="23"/>
      <c r="M121" s="23"/>
      <c r="N121" s="23"/>
      <c r="O121" s="23"/>
      <c r="P121" s="23"/>
      <c r="Q121" s="23"/>
      <c r="R121" s="4"/>
      <c r="S121" s="23"/>
      <c r="T121" s="23"/>
      <c r="U121" s="4"/>
      <c r="W121" s="4"/>
    </row>
    <row r="122" spans="1:23" x14ac:dyDescent="0.25">
      <c r="A122" s="703"/>
      <c r="B122" s="4"/>
      <c r="C122" s="23"/>
      <c r="D122" s="23"/>
      <c r="E122" s="23"/>
      <c r="F122" s="23"/>
      <c r="G122" s="23"/>
      <c r="H122" s="23"/>
      <c r="I122" s="23"/>
      <c r="J122" s="23"/>
      <c r="K122" s="23"/>
      <c r="L122" s="23"/>
      <c r="M122" s="23"/>
      <c r="N122" s="23"/>
      <c r="O122" s="23"/>
      <c r="P122" s="23"/>
      <c r="Q122" s="23"/>
      <c r="R122" s="4"/>
      <c r="S122" s="23"/>
      <c r="T122" s="23"/>
      <c r="U122" s="4"/>
      <c r="W122" s="4"/>
    </row>
    <row r="123" spans="1:23" x14ac:dyDescent="0.25">
      <c r="A123" s="703"/>
      <c r="B123" s="4"/>
      <c r="C123" s="23"/>
      <c r="D123" s="23"/>
      <c r="E123" s="23"/>
      <c r="F123" s="23"/>
      <c r="G123" s="23"/>
      <c r="H123" s="23"/>
      <c r="I123" s="23"/>
      <c r="J123" s="23"/>
      <c r="K123" s="23"/>
      <c r="L123" s="23"/>
      <c r="M123" s="23"/>
      <c r="N123" s="23"/>
      <c r="O123" s="23"/>
      <c r="P123" s="23"/>
      <c r="Q123" s="23"/>
      <c r="R123" s="4"/>
      <c r="S123" s="23"/>
      <c r="T123" s="23"/>
      <c r="U123" s="4"/>
      <c r="W123" s="4"/>
    </row>
    <row r="124" spans="1:23" x14ac:dyDescent="0.25">
      <c r="A124" s="703"/>
      <c r="B124" s="4"/>
      <c r="C124" s="23"/>
      <c r="D124" s="23"/>
      <c r="E124" s="23"/>
      <c r="F124" s="23"/>
      <c r="G124" s="23"/>
      <c r="H124" s="23"/>
      <c r="I124" s="23"/>
      <c r="J124" s="23"/>
      <c r="K124" s="23"/>
      <c r="L124" s="23"/>
      <c r="M124" s="23"/>
      <c r="N124" s="23"/>
      <c r="O124" s="23"/>
      <c r="P124" s="23"/>
      <c r="Q124" s="23"/>
      <c r="R124" s="4"/>
      <c r="S124" s="23"/>
      <c r="T124" s="23"/>
      <c r="U124" s="4"/>
      <c r="W124" s="4"/>
    </row>
    <row r="125" spans="1:23" x14ac:dyDescent="0.25">
      <c r="A125" s="703"/>
      <c r="B125" s="4"/>
      <c r="C125" s="23"/>
      <c r="D125" s="23"/>
      <c r="E125" s="23"/>
      <c r="F125" s="23"/>
      <c r="G125" s="23"/>
      <c r="H125" s="23"/>
      <c r="I125" s="23"/>
      <c r="J125" s="23"/>
      <c r="K125" s="23"/>
      <c r="L125" s="23"/>
      <c r="M125" s="23"/>
      <c r="N125" s="23"/>
      <c r="O125" s="23"/>
      <c r="P125" s="23"/>
      <c r="Q125" s="23"/>
      <c r="R125" s="4"/>
      <c r="S125" s="23"/>
      <c r="T125" s="23"/>
      <c r="U125" s="4"/>
      <c r="W125" s="4"/>
    </row>
    <row r="126" spans="1:23" x14ac:dyDescent="0.25">
      <c r="A126" s="703"/>
      <c r="B126" s="4"/>
      <c r="C126" s="23"/>
      <c r="D126" s="23"/>
      <c r="E126" s="23"/>
      <c r="F126" s="23"/>
      <c r="G126" s="23"/>
      <c r="H126" s="23"/>
      <c r="I126" s="23"/>
      <c r="J126" s="23"/>
      <c r="K126" s="23"/>
      <c r="L126" s="23"/>
      <c r="M126" s="23"/>
      <c r="N126" s="23"/>
      <c r="O126" s="23"/>
      <c r="P126" s="23"/>
      <c r="Q126" s="23"/>
      <c r="R126" s="4"/>
      <c r="S126" s="23"/>
      <c r="T126" s="23"/>
      <c r="U126" s="4"/>
      <c r="W126" s="4"/>
    </row>
    <row r="127" spans="1:23" x14ac:dyDescent="0.25">
      <c r="A127" s="703"/>
      <c r="B127" s="4"/>
      <c r="C127" s="23"/>
      <c r="D127" s="23"/>
      <c r="E127" s="23"/>
      <c r="F127" s="23"/>
      <c r="G127" s="23"/>
      <c r="H127" s="23"/>
      <c r="I127" s="23"/>
      <c r="J127" s="23"/>
      <c r="K127" s="23"/>
      <c r="L127" s="23"/>
      <c r="M127" s="23"/>
      <c r="N127" s="23"/>
      <c r="O127" s="23"/>
      <c r="P127" s="23"/>
      <c r="Q127" s="23"/>
      <c r="R127" s="4"/>
      <c r="S127" s="23"/>
      <c r="T127" s="23"/>
      <c r="U127" s="4"/>
      <c r="W127" s="4"/>
    </row>
    <row r="128" spans="1:23" x14ac:dyDescent="0.25">
      <c r="A128" s="703"/>
      <c r="B128" s="4"/>
      <c r="C128" s="23"/>
      <c r="D128" s="23"/>
      <c r="E128" s="23"/>
      <c r="F128" s="23"/>
      <c r="G128" s="23"/>
      <c r="H128" s="23"/>
      <c r="I128" s="23"/>
      <c r="J128" s="23"/>
      <c r="K128" s="23"/>
      <c r="L128" s="23"/>
      <c r="M128" s="23"/>
      <c r="N128" s="23"/>
      <c r="O128" s="23"/>
      <c r="P128" s="23"/>
      <c r="Q128" s="23"/>
      <c r="R128" s="4"/>
      <c r="S128" s="23"/>
      <c r="T128" s="23"/>
      <c r="U128" s="4"/>
      <c r="W128" s="4"/>
    </row>
    <row r="129" spans="1:23" x14ac:dyDescent="0.25">
      <c r="A129" s="703"/>
      <c r="B129" s="4"/>
      <c r="C129" s="23"/>
      <c r="D129" s="23"/>
      <c r="E129" s="23"/>
      <c r="F129" s="23"/>
      <c r="G129" s="23"/>
      <c r="H129" s="23"/>
      <c r="I129" s="23"/>
      <c r="J129" s="23"/>
      <c r="K129" s="23"/>
      <c r="L129" s="23"/>
      <c r="M129" s="23"/>
      <c r="N129" s="23"/>
      <c r="O129" s="23"/>
      <c r="P129" s="23"/>
      <c r="Q129" s="23"/>
      <c r="R129" s="4"/>
      <c r="S129" s="23"/>
      <c r="T129" s="23"/>
      <c r="U129" s="4"/>
      <c r="W129" s="4"/>
    </row>
    <row r="130" spans="1:23" x14ac:dyDescent="0.25">
      <c r="A130" s="703"/>
      <c r="B130" s="4"/>
      <c r="C130" s="23"/>
      <c r="D130" s="23"/>
      <c r="E130" s="23"/>
      <c r="F130" s="23"/>
      <c r="G130" s="23"/>
      <c r="H130" s="23"/>
      <c r="I130" s="23"/>
      <c r="J130" s="23"/>
      <c r="K130" s="23"/>
      <c r="L130" s="23"/>
      <c r="M130" s="23"/>
      <c r="N130" s="23"/>
      <c r="O130" s="23"/>
      <c r="P130" s="23"/>
      <c r="Q130" s="23"/>
      <c r="R130" s="4"/>
      <c r="S130" s="23"/>
      <c r="T130" s="23"/>
      <c r="U130" s="4"/>
      <c r="W130" s="4"/>
    </row>
    <row r="131" spans="1:23" x14ac:dyDescent="0.25">
      <c r="A131" s="703"/>
      <c r="B131" s="4"/>
      <c r="C131" s="23"/>
      <c r="D131" s="23"/>
      <c r="E131" s="23"/>
      <c r="F131" s="23"/>
      <c r="G131" s="23"/>
      <c r="H131" s="23"/>
      <c r="I131" s="23"/>
      <c r="J131" s="23"/>
      <c r="K131" s="23"/>
      <c r="L131" s="23"/>
      <c r="M131" s="23"/>
      <c r="N131" s="23"/>
      <c r="O131" s="23"/>
      <c r="P131" s="23"/>
      <c r="Q131" s="23"/>
      <c r="R131" s="4"/>
      <c r="S131" s="23"/>
      <c r="T131" s="23"/>
      <c r="U131" s="4"/>
      <c r="W131" s="4"/>
    </row>
    <row r="132" spans="1:23" x14ac:dyDescent="0.25">
      <c r="A132" s="703"/>
      <c r="B132" s="4"/>
      <c r="C132" s="23"/>
      <c r="D132" s="23"/>
      <c r="E132" s="23"/>
      <c r="F132" s="23"/>
      <c r="G132" s="23"/>
      <c r="H132" s="23"/>
      <c r="I132" s="23"/>
      <c r="J132" s="23"/>
      <c r="K132" s="23"/>
      <c r="L132" s="23"/>
      <c r="M132" s="23"/>
      <c r="N132" s="23"/>
      <c r="O132" s="23"/>
      <c r="P132" s="23"/>
      <c r="Q132" s="23"/>
      <c r="R132" s="4"/>
      <c r="S132" s="23"/>
      <c r="T132" s="23"/>
      <c r="U132" s="4"/>
      <c r="W132" s="4"/>
    </row>
    <row r="133" spans="1:23" x14ac:dyDescent="0.25">
      <c r="A133" s="703"/>
      <c r="B133" s="4"/>
      <c r="C133" s="23"/>
      <c r="D133" s="23"/>
      <c r="E133" s="23"/>
      <c r="F133" s="23"/>
      <c r="G133" s="23"/>
      <c r="H133" s="23"/>
      <c r="I133" s="23"/>
      <c r="J133" s="23"/>
      <c r="K133" s="23"/>
      <c r="L133" s="23"/>
      <c r="M133" s="23"/>
      <c r="N133" s="23"/>
      <c r="O133" s="23"/>
      <c r="P133" s="23"/>
      <c r="Q133" s="23"/>
      <c r="R133" s="4"/>
      <c r="S133" s="23"/>
      <c r="T133" s="23"/>
      <c r="U133" s="4"/>
      <c r="W133" s="4"/>
    </row>
    <row r="134" spans="1:23" x14ac:dyDescent="0.25">
      <c r="A134" s="703"/>
      <c r="B134" s="4"/>
      <c r="C134" s="23"/>
      <c r="D134" s="23"/>
      <c r="E134" s="23"/>
      <c r="F134" s="23"/>
      <c r="G134" s="23"/>
      <c r="H134" s="23"/>
      <c r="I134" s="23"/>
      <c r="J134" s="23"/>
      <c r="K134" s="23"/>
      <c r="L134" s="23"/>
      <c r="M134" s="23"/>
      <c r="N134" s="23"/>
      <c r="O134" s="23"/>
      <c r="P134" s="23"/>
      <c r="Q134" s="23"/>
      <c r="R134" s="4"/>
      <c r="S134" s="23"/>
      <c r="T134" s="23"/>
      <c r="U134" s="4"/>
      <c r="W134" s="4"/>
    </row>
    <row r="135" spans="1:23" x14ac:dyDescent="0.25">
      <c r="A135" s="703"/>
      <c r="B135" s="4"/>
      <c r="C135" s="23"/>
      <c r="D135" s="23"/>
      <c r="E135" s="23"/>
      <c r="F135" s="23"/>
      <c r="G135" s="23"/>
      <c r="H135" s="23"/>
      <c r="I135" s="23"/>
      <c r="J135" s="23"/>
      <c r="K135" s="23"/>
      <c r="L135" s="23"/>
      <c r="M135" s="23"/>
      <c r="N135" s="23"/>
      <c r="O135" s="23"/>
      <c r="P135" s="23"/>
      <c r="Q135" s="23"/>
      <c r="R135" s="4"/>
      <c r="S135" s="23"/>
      <c r="T135" s="23"/>
      <c r="U135" s="4"/>
      <c r="W135" s="4"/>
    </row>
    <row r="136" spans="1:23" x14ac:dyDescent="0.25">
      <c r="A136" s="703"/>
      <c r="B136" s="4"/>
      <c r="C136" s="23"/>
      <c r="D136" s="23"/>
      <c r="E136" s="23"/>
      <c r="F136" s="23"/>
      <c r="G136" s="23"/>
      <c r="H136" s="23"/>
      <c r="I136" s="23"/>
      <c r="J136" s="23"/>
      <c r="K136" s="23"/>
      <c r="L136" s="23"/>
      <c r="M136" s="23"/>
      <c r="N136" s="23"/>
      <c r="O136" s="23"/>
      <c r="P136" s="23"/>
      <c r="Q136" s="23"/>
      <c r="R136" s="4"/>
      <c r="S136" s="23"/>
      <c r="T136" s="23"/>
      <c r="U136" s="4"/>
      <c r="W136" s="4"/>
    </row>
    <row r="137" spans="1:23" x14ac:dyDescent="0.25">
      <c r="A137" s="703"/>
      <c r="B137" s="4"/>
      <c r="C137" s="23"/>
      <c r="D137" s="23"/>
      <c r="E137" s="23"/>
      <c r="F137" s="23"/>
      <c r="G137" s="23"/>
      <c r="H137" s="23"/>
      <c r="I137" s="23"/>
      <c r="J137" s="23"/>
      <c r="K137" s="23"/>
      <c r="L137" s="23"/>
      <c r="M137" s="23"/>
      <c r="N137" s="23"/>
      <c r="O137" s="23"/>
      <c r="P137" s="23"/>
      <c r="Q137" s="23"/>
      <c r="R137" s="4"/>
      <c r="S137" s="23"/>
      <c r="T137" s="23"/>
      <c r="U137" s="4"/>
      <c r="W137" s="4"/>
    </row>
    <row r="138" spans="1:23" x14ac:dyDescent="0.25">
      <c r="A138" s="703"/>
      <c r="B138" s="4"/>
      <c r="C138" s="23"/>
      <c r="D138" s="23"/>
      <c r="E138" s="23"/>
      <c r="F138" s="23"/>
      <c r="G138" s="23"/>
      <c r="H138" s="23"/>
      <c r="I138" s="23"/>
      <c r="J138" s="23"/>
      <c r="K138" s="23"/>
      <c r="L138" s="23"/>
      <c r="M138" s="23"/>
      <c r="N138" s="23"/>
      <c r="O138" s="23"/>
      <c r="P138" s="23"/>
      <c r="Q138" s="23"/>
      <c r="R138" s="4"/>
      <c r="S138" s="23"/>
      <c r="T138" s="23"/>
      <c r="U138" s="4"/>
      <c r="W138" s="4"/>
    </row>
    <row r="139" spans="1:23" x14ac:dyDescent="0.25">
      <c r="C139" s="194"/>
      <c r="D139" s="194"/>
      <c r="E139" s="194"/>
      <c r="F139" s="194"/>
      <c r="G139" s="194"/>
      <c r="H139" s="194"/>
      <c r="I139" s="194"/>
      <c r="J139" s="194"/>
      <c r="K139" s="194"/>
      <c r="L139" s="194"/>
      <c r="M139" s="194"/>
      <c r="N139" s="194"/>
      <c r="O139" s="194"/>
      <c r="P139" s="194"/>
      <c r="Q139" s="194"/>
    </row>
    <row r="140" spans="1:23" x14ac:dyDescent="0.25">
      <c r="C140" s="194"/>
      <c r="D140" s="194"/>
      <c r="E140" s="194"/>
      <c r="F140" s="194"/>
      <c r="G140" s="194"/>
      <c r="H140" s="194"/>
      <c r="I140" s="194"/>
      <c r="J140" s="194"/>
      <c r="K140" s="194"/>
      <c r="L140" s="194"/>
      <c r="M140" s="194"/>
      <c r="N140" s="194"/>
      <c r="O140" s="194"/>
      <c r="P140" s="194"/>
      <c r="Q140" s="194"/>
    </row>
    <row r="141" spans="1:23" x14ac:dyDescent="0.25">
      <c r="C141" s="194"/>
      <c r="D141" s="194"/>
      <c r="E141" s="194"/>
      <c r="F141" s="194"/>
      <c r="G141" s="194"/>
      <c r="H141" s="194"/>
      <c r="I141" s="194"/>
      <c r="J141" s="194"/>
      <c r="K141" s="194"/>
      <c r="L141" s="194"/>
      <c r="M141" s="194"/>
      <c r="N141" s="194"/>
      <c r="O141" s="194"/>
      <c r="P141" s="194"/>
      <c r="Q141" s="194"/>
    </row>
    <row r="142" spans="1:23" x14ac:dyDescent="0.25">
      <c r="C142" s="194"/>
      <c r="D142" s="194"/>
      <c r="E142" s="194"/>
      <c r="F142" s="194"/>
      <c r="G142" s="194"/>
      <c r="H142" s="194"/>
      <c r="I142" s="194"/>
      <c r="J142" s="194"/>
      <c r="K142" s="194"/>
      <c r="L142" s="194"/>
      <c r="M142" s="194"/>
      <c r="N142" s="194"/>
      <c r="O142" s="194"/>
      <c r="P142" s="194"/>
      <c r="Q142" s="194"/>
    </row>
    <row r="143" spans="1:23" x14ac:dyDescent="0.25">
      <c r="C143" s="194"/>
      <c r="D143" s="194"/>
      <c r="E143" s="194"/>
      <c r="F143" s="194"/>
      <c r="G143" s="194"/>
      <c r="H143" s="194"/>
      <c r="I143" s="194"/>
      <c r="J143" s="194"/>
      <c r="K143" s="194"/>
      <c r="L143" s="194"/>
      <c r="M143" s="194"/>
      <c r="N143" s="194"/>
      <c r="O143" s="194"/>
      <c r="P143" s="194"/>
      <c r="Q143" s="194"/>
    </row>
    <row r="144" spans="1:23" x14ac:dyDescent="0.25">
      <c r="C144" s="194"/>
      <c r="D144" s="194"/>
      <c r="E144" s="194"/>
      <c r="F144" s="194"/>
      <c r="G144" s="194"/>
      <c r="H144" s="194"/>
      <c r="I144" s="194"/>
      <c r="J144" s="194"/>
      <c r="K144" s="194"/>
      <c r="L144" s="194"/>
      <c r="M144" s="194"/>
      <c r="N144" s="194"/>
      <c r="O144" s="194"/>
      <c r="P144" s="194"/>
      <c r="Q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row r="180" spans="3:3" x14ac:dyDescent="0.25">
      <c r="C180" s="194"/>
    </row>
    <row r="181" spans="3:3" x14ac:dyDescent="0.25">
      <c r="C181" s="194"/>
    </row>
    <row r="182" spans="3:3" x14ac:dyDescent="0.25">
      <c r="C182" s="194"/>
    </row>
    <row r="183" spans="3:3" x14ac:dyDescent="0.25">
      <c r="C183" s="194"/>
    </row>
    <row r="184" spans="3:3" x14ac:dyDescent="0.25">
      <c r="C184" s="194"/>
    </row>
    <row r="185" spans="3:3" x14ac:dyDescent="0.25">
      <c r="C185" s="194"/>
    </row>
    <row r="186" spans="3:3" x14ac:dyDescent="0.25">
      <c r="C186" s="194"/>
    </row>
    <row r="187" spans="3:3" x14ac:dyDescent="0.25">
      <c r="C187" s="194"/>
    </row>
    <row r="188" spans="3:3" x14ac:dyDescent="0.25">
      <c r="C188" s="194"/>
    </row>
    <row r="189" spans="3:3" x14ac:dyDescent="0.25">
      <c r="C189" s="194"/>
    </row>
    <row r="190" spans="3:3" x14ac:dyDescent="0.25">
      <c r="C190" s="194"/>
    </row>
    <row r="191" spans="3:3" x14ac:dyDescent="0.25">
      <c r="C191" s="194"/>
    </row>
  </sheetData>
  <phoneticPr fontId="0" type="noConversion"/>
  <hyperlinks>
    <hyperlink ref="A1" location="'Working Budget with funding det'!A1" display="Main" xr:uid="{00000000-0004-0000-0A00-000000000000}"/>
    <hyperlink ref="B1" location="'Table of Contents'!A1" display="TOC" xr:uid="{00000000-0004-0000-0A00-000001000000}"/>
  </hyperlinks>
  <pageMargins left="0.75" right="0.75" top="1" bottom="1" header="0.5" footer="0.5"/>
  <pageSetup scale="92" orientation="landscape" r:id="rId1"/>
  <headerFooter alignWithMargins="0">
    <oddFooter xml:space="preserve">&amp;L&amp;D     &amp;T&amp;C&amp;F&amp;R&amp;A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Z163"/>
  <sheetViews>
    <sheetView zoomScaleNormal="100" workbookViewId="0">
      <pane ySplit="7" topLeftCell="A13" activePane="bottomLeft" state="frozen"/>
      <selection activeCell="S36" sqref="S36"/>
      <selection pane="bottomLeft" activeCell="B33" sqref="B33"/>
    </sheetView>
  </sheetViews>
  <sheetFormatPr defaultRowHeight="13.2" x14ac:dyDescent="0.25"/>
  <cols>
    <col min="1" max="1" width="11.4414062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 min="23" max="25" width="14.44140625" customWidth="1"/>
    <col min="26" max="26" width="14.6640625" customWidth="1"/>
  </cols>
  <sheetData>
    <row r="1" spans="1:25" x14ac:dyDescent="0.25">
      <c r="A1" s="701" t="s">
        <v>736</v>
      </c>
      <c r="B1" s="290" t="s">
        <v>194</v>
      </c>
      <c r="D1" s="194"/>
      <c r="E1" s="194"/>
      <c r="F1" s="194"/>
      <c r="G1" s="194"/>
      <c r="H1" s="194"/>
      <c r="I1" s="194"/>
      <c r="J1" s="194"/>
      <c r="K1" s="194"/>
      <c r="L1" s="194"/>
      <c r="M1" s="194"/>
      <c r="N1" s="194"/>
      <c r="O1" s="194"/>
      <c r="P1" s="194"/>
      <c r="Q1" s="194"/>
      <c r="V1"/>
    </row>
    <row r="2" spans="1:25" ht="13.8" x14ac:dyDescent="0.25">
      <c r="A2" s="702" t="s">
        <v>705</v>
      </c>
      <c r="B2" s="43"/>
      <c r="D2" s="194"/>
      <c r="E2" s="125"/>
      <c r="F2" s="194"/>
      <c r="G2" s="194"/>
      <c r="H2" s="194"/>
      <c r="I2" s="125" t="s">
        <v>706</v>
      </c>
      <c r="J2" s="125"/>
      <c r="K2" s="125"/>
      <c r="L2" s="125"/>
      <c r="M2" s="125"/>
      <c r="N2" s="125"/>
      <c r="O2" s="125"/>
      <c r="P2" s="125"/>
      <c r="Q2" s="125"/>
      <c r="R2" s="58" t="s">
        <v>514</v>
      </c>
      <c r="U2" s="44" t="s">
        <v>737</v>
      </c>
    </row>
    <row r="3" spans="1:25" ht="13.8" thickBot="1" x14ac:dyDescent="0.3">
      <c r="A3" s="703"/>
      <c r="B3" s="4"/>
      <c r="C3" s="23"/>
      <c r="D3" s="23"/>
      <c r="E3" s="23"/>
      <c r="F3" s="23"/>
      <c r="G3" s="23"/>
      <c r="H3" s="23"/>
      <c r="I3" s="23"/>
      <c r="J3" s="23"/>
      <c r="K3" s="23"/>
      <c r="L3" s="23"/>
      <c r="M3" s="23"/>
      <c r="N3" s="23"/>
      <c r="O3" s="23"/>
      <c r="P3" s="23"/>
      <c r="Q3" s="23"/>
      <c r="R3" s="4"/>
      <c r="S3" s="23"/>
      <c r="T3" s="23"/>
      <c r="U3" s="4"/>
      <c r="V3" s="4"/>
      <c r="Y3" s="4"/>
    </row>
    <row r="4" spans="1:25"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5"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5"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5"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5" ht="13.8" thickTop="1" x14ac:dyDescent="0.25">
      <c r="A8" s="725">
        <v>5111</v>
      </c>
      <c r="B8" s="185" t="s">
        <v>738</v>
      </c>
      <c r="C8" s="117">
        <v>87868.9</v>
      </c>
      <c r="D8" s="111">
        <v>95093</v>
      </c>
      <c r="E8" s="111">
        <v>98445</v>
      </c>
      <c r="F8" s="111">
        <v>101417.60000000001</v>
      </c>
      <c r="G8" s="111">
        <v>107277.06</v>
      </c>
      <c r="H8" s="111">
        <v>106047</v>
      </c>
      <c r="I8" s="111">
        <v>110332</v>
      </c>
      <c r="J8" s="111">
        <v>114221</v>
      </c>
      <c r="K8" s="19">
        <v>167169</v>
      </c>
      <c r="L8" s="111">
        <v>167000.45000000001</v>
      </c>
      <c r="M8" s="19">
        <v>169434</v>
      </c>
      <c r="N8" s="111">
        <v>169675.54</v>
      </c>
      <c r="O8" s="19">
        <v>256358</v>
      </c>
      <c r="P8" s="18">
        <v>243622.8</v>
      </c>
      <c r="Q8" s="19">
        <v>272934</v>
      </c>
      <c r="R8" s="18">
        <v>131218.42000000001</v>
      </c>
      <c r="S8" s="19">
        <f>ROUND(+R42++R43+R44,0)</f>
        <v>268801</v>
      </c>
      <c r="T8" s="19"/>
      <c r="U8" s="19"/>
    </row>
    <row r="9" spans="1:25" x14ac:dyDescent="0.25">
      <c r="A9" s="725">
        <v>5113</v>
      </c>
      <c r="B9" s="101" t="s">
        <v>739</v>
      </c>
      <c r="C9" s="117">
        <v>32158</v>
      </c>
      <c r="D9" s="111">
        <v>35092.639999999999</v>
      </c>
      <c r="E9" s="111">
        <v>38122.11</v>
      </c>
      <c r="F9" s="111">
        <v>39647.11</v>
      </c>
      <c r="G9" s="111">
        <v>40514.04</v>
      </c>
      <c r="H9" s="111">
        <v>42186.49</v>
      </c>
      <c r="I9" s="111">
        <v>42825.37</v>
      </c>
      <c r="J9" s="111">
        <v>44603.96</v>
      </c>
      <c r="K9" s="19"/>
      <c r="L9" s="111"/>
      <c r="M9" s="19"/>
      <c r="N9" s="111"/>
      <c r="O9" s="19">
        <v>23829</v>
      </c>
      <c r="P9" s="18">
        <v>12715.56</v>
      </c>
      <c r="Q9" s="19">
        <v>25774</v>
      </c>
      <c r="R9" s="18">
        <v>8619.06</v>
      </c>
      <c r="S9" s="19">
        <f>ROUND((+R45),0)</f>
        <v>21151</v>
      </c>
      <c r="T9" s="19"/>
      <c r="U9" s="19"/>
    </row>
    <row r="10" spans="1:25" x14ac:dyDescent="0.25">
      <c r="A10" s="725">
        <v>5115</v>
      </c>
      <c r="B10" s="101" t="s">
        <v>740</v>
      </c>
      <c r="C10" s="115">
        <v>1000</v>
      </c>
      <c r="D10" s="127">
        <v>1500</v>
      </c>
      <c r="E10" s="127">
        <v>1500</v>
      </c>
      <c r="F10" s="127">
        <v>1500</v>
      </c>
      <c r="G10" s="127">
        <v>2040</v>
      </c>
      <c r="H10" s="127">
        <v>2040</v>
      </c>
      <c r="I10" s="127">
        <v>2040</v>
      </c>
      <c r="J10" s="127">
        <v>2355</v>
      </c>
      <c r="K10" s="208">
        <v>2355</v>
      </c>
      <c r="L10" s="127">
        <v>2355</v>
      </c>
      <c r="M10" s="208">
        <v>2355</v>
      </c>
      <c r="N10" s="127">
        <v>2355</v>
      </c>
      <c r="O10" s="208">
        <v>2355</v>
      </c>
      <c r="P10" s="127">
        <v>2355</v>
      </c>
      <c r="Q10" s="208">
        <v>2355</v>
      </c>
      <c r="R10" s="13">
        <v>1177.54</v>
      </c>
      <c r="S10" s="208">
        <v>2640</v>
      </c>
      <c r="T10" s="208"/>
      <c r="U10" s="14"/>
    </row>
    <row r="11" spans="1:25" x14ac:dyDescent="0.25">
      <c r="A11" s="725">
        <v>5115</v>
      </c>
      <c r="B11" s="101" t="s">
        <v>741</v>
      </c>
      <c r="C11" s="572">
        <v>1000</v>
      </c>
      <c r="D11" s="254">
        <v>1500</v>
      </c>
      <c r="E11" s="254">
        <v>1500</v>
      </c>
      <c r="F11" s="254">
        <v>1500</v>
      </c>
      <c r="G11" s="254">
        <v>2040</v>
      </c>
      <c r="H11" s="254">
        <v>2040</v>
      </c>
      <c r="I11" s="254">
        <v>2040</v>
      </c>
      <c r="J11" s="254">
        <v>2140</v>
      </c>
      <c r="K11" s="490">
        <v>2140</v>
      </c>
      <c r="L11" s="254">
        <v>2140</v>
      </c>
      <c r="M11" s="490">
        <v>2140</v>
      </c>
      <c r="N11" s="254">
        <v>2140</v>
      </c>
      <c r="O11" s="490">
        <v>2140</v>
      </c>
      <c r="P11" s="254">
        <v>2140</v>
      </c>
      <c r="Q11" s="490">
        <v>2140</v>
      </c>
      <c r="R11" s="28">
        <v>1070</v>
      </c>
      <c r="S11" s="490">
        <v>2400</v>
      </c>
      <c r="T11" s="490"/>
      <c r="U11" s="14"/>
    </row>
    <row r="12" spans="1:25" x14ac:dyDescent="0.25">
      <c r="A12" s="708">
        <v>5115</v>
      </c>
      <c r="B12" s="60" t="s">
        <v>742</v>
      </c>
      <c r="C12" s="115">
        <v>1000</v>
      </c>
      <c r="D12" s="13">
        <v>1500</v>
      </c>
      <c r="E12" s="13">
        <v>1500</v>
      </c>
      <c r="F12" s="13">
        <v>1500</v>
      </c>
      <c r="G12" s="13">
        <v>2040</v>
      </c>
      <c r="H12" s="13">
        <v>2040</v>
      </c>
      <c r="I12" s="13">
        <v>2040</v>
      </c>
      <c r="J12" s="13">
        <v>2140</v>
      </c>
      <c r="K12" s="40">
        <v>2140</v>
      </c>
      <c r="L12" s="13">
        <v>2140</v>
      </c>
      <c r="M12" s="40">
        <v>2140</v>
      </c>
      <c r="N12" s="13">
        <v>2021.07</v>
      </c>
      <c r="O12" s="40">
        <v>2140</v>
      </c>
      <c r="P12" s="13">
        <v>2140</v>
      </c>
      <c r="Q12" s="40">
        <v>2140</v>
      </c>
      <c r="R12" s="13">
        <v>1070</v>
      </c>
      <c r="S12" s="40">
        <v>2400</v>
      </c>
      <c r="T12" s="40"/>
      <c r="U12" s="14"/>
    </row>
    <row r="13" spans="1:25" x14ac:dyDescent="0.25">
      <c r="A13" s="708">
        <v>5124</v>
      </c>
      <c r="B13" s="60" t="s">
        <v>743</v>
      </c>
      <c r="C13" s="115"/>
      <c r="D13" s="13"/>
      <c r="E13" s="13"/>
      <c r="F13" s="13"/>
      <c r="G13" s="13"/>
      <c r="H13" s="13"/>
      <c r="I13" s="13">
        <v>357</v>
      </c>
      <c r="J13" s="13">
        <v>307.13</v>
      </c>
      <c r="K13" s="40">
        <v>6000</v>
      </c>
      <c r="L13" s="13"/>
      <c r="M13" s="40"/>
      <c r="N13" s="13"/>
      <c r="O13" s="40"/>
      <c r="P13" s="13">
        <v>192.38</v>
      </c>
      <c r="Q13" s="40"/>
      <c r="R13" s="13"/>
      <c r="S13" s="40"/>
      <c r="T13" s="40"/>
      <c r="U13" s="14"/>
    </row>
    <row r="14" spans="1:25" x14ac:dyDescent="0.25">
      <c r="A14" s="708">
        <v>5144</v>
      </c>
      <c r="B14" s="60" t="s">
        <v>27</v>
      </c>
      <c r="C14" s="115">
        <v>1050</v>
      </c>
      <c r="D14" s="13">
        <v>1100</v>
      </c>
      <c r="E14" s="13">
        <v>1100</v>
      </c>
      <c r="F14" s="13">
        <v>1100</v>
      </c>
      <c r="G14" s="13">
        <v>1700</v>
      </c>
      <c r="H14" s="13">
        <v>900</v>
      </c>
      <c r="I14" s="13">
        <v>900</v>
      </c>
      <c r="J14" s="13">
        <v>900</v>
      </c>
      <c r="K14" s="14">
        <v>900</v>
      </c>
      <c r="L14" s="13">
        <v>900</v>
      </c>
      <c r="M14" s="14">
        <v>900</v>
      </c>
      <c r="N14" s="13">
        <v>900</v>
      </c>
      <c r="O14" s="14">
        <v>1700</v>
      </c>
      <c r="P14" s="13">
        <v>1100</v>
      </c>
      <c r="Q14" s="14">
        <f>800+1100</f>
        <v>1900</v>
      </c>
      <c r="R14" s="13">
        <v>1400</v>
      </c>
      <c r="S14" s="14">
        <v>2000</v>
      </c>
      <c r="T14" s="14"/>
      <c r="U14" s="14"/>
    </row>
    <row r="15" spans="1:25" ht="13.8" thickBot="1" x14ac:dyDescent="0.3">
      <c r="A15" s="708">
        <v>5145</v>
      </c>
      <c r="B15" s="60" t="s">
        <v>744</v>
      </c>
      <c r="C15" s="210">
        <v>161.56</v>
      </c>
      <c r="D15" s="35">
        <v>300.04000000000002</v>
      </c>
      <c r="E15" s="35">
        <v>300.04000000000002</v>
      </c>
      <c r="F15" s="15">
        <v>305.81</v>
      </c>
      <c r="G15" s="15">
        <v>444.29</v>
      </c>
      <c r="H15" s="15">
        <v>600.08000000000004</v>
      </c>
      <c r="I15" s="15">
        <v>600.08000000000004</v>
      </c>
      <c r="J15" s="15">
        <v>600.08000000000004</v>
      </c>
      <c r="K15" s="16">
        <v>610</v>
      </c>
      <c r="L15" s="15">
        <v>611.62</v>
      </c>
      <c r="M15" s="16">
        <v>610</v>
      </c>
      <c r="N15" s="15">
        <v>600.08000000000004</v>
      </c>
      <c r="O15" s="16">
        <v>938</v>
      </c>
      <c r="P15" s="15">
        <v>825.11</v>
      </c>
      <c r="Q15" s="16">
        <v>938</v>
      </c>
      <c r="R15" s="15">
        <v>432.75</v>
      </c>
      <c r="S15" s="16">
        <v>938</v>
      </c>
      <c r="T15" s="16"/>
      <c r="U15" s="16"/>
    </row>
    <row r="16" spans="1:25" hidden="1" x14ac:dyDescent="0.25">
      <c r="A16" s="708">
        <v>5192</v>
      </c>
      <c r="B16" s="60" t="s">
        <v>745</v>
      </c>
      <c r="C16" s="210"/>
      <c r="D16" s="35"/>
      <c r="E16" s="35"/>
      <c r="F16" s="28"/>
      <c r="G16" s="28">
        <v>4305</v>
      </c>
      <c r="H16" s="28"/>
      <c r="I16" s="28"/>
      <c r="J16" s="28"/>
      <c r="K16" s="29"/>
      <c r="L16" s="28"/>
      <c r="M16" s="29"/>
      <c r="N16" s="28"/>
      <c r="O16" s="29"/>
      <c r="P16" s="28"/>
      <c r="Q16" s="29"/>
      <c r="R16" s="28"/>
      <c r="S16" s="29"/>
      <c r="T16" s="29"/>
      <c r="U16" s="19"/>
    </row>
    <row r="17" spans="1:21" hidden="1" x14ac:dyDescent="0.25">
      <c r="A17" s="708">
        <v>5193</v>
      </c>
      <c r="B17" s="60" t="s">
        <v>746</v>
      </c>
      <c r="C17" s="210"/>
      <c r="D17" s="35"/>
      <c r="E17" s="35"/>
      <c r="F17" s="35"/>
      <c r="G17" s="35">
        <v>3500</v>
      </c>
      <c r="H17" s="35"/>
      <c r="I17" s="35"/>
      <c r="J17" s="35"/>
      <c r="K17" s="36"/>
      <c r="L17" s="35"/>
      <c r="M17" s="36"/>
      <c r="N17" s="35"/>
      <c r="O17" s="36"/>
      <c r="P17" s="35"/>
      <c r="Q17" s="36"/>
      <c r="R17" s="35"/>
      <c r="S17" s="36"/>
      <c r="T17" s="36"/>
      <c r="U17" s="14"/>
    </row>
    <row r="18" spans="1:21" ht="13.8" hidden="1" thickBot="1" x14ac:dyDescent="0.3">
      <c r="A18" s="708">
        <v>5194</v>
      </c>
      <c r="B18" s="60" t="s">
        <v>747</v>
      </c>
      <c r="C18" s="116"/>
      <c r="D18" s="15">
        <v>0</v>
      </c>
      <c r="E18" s="15"/>
      <c r="F18" s="15"/>
      <c r="G18" s="15">
        <v>16073.84</v>
      </c>
      <c r="H18" s="15"/>
      <c r="I18" s="15"/>
      <c r="J18" s="15"/>
      <c r="K18" s="16"/>
      <c r="L18" s="15"/>
      <c r="M18" s="16"/>
      <c r="N18" s="15"/>
      <c r="O18" s="16"/>
      <c r="P18" s="15"/>
      <c r="Q18" s="16"/>
      <c r="R18" s="15"/>
      <c r="S18" s="16"/>
      <c r="T18" s="16"/>
      <c r="U18" s="16"/>
    </row>
    <row r="19" spans="1:21" x14ac:dyDescent="0.25">
      <c r="A19" s="708"/>
      <c r="B19" s="17" t="s">
        <v>718</v>
      </c>
      <c r="C19" s="18">
        <f t="shared" ref="C19:U19" si="0">SUM(C8:C18)</f>
        <v>124238.45999999999</v>
      </c>
      <c r="D19" s="18">
        <f t="shared" si="0"/>
        <v>136085.68000000002</v>
      </c>
      <c r="E19" s="18">
        <f t="shared" si="0"/>
        <v>142467.15</v>
      </c>
      <c r="F19" s="18">
        <f t="shared" si="0"/>
        <v>146970.52000000002</v>
      </c>
      <c r="G19" s="18">
        <f t="shared" si="0"/>
        <v>179934.23</v>
      </c>
      <c r="H19" s="18">
        <f t="shared" si="0"/>
        <v>155853.56999999998</v>
      </c>
      <c r="I19" s="18">
        <f t="shared" si="0"/>
        <v>161134.44999999998</v>
      </c>
      <c r="J19" s="18">
        <f t="shared" si="0"/>
        <v>167267.16999999998</v>
      </c>
      <c r="K19" s="19">
        <f>SUM(K8:K18)</f>
        <v>181314</v>
      </c>
      <c r="L19" s="18">
        <f t="shared" ref="L19:N19" si="1">SUM(L8:L18)</f>
        <v>175147.07</v>
      </c>
      <c r="M19" s="19">
        <f>SUM(M8:M18)</f>
        <v>177579</v>
      </c>
      <c r="N19" s="18">
        <f t="shared" si="1"/>
        <v>177691.69</v>
      </c>
      <c r="O19" s="19">
        <f>SUM(O8:O18)</f>
        <v>289460</v>
      </c>
      <c r="P19" s="18">
        <f>SUM(P8:P18)</f>
        <v>265090.84999999998</v>
      </c>
      <c r="Q19" s="19">
        <f>SUM(Q8:Q18)</f>
        <v>308181</v>
      </c>
      <c r="R19" s="18">
        <f t="shared" si="0"/>
        <v>144987.77000000002</v>
      </c>
      <c r="S19" s="19">
        <f>SUM(S8:S18)</f>
        <v>300330</v>
      </c>
      <c r="T19" s="19">
        <f>SUM(T8:T18)</f>
        <v>0</v>
      </c>
      <c r="U19" s="19">
        <f t="shared" si="0"/>
        <v>0</v>
      </c>
    </row>
    <row r="20" spans="1:21" x14ac:dyDescent="0.25">
      <c r="A20" s="708"/>
      <c r="B20" s="12"/>
      <c r="C20" s="13"/>
      <c r="D20" s="13"/>
      <c r="E20" s="13"/>
      <c r="F20" s="13"/>
      <c r="G20" s="13"/>
      <c r="H20" s="13"/>
      <c r="I20" s="13"/>
      <c r="J20" s="13"/>
      <c r="K20" s="14"/>
      <c r="L20" s="13"/>
      <c r="M20" s="14"/>
      <c r="N20" s="13"/>
      <c r="O20" s="14"/>
      <c r="P20" s="13"/>
      <c r="Q20" s="14"/>
      <c r="R20" s="13"/>
      <c r="S20" s="14"/>
      <c r="T20" s="14"/>
      <c r="U20" s="14"/>
    </row>
    <row r="21" spans="1:21" hidden="1" x14ac:dyDescent="0.25">
      <c r="A21" s="708">
        <v>5310</v>
      </c>
      <c r="B21" s="12" t="s">
        <v>748</v>
      </c>
      <c r="C21" s="13"/>
      <c r="D21" s="13"/>
      <c r="E21" s="13"/>
      <c r="F21" s="13"/>
      <c r="G21" s="13"/>
      <c r="H21" s="13">
        <v>9814</v>
      </c>
      <c r="I21" s="13"/>
      <c r="J21" s="13"/>
      <c r="K21" s="14"/>
      <c r="L21" s="13"/>
      <c r="M21" s="14"/>
      <c r="N21" s="13"/>
      <c r="O21" s="14"/>
      <c r="P21" s="13"/>
      <c r="Q21" s="14"/>
      <c r="R21" s="13"/>
      <c r="S21" s="14"/>
      <c r="T21" s="14"/>
      <c r="U21" s="14"/>
    </row>
    <row r="22" spans="1:21" x14ac:dyDescent="0.25">
      <c r="A22" s="708">
        <v>5314</v>
      </c>
      <c r="B22" s="12" t="s">
        <v>749</v>
      </c>
      <c r="C22" s="13">
        <v>155</v>
      </c>
      <c r="D22" s="13">
        <v>264</v>
      </c>
      <c r="E22" s="13">
        <v>234</v>
      </c>
      <c r="F22" s="13">
        <v>339</v>
      </c>
      <c r="G22" s="13">
        <v>1640.7</v>
      </c>
      <c r="H22" s="13">
        <v>344</v>
      </c>
      <c r="I22" s="13">
        <v>1374</v>
      </c>
      <c r="J22" s="13">
        <v>1145</v>
      </c>
      <c r="K22" s="14">
        <v>1000</v>
      </c>
      <c r="L22" s="13">
        <v>496.16</v>
      </c>
      <c r="M22" s="14">
        <v>1000</v>
      </c>
      <c r="N22" s="13">
        <v>64.81</v>
      </c>
      <c r="O22" s="14">
        <v>2000</v>
      </c>
      <c r="P22" s="13">
        <v>585</v>
      </c>
      <c r="Q22" s="14">
        <v>2000</v>
      </c>
      <c r="R22" s="13">
        <v>15</v>
      </c>
      <c r="S22" s="14">
        <v>2500</v>
      </c>
      <c r="T22" s="14"/>
      <c r="U22" s="14"/>
    </row>
    <row r="23" spans="1:21" x14ac:dyDescent="0.25">
      <c r="A23" s="708">
        <v>5315</v>
      </c>
      <c r="B23" s="12" t="s">
        <v>750</v>
      </c>
      <c r="C23" s="13">
        <v>13</v>
      </c>
      <c r="D23" s="13"/>
      <c r="E23" s="13"/>
      <c r="F23" s="13"/>
      <c r="G23" s="13">
        <v>1771</v>
      </c>
      <c r="H23" s="13">
        <v>3318</v>
      </c>
      <c r="I23" s="13">
        <v>3318</v>
      </c>
      <c r="J23" s="13">
        <v>5501</v>
      </c>
      <c r="K23" s="14">
        <v>7200</v>
      </c>
      <c r="L23" s="13">
        <v>5942.42</v>
      </c>
      <c r="M23" s="14">
        <v>7200</v>
      </c>
      <c r="N23" s="13">
        <v>5282</v>
      </c>
      <c r="O23" s="14">
        <v>7200</v>
      </c>
      <c r="P23" s="13">
        <v>5907.18</v>
      </c>
      <c r="Q23" s="14">
        <v>8000</v>
      </c>
      <c r="R23" s="13">
        <v>2670</v>
      </c>
      <c r="S23" s="14">
        <v>8000</v>
      </c>
      <c r="T23" s="14"/>
      <c r="U23" s="14"/>
    </row>
    <row r="24" spans="1:21" hidden="1" x14ac:dyDescent="0.25">
      <c r="A24" s="708">
        <v>5341</v>
      </c>
      <c r="B24" s="12" t="s">
        <v>751</v>
      </c>
      <c r="C24" s="13">
        <v>622.19000000000005</v>
      </c>
      <c r="D24" s="13">
        <v>606.08000000000004</v>
      </c>
      <c r="E24" s="13">
        <v>609.53</v>
      </c>
      <c r="F24" s="13">
        <v>625.46</v>
      </c>
      <c r="G24" s="13">
        <v>643.62</v>
      </c>
      <c r="H24" s="13"/>
      <c r="I24" s="13"/>
      <c r="J24" s="13"/>
      <c r="K24" s="14"/>
      <c r="L24" s="13"/>
      <c r="M24" s="14"/>
      <c r="N24" s="13"/>
      <c r="O24" s="14"/>
      <c r="P24" s="13"/>
      <c r="Q24" s="14"/>
      <c r="R24" s="13"/>
      <c r="S24" s="14"/>
      <c r="T24" s="14"/>
      <c r="U24" s="14"/>
    </row>
    <row r="25" spans="1:21" x14ac:dyDescent="0.25">
      <c r="A25" s="708">
        <v>5344</v>
      </c>
      <c r="B25" s="12" t="s">
        <v>722</v>
      </c>
      <c r="C25" s="13">
        <v>394.95</v>
      </c>
      <c r="D25" s="13">
        <v>15.26</v>
      </c>
      <c r="E25" s="13">
        <v>46.13</v>
      </c>
      <c r="F25" s="13">
        <v>313.97000000000003</v>
      </c>
      <c r="G25" s="13">
        <v>6.67</v>
      </c>
      <c r="H25" s="13">
        <v>230.52</v>
      </c>
      <c r="I25" s="13">
        <v>57.55</v>
      </c>
      <c r="J25" s="13">
        <v>291.2</v>
      </c>
      <c r="K25" s="14">
        <v>300</v>
      </c>
      <c r="L25" s="13">
        <v>181.55</v>
      </c>
      <c r="M25" s="14">
        <v>300</v>
      </c>
      <c r="N25" s="13">
        <v>226.85</v>
      </c>
      <c r="O25" s="14">
        <v>300</v>
      </c>
      <c r="P25" s="13">
        <v>36.54</v>
      </c>
      <c r="Q25" s="14">
        <v>300</v>
      </c>
      <c r="R25" s="13">
        <v>79.75</v>
      </c>
      <c r="S25" s="14">
        <v>300</v>
      </c>
      <c r="T25" s="14"/>
      <c r="U25" s="14"/>
    </row>
    <row r="26" spans="1:21" x14ac:dyDescent="0.25">
      <c r="A26" s="708">
        <v>5345</v>
      </c>
      <c r="B26" s="12" t="s">
        <v>752</v>
      </c>
      <c r="C26" s="13">
        <v>215.57</v>
      </c>
      <c r="D26" s="13">
        <v>993.7</v>
      </c>
      <c r="E26" s="13">
        <v>1101.8</v>
      </c>
      <c r="F26" s="13"/>
      <c r="G26" s="13">
        <v>766</v>
      </c>
      <c r="H26" s="13"/>
      <c r="I26" s="13">
        <v>386.33</v>
      </c>
      <c r="J26" s="13">
        <v>223.36</v>
      </c>
      <c r="K26" s="14">
        <v>1050</v>
      </c>
      <c r="L26" s="13">
        <v>2584.1</v>
      </c>
      <c r="M26" s="14">
        <v>1050</v>
      </c>
      <c r="N26" s="13">
        <v>866.1</v>
      </c>
      <c r="O26" s="14">
        <v>1050</v>
      </c>
      <c r="P26" s="13">
        <v>1188.6300000000001</v>
      </c>
      <c r="Q26" s="14">
        <v>1200</v>
      </c>
      <c r="R26" s="13">
        <v>96</v>
      </c>
      <c r="S26" s="14">
        <v>1300</v>
      </c>
      <c r="T26" s="14"/>
      <c r="U26" s="14"/>
    </row>
    <row r="27" spans="1:21" x14ac:dyDescent="0.25">
      <c r="A27" s="708">
        <v>5420</v>
      </c>
      <c r="B27" s="12" t="s">
        <v>753</v>
      </c>
      <c r="C27" s="18">
        <v>961.77</v>
      </c>
      <c r="D27" s="18">
        <v>902.7</v>
      </c>
      <c r="E27" s="18">
        <v>1272.0899999999999</v>
      </c>
      <c r="F27" s="18">
        <v>1250.75</v>
      </c>
      <c r="G27" s="18">
        <v>1639.92</v>
      </c>
      <c r="H27" s="18">
        <v>1984.35</v>
      </c>
      <c r="I27" s="18">
        <v>2047.5</v>
      </c>
      <c r="J27" s="18">
        <v>2678.22</v>
      </c>
      <c r="K27" s="19">
        <v>1600</v>
      </c>
      <c r="L27" s="18">
        <v>2729.07</v>
      </c>
      <c r="M27" s="19">
        <v>2350</v>
      </c>
      <c r="N27" s="18">
        <v>2926.93</v>
      </c>
      <c r="O27" s="19">
        <v>4500</v>
      </c>
      <c r="P27" s="18">
        <v>5203.41</v>
      </c>
      <c r="Q27" s="19">
        <v>4500</v>
      </c>
      <c r="R27" s="18">
        <v>647.07000000000005</v>
      </c>
      <c r="S27" s="19">
        <v>5500</v>
      </c>
      <c r="T27" s="19"/>
      <c r="U27" s="19"/>
    </row>
    <row r="28" spans="1:21" x14ac:dyDescent="0.25">
      <c r="A28" s="708">
        <v>5450</v>
      </c>
      <c r="B28" s="12" t="s">
        <v>754</v>
      </c>
      <c r="C28" s="95"/>
      <c r="D28" s="95">
        <v>105.99</v>
      </c>
      <c r="E28" s="95"/>
      <c r="F28" s="95"/>
      <c r="G28" s="95"/>
      <c r="H28" s="95">
        <v>470.13</v>
      </c>
      <c r="I28" s="95">
        <v>0</v>
      </c>
      <c r="J28" s="95">
        <v>501.35</v>
      </c>
      <c r="K28" s="201">
        <v>500</v>
      </c>
      <c r="L28" s="95"/>
      <c r="M28" s="201">
        <v>500</v>
      </c>
      <c r="N28" s="95"/>
      <c r="O28" s="201">
        <v>500</v>
      </c>
      <c r="P28" s="95">
        <v>500</v>
      </c>
      <c r="Q28" s="201">
        <v>500</v>
      </c>
      <c r="R28" s="95"/>
      <c r="S28" s="201">
        <v>500</v>
      </c>
      <c r="T28" s="201"/>
      <c r="U28" s="14"/>
    </row>
    <row r="29" spans="1:21" x14ac:dyDescent="0.25">
      <c r="A29" s="708">
        <v>5581</v>
      </c>
      <c r="B29" s="12" t="s">
        <v>755</v>
      </c>
      <c r="C29" s="94">
        <v>69</v>
      </c>
      <c r="D29" s="94">
        <v>157.4</v>
      </c>
      <c r="E29" s="94">
        <v>88.4</v>
      </c>
      <c r="F29" s="94"/>
      <c r="G29" s="94">
        <v>167.8</v>
      </c>
      <c r="H29" s="94">
        <v>175.6</v>
      </c>
      <c r="I29" s="94">
        <v>176.55</v>
      </c>
      <c r="J29" s="94">
        <v>148.86000000000001</v>
      </c>
      <c r="K29" s="32">
        <v>200</v>
      </c>
      <c r="L29" s="94">
        <v>127.4</v>
      </c>
      <c r="M29" s="32">
        <v>200</v>
      </c>
      <c r="N29" s="94">
        <v>578.84</v>
      </c>
      <c r="O29" s="32">
        <v>200</v>
      </c>
      <c r="P29" s="94">
        <v>1041.95</v>
      </c>
      <c r="Q29" s="32">
        <v>600</v>
      </c>
      <c r="R29" s="94">
        <v>74.95</v>
      </c>
      <c r="S29" s="32">
        <v>1000</v>
      </c>
      <c r="T29" s="32"/>
      <c r="U29" s="14"/>
    </row>
    <row r="30" spans="1:21" x14ac:dyDescent="0.25">
      <c r="A30" s="708">
        <v>5582</v>
      </c>
      <c r="B30" s="12" t="s">
        <v>756</v>
      </c>
      <c r="C30" s="95">
        <v>10.9</v>
      </c>
      <c r="D30" s="95"/>
      <c r="E30" s="95"/>
      <c r="F30" s="95"/>
      <c r="G30" s="95">
        <v>121.44</v>
      </c>
      <c r="H30" s="95"/>
      <c r="I30" s="95">
        <v>117.69</v>
      </c>
      <c r="J30" s="95">
        <v>262.37</v>
      </c>
      <c r="K30" s="201">
        <v>600</v>
      </c>
      <c r="L30" s="95">
        <v>230.58</v>
      </c>
      <c r="M30" s="201">
        <v>300</v>
      </c>
      <c r="N30" s="95">
        <v>207.1</v>
      </c>
      <c r="O30" s="201">
        <v>300</v>
      </c>
      <c r="P30" s="95">
        <v>289.13</v>
      </c>
      <c r="Q30" s="201">
        <v>300</v>
      </c>
      <c r="R30" s="95">
        <v>105.28</v>
      </c>
      <c r="S30" s="201">
        <v>300</v>
      </c>
      <c r="T30" s="201"/>
      <c r="U30" s="19"/>
    </row>
    <row r="31" spans="1:21" x14ac:dyDescent="0.25">
      <c r="A31" s="708">
        <v>5590</v>
      </c>
      <c r="B31" s="12" t="s">
        <v>757</v>
      </c>
      <c r="C31" s="95"/>
      <c r="D31" s="95"/>
      <c r="E31" s="95"/>
      <c r="F31" s="95">
        <v>3247.68</v>
      </c>
      <c r="G31" s="95">
        <v>3568</v>
      </c>
      <c r="H31" s="95"/>
      <c r="I31" s="95"/>
      <c r="J31" s="95"/>
      <c r="K31" s="201"/>
      <c r="L31" s="95"/>
      <c r="M31" s="201"/>
      <c r="N31" s="95"/>
      <c r="O31" s="201">
        <v>3000</v>
      </c>
      <c r="P31" s="95">
        <v>1930.27</v>
      </c>
      <c r="Q31" s="201">
        <v>500</v>
      </c>
      <c r="R31" s="95"/>
      <c r="S31" s="201">
        <v>500</v>
      </c>
      <c r="T31" s="201"/>
      <c r="U31" s="19"/>
    </row>
    <row r="32" spans="1:21" x14ac:dyDescent="0.25">
      <c r="A32" s="708">
        <v>5710</v>
      </c>
      <c r="B32" s="12" t="s">
        <v>758</v>
      </c>
      <c r="C32" s="18">
        <v>798.35</v>
      </c>
      <c r="D32" s="18">
        <v>780.84</v>
      </c>
      <c r="E32" s="18">
        <v>851.39</v>
      </c>
      <c r="F32" s="18">
        <v>839.1</v>
      </c>
      <c r="G32" s="18">
        <v>1366.82</v>
      </c>
      <c r="H32" s="18">
        <v>964.56</v>
      </c>
      <c r="I32" s="18">
        <v>1700.03</v>
      </c>
      <c r="J32" s="18">
        <v>726.14</v>
      </c>
      <c r="K32" s="19">
        <v>1750</v>
      </c>
      <c r="L32" s="18"/>
      <c r="M32" s="19">
        <v>1750</v>
      </c>
      <c r="N32" s="18">
        <v>164.64</v>
      </c>
      <c r="O32" s="19">
        <v>2500</v>
      </c>
      <c r="P32" s="18">
        <v>462.38</v>
      </c>
      <c r="Q32" s="19">
        <v>2000</v>
      </c>
      <c r="R32" s="18">
        <v>408.24</v>
      </c>
      <c r="S32" s="19">
        <v>3000</v>
      </c>
      <c r="T32" s="19"/>
      <c r="U32" s="19"/>
    </row>
    <row r="33" spans="1:26" ht="13.8" thickBot="1" x14ac:dyDescent="0.3">
      <c r="A33" s="708">
        <v>5730</v>
      </c>
      <c r="B33" s="12" t="s">
        <v>759</v>
      </c>
      <c r="C33" s="15">
        <v>2157</v>
      </c>
      <c r="D33" s="15">
        <v>1952</v>
      </c>
      <c r="E33" s="15">
        <v>1997</v>
      </c>
      <c r="F33" s="15">
        <v>1966.42</v>
      </c>
      <c r="G33" s="15">
        <v>1814.8</v>
      </c>
      <c r="H33" s="15">
        <v>2011</v>
      </c>
      <c r="I33" s="15">
        <v>2178</v>
      </c>
      <c r="J33" s="15">
        <v>2401</v>
      </c>
      <c r="K33" s="16">
        <v>2500</v>
      </c>
      <c r="L33" s="15">
        <v>2346</v>
      </c>
      <c r="M33" s="16">
        <v>2500</v>
      </c>
      <c r="N33" s="15">
        <v>2321</v>
      </c>
      <c r="O33" s="16">
        <v>2500</v>
      </c>
      <c r="P33" s="15">
        <v>2402</v>
      </c>
      <c r="Q33" s="16">
        <v>2500</v>
      </c>
      <c r="R33" s="15">
        <v>2144</v>
      </c>
      <c r="S33" s="16">
        <v>3000</v>
      </c>
      <c r="T33" s="16"/>
      <c r="U33" s="16"/>
    </row>
    <row r="34" spans="1:26" x14ac:dyDescent="0.25">
      <c r="A34" s="708"/>
      <c r="B34" s="17" t="s">
        <v>728</v>
      </c>
      <c r="C34" s="13">
        <f t="shared" ref="C34:R34" si="2">SUM(C22:C33)</f>
        <v>5397.73</v>
      </c>
      <c r="D34" s="13">
        <f t="shared" si="2"/>
        <v>5777.9699999999993</v>
      </c>
      <c r="E34" s="13">
        <f t="shared" si="2"/>
        <v>6200.34</v>
      </c>
      <c r="F34" s="13">
        <f>SUM(F22:F33)</f>
        <v>8582.380000000001</v>
      </c>
      <c r="G34" s="13">
        <f>SUM(G22:G33)</f>
        <v>13506.769999999999</v>
      </c>
      <c r="H34" s="13">
        <f>SUM(H21:H33)</f>
        <v>19312.16</v>
      </c>
      <c r="I34" s="13">
        <f t="shared" si="2"/>
        <v>11355.65</v>
      </c>
      <c r="J34" s="13">
        <f t="shared" ref="J34" si="3">SUM(J22:J33)</f>
        <v>13878.5</v>
      </c>
      <c r="K34" s="14">
        <f>SUM(K22:K33)</f>
        <v>16700</v>
      </c>
      <c r="L34" s="13">
        <f t="shared" ref="L34:O34" si="4">SUM(L22:L33)</f>
        <v>14637.279999999999</v>
      </c>
      <c r="M34" s="14">
        <f t="shared" si="4"/>
        <v>17150</v>
      </c>
      <c r="N34" s="13">
        <f t="shared" ref="N34" si="5">SUM(N22:N33)</f>
        <v>12638.27</v>
      </c>
      <c r="O34" s="14">
        <f t="shared" si="4"/>
        <v>24050</v>
      </c>
      <c r="P34" s="13">
        <f t="shared" ref="P34" si="6">SUM(P22:P33)</f>
        <v>19546.490000000002</v>
      </c>
      <c r="Q34" s="14">
        <f>SUM(Q22:Q33)</f>
        <v>22400</v>
      </c>
      <c r="R34" s="13">
        <f t="shared" si="2"/>
        <v>6240.29</v>
      </c>
      <c r="S34" s="14">
        <f>SUM(S22:S33)</f>
        <v>25900</v>
      </c>
      <c r="T34" s="14">
        <v>24050</v>
      </c>
      <c r="U34" s="14">
        <f>SUM(U22:U33)</f>
        <v>0</v>
      </c>
    </row>
    <row r="35" spans="1:26" x14ac:dyDescent="0.25">
      <c r="A35" s="708"/>
      <c r="B35" s="12"/>
      <c r="C35" s="13"/>
      <c r="D35" s="13"/>
      <c r="E35" s="13"/>
      <c r="F35" s="13"/>
      <c r="G35" s="13"/>
      <c r="H35" s="13"/>
      <c r="I35" s="13"/>
      <c r="J35" s="13"/>
      <c r="K35" s="14"/>
      <c r="L35" s="13"/>
      <c r="M35" s="14"/>
      <c r="N35" s="13"/>
      <c r="O35" s="14"/>
      <c r="P35" s="13"/>
      <c r="Q35" s="14"/>
      <c r="R35" s="13"/>
      <c r="S35" s="14"/>
      <c r="T35" s="14"/>
      <c r="U35" s="14"/>
    </row>
    <row r="36" spans="1:26" ht="13.8" thickBot="1" x14ac:dyDescent="0.3">
      <c r="A36" s="709"/>
      <c r="B36" s="20" t="s">
        <v>2633</v>
      </c>
      <c r="C36" s="21">
        <f t="shared" ref="C36:S36" si="7">+C34+C19</f>
        <v>129636.18999999999</v>
      </c>
      <c r="D36" s="21">
        <f t="shared" si="7"/>
        <v>141863.65000000002</v>
      </c>
      <c r="E36" s="21">
        <f t="shared" si="7"/>
        <v>148667.49</v>
      </c>
      <c r="F36" s="21">
        <f t="shared" si="7"/>
        <v>155552.90000000002</v>
      </c>
      <c r="G36" s="21">
        <f t="shared" si="7"/>
        <v>193441</v>
      </c>
      <c r="H36" s="21">
        <f t="shared" si="7"/>
        <v>175165.72999999998</v>
      </c>
      <c r="I36" s="21">
        <f t="shared" si="7"/>
        <v>172490.09999999998</v>
      </c>
      <c r="J36" s="21">
        <f t="shared" ref="J36" si="8">+J34+J19</f>
        <v>181145.66999999998</v>
      </c>
      <c r="K36" s="22">
        <f t="shared" ref="K36:O36" si="9">+K34+K19</f>
        <v>198014</v>
      </c>
      <c r="L36" s="21">
        <f t="shared" si="9"/>
        <v>189784.35</v>
      </c>
      <c r="M36" s="22">
        <f t="shared" si="9"/>
        <v>194729</v>
      </c>
      <c r="N36" s="21">
        <f t="shared" ref="N36" si="10">+N34+N19</f>
        <v>190329.96</v>
      </c>
      <c r="O36" s="22">
        <f t="shared" si="9"/>
        <v>313510</v>
      </c>
      <c r="P36" s="21">
        <f t="shared" ref="P36" si="11">+P34+P19</f>
        <v>284637.33999999997</v>
      </c>
      <c r="Q36" s="22">
        <f t="shared" ref="Q36" si="12">+Q34+Q19</f>
        <v>330581</v>
      </c>
      <c r="R36" s="21">
        <f t="shared" si="7"/>
        <v>151228.06000000003</v>
      </c>
      <c r="S36" s="22">
        <f t="shared" si="7"/>
        <v>326230</v>
      </c>
      <c r="T36" s="22">
        <f>+S36</f>
        <v>326230</v>
      </c>
      <c r="U36" s="22">
        <f>+S36</f>
        <v>326230</v>
      </c>
    </row>
    <row r="37" spans="1:26" ht="16.2" thickTop="1" x14ac:dyDescent="0.3">
      <c r="A37" s="703"/>
      <c r="B37" s="4"/>
      <c r="C37" s="23"/>
      <c r="D37" s="23"/>
      <c r="E37" s="23"/>
      <c r="F37" s="23"/>
      <c r="G37" s="23"/>
      <c r="H37" s="23"/>
      <c r="I37" s="23"/>
      <c r="J37" s="23"/>
      <c r="K37" s="23"/>
      <c r="L37" s="23"/>
      <c r="M37" s="23"/>
      <c r="N37" s="23"/>
      <c r="O37" s="23"/>
      <c r="P37" s="23"/>
      <c r="Q37" s="23"/>
      <c r="R37" s="181" t="s">
        <v>732</v>
      </c>
      <c r="S37" s="1001">
        <f>+S36-Q36</f>
        <v>-4351</v>
      </c>
      <c r="T37" s="1002">
        <f>ROUND((+S37/Q36),4)</f>
        <v>-1.32E-2</v>
      </c>
      <c r="U37" s="73"/>
      <c r="V37" s="23"/>
      <c r="W37" s="25"/>
      <c r="X37" s="183"/>
      <c r="Y37" s="25"/>
    </row>
    <row r="38" spans="1:26" x14ac:dyDescent="0.25">
      <c r="A38" s="703"/>
      <c r="B38" s="4"/>
      <c r="D38" s="194"/>
      <c r="E38" s="194"/>
      <c r="F38" s="194"/>
      <c r="G38" s="194"/>
      <c r="H38" s="194"/>
      <c r="I38" s="194"/>
      <c r="J38" s="194"/>
      <c r="K38" s="194"/>
      <c r="L38" s="194"/>
      <c r="M38" s="194"/>
      <c r="N38" s="194"/>
      <c r="O38" s="194"/>
      <c r="P38" s="194"/>
      <c r="Q38" s="194"/>
      <c r="U38" s="73"/>
      <c r="V38" s="25"/>
    </row>
    <row r="39" spans="1:26" ht="13.8" thickBot="1" x14ac:dyDescent="0.3">
      <c r="A39" s="703"/>
      <c r="B39" s="4"/>
      <c r="D39" s="194"/>
      <c r="E39" s="194"/>
      <c r="F39" s="194"/>
      <c r="G39" s="194"/>
      <c r="H39" s="194"/>
      <c r="I39" s="194"/>
      <c r="J39" s="194"/>
      <c r="K39" s="194"/>
      <c r="L39" s="194"/>
      <c r="M39" s="194"/>
      <c r="N39" s="194"/>
      <c r="O39" s="194"/>
      <c r="P39" s="194"/>
      <c r="Q39" s="194"/>
    </row>
    <row r="40" spans="1:26" ht="13.8" thickTop="1" x14ac:dyDescent="0.25">
      <c r="A40" s="753" t="s">
        <v>760</v>
      </c>
      <c r="B40" s="98"/>
      <c r="D40" s="276"/>
      <c r="E40" s="194"/>
      <c r="F40" s="194"/>
      <c r="G40" s="194"/>
      <c r="H40" s="194"/>
      <c r="I40" s="194"/>
      <c r="J40" s="194"/>
      <c r="K40" s="194"/>
      <c r="L40" s="194"/>
      <c r="O40" s="251" t="s">
        <v>761</v>
      </c>
      <c r="P40" s="137" t="s">
        <v>762</v>
      </c>
      <c r="Q40" s="149"/>
      <c r="R40" s="139" t="s">
        <v>763</v>
      </c>
      <c r="S40"/>
      <c r="T40"/>
      <c r="U40" s="187" t="s">
        <v>764</v>
      </c>
      <c r="V40"/>
    </row>
    <row r="41" spans="1:26" ht="13.8" thickBot="1" x14ac:dyDescent="0.3">
      <c r="A41" s="754" t="s">
        <v>765</v>
      </c>
      <c r="B41" s="100" t="s">
        <v>766</v>
      </c>
      <c r="D41" s="278"/>
      <c r="E41" s="194"/>
      <c r="F41" s="194"/>
      <c r="G41" s="194"/>
      <c r="H41" s="194"/>
      <c r="I41" s="194"/>
      <c r="J41" s="194"/>
      <c r="K41" s="194"/>
      <c r="L41" s="194"/>
      <c r="O41" s="269">
        <v>45474</v>
      </c>
      <c r="P41" s="140" t="s">
        <v>767</v>
      </c>
      <c r="Q41" s="141" t="s">
        <v>768</v>
      </c>
      <c r="R41" s="141" t="s">
        <v>769</v>
      </c>
      <c r="S41" s="106" t="s">
        <v>770</v>
      </c>
      <c r="T41" s="106"/>
      <c r="U41" s="106" t="s">
        <v>1345</v>
      </c>
      <c r="V41" s="106" t="s">
        <v>771</v>
      </c>
    </row>
    <row r="42" spans="1:26" ht="13.8" thickTop="1" x14ac:dyDescent="0.25">
      <c r="A42" s="132">
        <v>40343</v>
      </c>
      <c r="B42" s="101" t="s">
        <v>772</v>
      </c>
      <c r="D42" s="18"/>
      <c r="E42" s="194"/>
      <c r="F42" s="194"/>
      <c r="G42" s="194"/>
      <c r="H42" s="194"/>
      <c r="I42" s="194"/>
      <c r="J42" s="194"/>
      <c r="K42" s="194"/>
      <c r="L42" s="194"/>
      <c r="O42" s="18" t="s">
        <v>2561</v>
      </c>
      <c r="P42" s="18"/>
      <c r="Q42" s="18"/>
      <c r="R42" s="136">
        <f>+'NAGE &amp; Non-Union Wages'!E14</f>
        <v>108710</v>
      </c>
      <c r="S42" s="152"/>
      <c r="T42" s="152"/>
      <c r="U42" s="712">
        <v>8</v>
      </c>
      <c r="V42" s="2">
        <v>300</v>
      </c>
    </row>
    <row r="43" spans="1:26" x14ac:dyDescent="0.25">
      <c r="A43" s="132"/>
      <c r="B43" s="101" t="s">
        <v>773</v>
      </c>
      <c r="D43" s="18"/>
      <c r="E43" s="194"/>
      <c r="F43" s="194"/>
      <c r="G43" s="194"/>
      <c r="H43" s="194"/>
      <c r="I43" s="194"/>
      <c r="J43" s="194"/>
      <c r="K43" s="194"/>
      <c r="L43" s="194"/>
      <c r="O43" s="18" t="s">
        <v>2562</v>
      </c>
      <c r="P43" s="18"/>
      <c r="Q43" s="18"/>
      <c r="R43" s="136">
        <f>+'NAGE &amp; Non-Union Wages'!G13</f>
        <v>103828</v>
      </c>
      <c r="S43" s="152"/>
      <c r="T43" s="152"/>
      <c r="U43" s="712">
        <v>15</v>
      </c>
      <c r="V43" s="2">
        <v>900</v>
      </c>
    </row>
    <row r="44" spans="1:26" x14ac:dyDescent="0.25">
      <c r="A44" s="133">
        <v>35717</v>
      </c>
      <c r="B44" s="60" t="s">
        <v>2109</v>
      </c>
      <c r="D44" s="13"/>
      <c r="E44" s="194"/>
      <c r="F44" s="194"/>
      <c r="G44" s="194"/>
      <c r="H44" s="194"/>
      <c r="I44" s="194"/>
      <c r="J44" s="194"/>
      <c r="K44" s="194"/>
      <c r="L44" s="194"/>
      <c r="O44" s="13" t="s">
        <v>774</v>
      </c>
      <c r="P44" s="13">
        <f>+'NAGE &amp; Non-Union Wages'!L8</f>
        <v>30.77</v>
      </c>
      <c r="Q44" s="13">
        <v>1828.5</v>
      </c>
      <c r="R44" s="136">
        <f>ROUND((+Q44*P44),2)</f>
        <v>56262.95</v>
      </c>
      <c r="S44" s="152">
        <v>35717</v>
      </c>
      <c r="T44" s="152"/>
      <c r="U44" s="712">
        <v>27</v>
      </c>
      <c r="V44" s="2">
        <v>1100</v>
      </c>
    </row>
    <row r="45" spans="1:26" x14ac:dyDescent="0.25">
      <c r="A45" s="703"/>
      <c r="B45" s="4" t="s">
        <v>2106</v>
      </c>
      <c r="C45" s="23"/>
      <c r="D45" s="23"/>
      <c r="E45" s="23"/>
      <c r="F45" s="23"/>
      <c r="G45" s="194"/>
      <c r="H45" s="194"/>
      <c r="I45" s="23"/>
      <c r="J45" s="23"/>
      <c r="K45" s="194"/>
      <c r="L45" s="194"/>
      <c r="O45" s="13" t="s">
        <v>775</v>
      </c>
      <c r="P45" s="13">
        <f>+'NAGE &amp; Non-Union Wages'!D5</f>
        <v>20.239999999999998</v>
      </c>
      <c r="Q45" s="646">
        <v>1045</v>
      </c>
      <c r="R45" s="136">
        <f>ROUND((+Q45*P45),2)</f>
        <v>21150.799999999999</v>
      </c>
      <c r="S45" s="23"/>
      <c r="T45" s="23"/>
      <c r="U45" s="23"/>
      <c r="V45" s="23"/>
      <c r="W45" s="25"/>
      <c r="X45" s="152"/>
      <c r="Z45" s="2"/>
    </row>
    <row r="46" spans="1:26" x14ac:dyDescent="0.25">
      <c r="A46" s="703"/>
      <c r="B46" s="4"/>
      <c r="C46" s="23"/>
      <c r="D46" s="23"/>
      <c r="E46" s="23"/>
      <c r="F46" s="23"/>
      <c r="G46" s="194"/>
      <c r="H46" s="194"/>
      <c r="I46" s="23"/>
      <c r="J46" s="23"/>
      <c r="K46" s="23"/>
      <c r="L46" s="23"/>
      <c r="M46" s="23"/>
      <c r="N46" s="23"/>
      <c r="O46" s="23"/>
      <c r="P46" s="23"/>
      <c r="Q46" s="23"/>
      <c r="R46" s="25"/>
      <c r="S46" s="23"/>
      <c r="T46" s="23"/>
      <c r="U46" s="23"/>
      <c r="V46" s="23"/>
      <c r="W46" s="25"/>
      <c r="X46" s="152"/>
      <c r="Z46" s="2"/>
    </row>
    <row r="47" spans="1:26" ht="13.8" thickBot="1" x14ac:dyDescent="0.3">
      <c r="A47" s="703"/>
      <c r="B47" s="4"/>
      <c r="C47" s="23"/>
      <c r="D47" s="23"/>
      <c r="E47" s="23"/>
      <c r="F47" s="23"/>
      <c r="G47" s="194"/>
      <c r="H47" s="194"/>
      <c r="I47" s="23"/>
      <c r="J47" s="23"/>
      <c r="K47" s="23"/>
      <c r="L47" s="23"/>
      <c r="M47" s="23"/>
      <c r="N47" s="23"/>
      <c r="O47" s="23"/>
      <c r="P47" s="23"/>
      <c r="Q47" s="23"/>
      <c r="R47" s="25"/>
      <c r="S47" s="23"/>
      <c r="T47" s="23"/>
      <c r="U47" s="23"/>
      <c r="V47" s="23"/>
      <c r="W47" s="25"/>
      <c r="X47" s="152"/>
      <c r="Z47" s="2"/>
    </row>
    <row r="48" spans="1:26" ht="13.8" thickTop="1" x14ac:dyDescent="0.25">
      <c r="A48" s="718"/>
      <c r="B48" s="349"/>
      <c r="C48" s="350" t="s">
        <v>256</v>
      </c>
      <c r="D48" s="351" t="s">
        <v>256</v>
      </c>
      <c r="E48" s="351" t="s">
        <v>256</v>
      </c>
      <c r="F48" s="194"/>
      <c r="G48" s="194"/>
      <c r="H48" s="194"/>
      <c r="I48" s="194"/>
      <c r="J48" s="194"/>
      <c r="K48" s="194"/>
      <c r="L48" s="194"/>
      <c r="O48" s="352" t="s">
        <v>255</v>
      </c>
      <c r="P48" s="353" t="s">
        <v>716</v>
      </c>
      <c r="Q48" s="354" t="s">
        <v>730</v>
      </c>
      <c r="R48" s="353" t="s">
        <v>731</v>
      </c>
      <c r="S48" s="355"/>
      <c r="T48" s="550"/>
      <c r="U48" s="354"/>
      <c r="V48" s="23"/>
      <c r="W48" s="25"/>
      <c r="X48" s="25"/>
      <c r="Y48" s="25"/>
      <c r="Z48" s="2"/>
    </row>
    <row r="49" spans="1:25" ht="13.8" thickBot="1" x14ac:dyDescent="0.3">
      <c r="A49" s="719" t="s">
        <v>715</v>
      </c>
      <c r="B49" s="356"/>
      <c r="C49" s="357" t="s">
        <v>243</v>
      </c>
      <c r="D49" s="357" t="s">
        <v>244</v>
      </c>
      <c r="E49" s="358" t="s">
        <v>245</v>
      </c>
      <c r="F49" s="194"/>
      <c r="G49" s="194"/>
      <c r="H49" s="194"/>
      <c r="I49" s="194"/>
      <c r="J49" s="194"/>
      <c r="K49" s="194"/>
      <c r="L49" s="194"/>
      <c r="O49" s="359" t="s">
        <v>469</v>
      </c>
      <c r="P49" s="359" t="s">
        <v>1345</v>
      </c>
      <c r="Q49" s="358" t="s">
        <v>732</v>
      </c>
      <c r="R49" s="360" t="s">
        <v>732</v>
      </c>
      <c r="S49" s="361" t="s">
        <v>733</v>
      </c>
      <c r="T49" s="551"/>
      <c r="U49" s="359"/>
      <c r="V49" s="23"/>
      <c r="W49" s="25"/>
      <c r="X49" s="25"/>
      <c r="Y49" s="25"/>
    </row>
    <row r="50" spans="1:25" ht="13.8" thickTop="1" x14ac:dyDescent="0.25">
      <c r="A50" s="726">
        <v>5111</v>
      </c>
      <c r="B50" s="376" t="s">
        <v>738</v>
      </c>
      <c r="C50" s="365">
        <v>87868.9</v>
      </c>
      <c r="D50" s="365">
        <v>95093</v>
      </c>
      <c r="E50" s="365">
        <v>98445</v>
      </c>
      <c r="F50" s="194"/>
      <c r="G50" s="194"/>
      <c r="H50" s="194"/>
      <c r="I50" s="194"/>
      <c r="J50" s="194"/>
      <c r="K50" s="194"/>
      <c r="L50" s="194"/>
      <c r="O50" s="366">
        <f t="shared" ref="O50:O57" si="13">+Q8</f>
        <v>272934</v>
      </c>
      <c r="P50" s="392">
        <f t="shared" ref="P50:P57" si="14">+S8</f>
        <v>268801</v>
      </c>
      <c r="Q50" s="368">
        <f t="shared" ref="Q50:Q69" si="15">+P50-O50</f>
        <v>-4133</v>
      </c>
      <c r="R50" s="374">
        <f t="shared" ref="R50:R69" si="16">IF(O50+P50&lt;&gt;0,IF(O50&lt;&gt;0,IF(Q50&lt;&gt;0,ROUND((+Q50/O50),4),""),1),"")</f>
        <v>-1.5100000000000001E-2</v>
      </c>
      <c r="S50" s="367" t="s">
        <v>2563</v>
      </c>
      <c r="T50" s="553"/>
      <c r="U50" s="368"/>
      <c r="V50" s="23"/>
      <c r="W50" s="25"/>
      <c r="X50" s="25"/>
      <c r="Y50" s="25"/>
    </row>
    <row r="51" spans="1:25" x14ac:dyDescent="0.25">
      <c r="A51" s="726">
        <v>5113</v>
      </c>
      <c r="B51" s="376" t="s">
        <v>739</v>
      </c>
      <c r="C51" s="365">
        <v>32158</v>
      </c>
      <c r="D51" s="365">
        <v>35092.639999999999</v>
      </c>
      <c r="E51" s="365">
        <v>38122.11</v>
      </c>
      <c r="F51" s="194"/>
      <c r="G51" s="194"/>
      <c r="H51" s="194"/>
      <c r="I51" s="194"/>
      <c r="J51" s="194"/>
      <c r="K51" s="194"/>
      <c r="L51" s="194"/>
      <c r="O51" s="366">
        <f t="shared" si="13"/>
        <v>25774</v>
      </c>
      <c r="P51" s="392">
        <f t="shared" si="14"/>
        <v>21151</v>
      </c>
      <c r="Q51" s="368">
        <f t="shared" si="15"/>
        <v>-4623</v>
      </c>
      <c r="R51" s="374">
        <f t="shared" si="16"/>
        <v>-0.1794</v>
      </c>
      <c r="S51" s="367" t="s">
        <v>2564</v>
      </c>
      <c r="T51" s="553"/>
      <c r="U51" s="368"/>
      <c r="V51" s="23"/>
      <c r="W51" s="25"/>
      <c r="X51" s="25"/>
      <c r="Y51" s="25"/>
    </row>
    <row r="52" spans="1:25" x14ac:dyDescent="0.25">
      <c r="A52" s="726">
        <v>5115</v>
      </c>
      <c r="B52" s="376" t="s">
        <v>740</v>
      </c>
      <c r="C52" s="373">
        <v>1000</v>
      </c>
      <c r="D52" s="373">
        <v>1500</v>
      </c>
      <c r="E52" s="373">
        <v>1500</v>
      </c>
      <c r="F52" s="194"/>
      <c r="G52" s="194"/>
      <c r="H52" s="194"/>
      <c r="I52" s="194"/>
      <c r="J52" s="194"/>
      <c r="K52" s="194"/>
      <c r="L52" s="194"/>
      <c r="O52" s="366">
        <f t="shared" si="13"/>
        <v>2355</v>
      </c>
      <c r="P52" s="392">
        <f t="shared" si="14"/>
        <v>2640</v>
      </c>
      <c r="Q52" s="368">
        <f t="shared" si="15"/>
        <v>285</v>
      </c>
      <c r="R52" s="374">
        <f t="shared" si="16"/>
        <v>0.121</v>
      </c>
      <c r="S52" s="367" t="s">
        <v>2372</v>
      </c>
      <c r="T52" s="553"/>
      <c r="U52" s="368"/>
      <c r="V52" s="23"/>
      <c r="W52" s="25"/>
      <c r="X52" s="25"/>
      <c r="Y52" s="25"/>
    </row>
    <row r="53" spans="1:25" x14ac:dyDescent="0.25">
      <c r="A53" s="726">
        <v>5115</v>
      </c>
      <c r="B53" s="376" t="s">
        <v>741</v>
      </c>
      <c r="C53" s="377">
        <v>1000</v>
      </c>
      <c r="D53" s="377">
        <v>1500</v>
      </c>
      <c r="E53" s="377">
        <v>1500</v>
      </c>
      <c r="F53" s="194"/>
      <c r="G53" s="194"/>
      <c r="H53" s="194"/>
      <c r="I53" s="194"/>
      <c r="J53" s="194"/>
      <c r="K53" s="194"/>
      <c r="L53" s="194"/>
      <c r="O53" s="366">
        <f t="shared" si="13"/>
        <v>2140</v>
      </c>
      <c r="P53" s="392">
        <f t="shared" si="14"/>
        <v>2400</v>
      </c>
      <c r="Q53" s="368">
        <f t="shared" si="15"/>
        <v>260</v>
      </c>
      <c r="R53" s="374">
        <f t="shared" si="16"/>
        <v>0.1215</v>
      </c>
      <c r="S53" s="367" t="s">
        <v>2372</v>
      </c>
      <c r="T53" s="553"/>
      <c r="U53" s="368"/>
      <c r="V53" s="23"/>
      <c r="W53" s="25"/>
      <c r="X53" s="25"/>
      <c r="Y53" s="25"/>
    </row>
    <row r="54" spans="1:25" x14ac:dyDescent="0.25">
      <c r="A54" s="724">
        <v>5115</v>
      </c>
      <c r="B54" s="369" t="s">
        <v>742</v>
      </c>
      <c r="C54" s="373">
        <v>1000</v>
      </c>
      <c r="D54" s="373">
        <v>1500</v>
      </c>
      <c r="E54" s="373">
        <v>1500</v>
      </c>
      <c r="F54" s="194"/>
      <c r="G54" s="194"/>
      <c r="H54" s="194"/>
      <c r="I54" s="194"/>
      <c r="J54" s="194"/>
      <c r="K54" s="194"/>
      <c r="L54" s="194"/>
      <c r="O54" s="366">
        <f t="shared" si="13"/>
        <v>2140</v>
      </c>
      <c r="P54" s="392">
        <f t="shared" si="14"/>
        <v>2400</v>
      </c>
      <c r="Q54" s="368">
        <f t="shared" si="15"/>
        <v>260</v>
      </c>
      <c r="R54" s="374">
        <f t="shared" si="16"/>
        <v>0.1215</v>
      </c>
      <c r="S54" s="367" t="s">
        <v>2372</v>
      </c>
      <c r="T54" s="553"/>
      <c r="U54" s="368"/>
      <c r="V54" s="23"/>
      <c r="W54" s="25"/>
      <c r="X54" s="25"/>
      <c r="Y54" s="25"/>
    </row>
    <row r="55" spans="1:25" x14ac:dyDescent="0.25">
      <c r="A55" s="724">
        <v>5124</v>
      </c>
      <c r="B55" s="369" t="s">
        <v>776</v>
      </c>
      <c r="C55" s="373"/>
      <c r="D55" s="373"/>
      <c r="E55" s="373"/>
      <c r="F55" s="194"/>
      <c r="G55" s="194"/>
      <c r="H55" s="194"/>
      <c r="I55" s="194"/>
      <c r="J55" s="194"/>
      <c r="K55" s="194"/>
      <c r="L55" s="194"/>
      <c r="O55" s="366">
        <f t="shared" si="13"/>
        <v>0</v>
      </c>
      <c r="P55" s="392">
        <f t="shared" si="14"/>
        <v>0</v>
      </c>
      <c r="Q55" s="368">
        <f t="shared" si="15"/>
        <v>0</v>
      </c>
      <c r="R55" s="374" t="str">
        <f t="shared" si="16"/>
        <v/>
      </c>
      <c r="S55" s="367"/>
      <c r="T55" s="553"/>
      <c r="U55" s="368"/>
      <c r="V55" s="23"/>
      <c r="W55" s="25"/>
      <c r="X55" s="25"/>
      <c r="Y55" s="25"/>
    </row>
    <row r="56" spans="1:25" x14ac:dyDescent="0.25">
      <c r="A56" s="724">
        <v>5144</v>
      </c>
      <c r="B56" s="369" t="s">
        <v>27</v>
      </c>
      <c r="C56" s="373">
        <v>1050</v>
      </c>
      <c r="D56" s="373">
        <v>1100</v>
      </c>
      <c r="E56" s="373">
        <v>1100</v>
      </c>
      <c r="F56" s="194"/>
      <c r="G56" s="194"/>
      <c r="H56" s="194"/>
      <c r="I56" s="194"/>
      <c r="J56" s="194"/>
      <c r="K56" s="194"/>
      <c r="L56" s="194"/>
      <c r="O56" s="366">
        <f t="shared" si="13"/>
        <v>1900</v>
      </c>
      <c r="P56" s="392">
        <f t="shared" si="14"/>
        <v>2000</v>
      </c>
      <c r="Q56" s="368">
        <f t="shared" si="15"/>
        <v>100</v>
      </c>
      <c r="R56" s="374">
        <f t="shared" si="16"/>
        <v>5.2600000000000001E-2</v>
      </c>
      <c r="S56" s="367" t="s">
        <v>2565</v>
      </c>
      <c r="T56" s="553"/>
      <c r="U56" s="368"/>
      <c r="V56" s="23"/>
      <c r="W56" s="25"/>
      <c r="X56" s="25"/>
      <c r="Y56" s="25"/>
    </row>
    <row r="57" spans="1:25" x14ac:dyDescent="0.25">
      <c r="A57" s="724">
        <v>5145</v>
      </c>
      <c r="B57" s="369" t="s">
        <v>744</v>
      </c>
      <c r="C57" s="375">
        <v>161.56</v>
      </c>
      <c r="D57" s="375">
        <v>300.04000000000002</v>
      </c>
      <c r="E57" s="375">
        <v>300.04000000000002</v>
      </c>
      <c r="F57" s="194"/>
      <c r="G57" s="194"/>
      <c r="H57" s="194"/>
      <c r="I57" s="194"/>
      <c r="J57" s="194"/>
      <c r="K57" s="194"/>
      <c r="L57" s="194"/>
      <c r="O57" s="366">
        <f t="shared" si="13"/>
        <v>938</v>
      </c>
      <c r="P57" s="392">
        <f t="shared" si="14"/>
        <v>938</v>
      </c>
      <c r="Q57" s="368">
        <f t="shared" si="15"/>
        <v>0</v>
      </c>
      <c r="R57" s="374" t="str">
        <f t="shared" si="16"/>
        <v/>
      </c>
      <c r="S57" s="367"/>
      <c r="T57" s="553"/>
      <c r="U57" s="368"/>
      <c r="V57" s="23"/>
      <c r="W57" s="25"/>
      <c r="X57" s="25"/>
      <c r="Y57" s="25"/>
    </row>
    <row r="58" spans="1:25" x14ac:dyDescent="0.25">
      <c r="A58" s="724">
        <v>5314</v>
      </c>
      <c r="B58" s="369" t="s">
        <v>749</v>
      </c>
      <c r="C58" s="373">
        <v>155</v>
      </c>
      <c r="D58" s="373">
        <v>264</v>
      </c>
      <c r="E58" s="373">
        <v>234</v>
      </c>
      <c r="F58" s="194"/>
      <c r="G58" s="194"/>
      <c r="H58" s="194"/>
      <c r="I58" s="194"/>
      <c r="J58" s="194"/>
      <c r="K58" s="194"/>
      <c r="L58" s="194"/>
      <c r="O58" s="366">
        <f>+Q22</f>
        <v>2000</v>
      </c>
      <c r="P58" s="392">
        <f t="shared" ref="P58:P69" si="17">+S22</f>
        <v>2500</v>
      </c>
      <c r="Q58" s="368">
        <f t="shared" si="15"/>
        <v>500</v>
      </c>
      <c r="R58" s="374">
        <f t="shared" si="16"/>
        <v>0.25</v>
      </c>
      <c r="S58" s="367" t="s">
        <v>2373</v>
      </c>
      <c r="T58" s="553"/>
      <c r="U58" s="368"/>
      <c r="V58" s="23"/>
      <c r="W58" s="25"/>
      <c r="X58" s="25"/>
      <c r="Y58" s="25"/>
    </row>
    <row r="59" spans="1:25" x14ac:dyDescent="0.25">
      <c r="A59" s="724">
        <v>5315</v>
      </c>
      <c r="B59" s="369" t="s">
        <v>777</v>
      </c>
      <c r="C59" s="373">
        <v>13</v>
      </c>
      <c r="D59" s="373"/>
      <c r="E59" s="373"/>
      <c r="F59" s="194"/>
      <c r="G59" s="194"/>
      <c r="H59" s="194"/>
      <c r="I59" s="194"/>
      <c r="J59" s="194"/>
      <c r="K59" s="194"/>
      <c r="L59" s="194"/>
      <c r="O59" s="366">
        <f>+Q23</f>
        <v>8000</v>
      </c>
      <c r="P59" s="392">
        <f t="shared" si="17"/>
        <v>8000</v>
      </c>
      <c r="Q59" s="368">
        <f t="shared" si="15"/>
        <v>0</v>
      </c>
      <c r="R59" s="374" t="str">
        <f t="shared" si="16"/>
        <v/>
      </c>
      <c r="S59" s="367"/>
      <c r="T59" s="553"/>
      <c r="U59" s="368"/>
      <c r="V59" s="23"/>
      <c r="W59" s="25"/>
      <c r="X59" s="25"/>
      <c r="Y59" s="25"/>
    </row>
    <row r="60" spans="1:25" hidden="1" x14ac:dyDescent="0.25">
      <c r="A60" s="724">
        <v>5341</v>
      </c>
      <c r="B60" s="369" t="s">
        <v>751</v>
      </c>
      <c r="C60" s="373">
        <v>622.19000000000005</v>
      </c>
      <c r="D60" s="373">
        <v>606.08000000000004</v>
      </c>
      <c r="E60" s="373">
        <v>609.53</v>
      </c>
      <c r="F60" s="194"/>
      <c r="G60" s="194"/>
      <c r="H60" s="194"/>
      <c r="I60" s="194"/>
      <c r="J60" s="194"/>
      <c r="K60" s="194"/>
      <c r="L60" s="194"/>
      <c r="O60" s="366">
        <f>+O24</f>
        <v>0</v>
      </c>
      <c r="P60" s="392">
        <f t="shared" si="17"/>
        <v>0</v>
      </c>
      <c r="Q60" s="368">
        <f t="shared" si="15"/>
        <v>0</v>
      </c>
      <c r="R60" s="374" t="str">
        <f t="shared" si="16"/>
        <v/>
      </c>
      <c r="S60" s="367"/>
      <c r="T60" s="553"/>
      <c r="U60" s="368"/>
      <c r="V60" s="23"/>
      <c r="W60" s="25"/>
      <c r="X60" s="25"/>
      <c r="Y60" s="25"/>
    </row>
    <row r="61" spans="1:25" x14ac:dyDescent="0.25">
      <c r="A61" s="724">
        <v>5344</v>
      </c>
      <c r="B61" s="369" t="s">
        <v>722</v>
      </c>
      <c r="C61" s="373">
        <v>394.95</v>
      </c>
      <c r="D61" s="373">
        <v>15.26</v>
      </c>
      <c r="E61" s="373">
        <v>46.13</v>
      </c>
      <c r="F61" s="194"/>
      <c r="G61" s="194"/>
      <c r="H61" s="194"/>
      <c r="I61" s="194"/>
      <c r="J61" s="194"/>
      <c r="K61" s="194"/>
      <c r="L61" s="194"/>
      <c r="O61" s="366">
        <f t="shared" ref="O61:O69" si="18">+Q25</f>
        <v>300</v>
      </c>
      <c r="P61" s="392">
        <f t="shared" si="17"/>
        <v>300</v>
      </c>
      <c r="Q61" s="368">
        <f t="shared" si="15"/>
        <v>0</v>
      </c>
      <c r="R61" s="374" t="str">
        <f t="shared" si="16"/>
        <v/>
      </c>
      <c r="S61" s="367"/>
      <c r="T61" s="553"/>
      <c r="U61" s="368"/>
      <c r="V61" s="23"/>
      <c r="W61" s="25"/>
      <c r="X61" s="25"/>
      <c r="Y61" s="25"/>
    </row>
    <row r="62" spans="1:25" x14ac:dyDescent="0.25">
      <c r="A62" s="724">
        <v>5345</v>
      </c>
      <c r="B62" s="369" t="s">
        <v>752</v>
      </c>
      <c r="C62" s="373">
        <v>215.57</v>
      </c>
      <c r="D62" s="373">
        <v>993.7</v>
      </c>
      <c r="E62" s="373">
        <v>1101.8</v>
      </c>
      <c r="F62" s="194"/>
      <c r="G62" s="194"/>
      <c r="H62" s="194"/>
      <c r="I62" s="194"/>
      <c r="J62" s="194"/>
      <c r="K62" s="194"/>
      <c r="L62" s="194"/>
      <c r="O62" s="366">
        <f t="shared" si="18"/>
        <v>1200</v>
      </c>
      <c r="P62" s="392">
        <f t="shared" si="17"/>
        <v>1300</v>
      </c>
      <c r="Q62" s="368">
        <f t="shared" si="15"/>
        <v>100</v>
      </c>
      <c r="R62" s="374">
        <f t="shared" si="16"/>
        <v>8.3299999999999999E-2</v>
      </c>
      <c r="S62" s="367" t="s">
        <v>2374</v>
      </c>
      <c r="T62" s="553"/>
      <c r="U62" s="368"/>
      <c r="V62" s="23"/>
      <c r="W62" s="25"/>
      <c r="X62" s="25"/>
      <c r="Y62" s="25"/>
    </row>
    <row r="63" spans="1:25" x14ac:dyDescent="0.25">
      <c r="A63" s="724">
        <v>5420</v>
      </c>
      <c r="B63" s="369" t="s">
        <v>753</v>
      </c>
      <c r="C63" s="365">
        <v>961.77</v>
      </c>
      <c r="D63" s="365">
        <v>902.7</v>
      </c>
      <c r="E63" s="365">
        <v>1272.0899999999999</v>
      </c>
      <c r="F63" s="194"/>
      <c r="G63" s="194"/>
      <c r="H63" s="194"/>
      <c r="I63" s="194"/>
      <c r="J63" s="194"/>
      <c r="K63" s="194"/>
      <c r="L63" s="194"/>
      <c r="O63" s="366">
        <f t="shared" si="18"/>
        <v>4500</v>
      </c>
      <c r="P63" s="392">
        <f t="shared" si="17"/>
        <v>5500</v>
      </c>
      <c r="Q63" s="368">
        <f t="shared" si="15"/>
        <v>1000</v>
      </c>
      <c r="R63" s="374">
        <f t="shared" si="16"/>
        <v>0.22220000000000001</v>
      </c>
      <c r="S63" s="367" t="s">
        <v>2375</v>
      </c>
      <c r="T63" s="553"/>
      <c r="U63" s="368"/>
      <c r="V63" s="23"/>
      <c r="W63" s="25"/>
      <c r="X63" s="25"/>
      <c r="Y63" s="25"/>
    </row>
    <row r="64" spans="1:25" x14ac:dyDescent="0.25">
      <c r="A64" s="724">
        <v>5450</v>
      </c>
      <c r="B64" s="369" t="s">
        <v>754</v>
      </c>
      <c r="C64" s="378"/>
      <c r="D64" s="378">
        <v>105.99</v>
      </c>
      <c r="E64" s="378"/>
      <c r="F64" s="194"/>
      <c r="G64" s="194"/>
      <c r="H64" s="194"/>
      <c r="I64" s="194"/>
      <c r="J64" s="194"/>
      <c r="K64" s="194"/>
      <c r="L64" s="194"/>
      <c r="O64" s="366">
        <f t="shared" si="18"/>
        <v>500</v>
      </c>
      <c r="P64" s="392">
        <f t="shared" si="17"/>
        <v>500</v>
      </c>
      <c r="Q64" s="368">
        <f t="shared" si="15"/>
        <v>0</v>
      </c>
      <c r="R64" s="374" t="str">
        <f t="shared" si="16"/>
        <v/>
      </c>
      <c r="S64" s="367"/>
      <c r="T64" s="553"/>
      <c r="U64" s="368"/>
      <c r="V64" s="23"/>
      <c r="W64" s="25"/>
      <c r="X64" s="25"/>
      <c r="Y64" s="25"/>
    </row>
    <row r="65" spans="1:25" x14ac:dyDescent="0.25">
      <c r="A65" s="724">
        <v>5581</v>
      </c>
      <c r="B65" s="369" t="s">
        <v>755</v>
      </c>
      <c r="C65" s="380">
        <v>69</v>
      </c>
      <c r="D65" s="380">
        <v>157.4</v>
      </c>
      <c r="E65" s="380">
        <v>88.4</v>
      </c>
      <c r="F65" s="194"/>
      <c r="G65" s="194"/>
      <c r="H65" s="194"/>
      <c r="I65" s="194"/>
      <c r="J65" s="194"/>
      <c r="K65" s="194"/>
      <c r="L65" s="194"/>
      <c r="O65" s="366">
        <f t="shared" si="18"/>
        <v>600</v>
      </c>
      <c r="P65" s="392">
        <f t="shared" si="17"/>
        <v>1000</v>
      </c>
      <c r="Q65" s="368">
        <f t="shared" si="15"/>
        <v>400</v>
      </c>
      <c r="R65" s="374">
        <f t="shared" si="16"/>
        <v>0.66669999999999996</v>
      </c>
      <c r="S65" s="367" t="s">
        <v>2376</v>
      </c>
      <c r="T65" s="553"/>
      <c r="U65" s="368"/>
      <c r="V65" s="23"/>
      <c r="W65" s="4"/>
      <c r="X65" s="4"/>
      <c r="Y65" s="4"/>
    </row>
    <row r="66" spans="1:25" x14ac:dyDescent="0.25">
      <c r="A66" s="724">
        <v>5582</v>
      </c>
      <c r="B66" s="369" t="s">
        <v>756</v>
      </c>
      <c r="C66" s="378">
        <v>10.9</v>
      </c>
      <c r="D66" s="378"/>
      <c r="E66" s="378"/>
      <c r="F66" s="194"/>
      <c r="G66" s="194"/>
      <c r="H66" s="194"/>
      <c r="I66" s="194"/>
      <c r="J66" s="194"/>
      <c r="K66" s="194"/>
      <c r="L66" s="194"/>
      <c r="O66" s="366">
        <f t="shared" si="18"/>
        <v>300</v>
      </c>
      <c r="P66" s="392">
        <f t="shared" si="17"/>
        <v>300</v>
      </c>
      <c r="Q66" s="368">
        <f t="shared" si="15"/>
        <v>0</v>
      </c>
      <c r="R66" s="374" t="str">
        <f t="shared" si="16"/>
        <v/>
      </c>
      <c r="S66" s="367"/>
      <c r="T66" s="553"/>
      <c r="U66" s="368"/>
      <c r="V66" s="23"/>
      <c r="W66" s="4"/>
      <c r="X66" s="4"/>
      <c r="Y66" s="4"/>
    </row>
    <row r="67" spans="1:25" x14ac:dyDescent="0.25">
      <c r="A67" s="724">
        <v>5590</v>
      </c>
      <c r="B67" s="369" t="s">
        <v>757</v>
      </c>
      <c r="C67" s="378"/>
      <c r="D67" s="378"/>
      <c r="E67" s="378"/>
      <c r="F67" s="194"/>
      <c r="G67" s="194"/>
      <c r="H67" s="194"/>
      <c r="I67" s="194"/>
      <c r="J67" s="194"/>
      <c r="K67" s="194"/>
      <c r="L67" s="194"/>
      <c r="O67" s="366">
        <f t="shared" si="18"/>
        <v>500</v>
      </c>
      <c r="P67" s="392">
        <f t="shared" si="17"/>
        <v>500</v>
      </c>
      <c r="Q67" s="368">
        <f t="shared" si="15"/>
        <v>0</v>
      </c>
      <c r="R67" s="374" t="str">
        <f t="shared" si="16"/>
        <v/>
      </c>
      <c r="S67" s="367"/>
      <c r="T67" s="553"/>
      <c r="U67" s="368"/>
      <c r="V67" s="23"/>
      <c r="W67" s="4"/>
      <c r="X67" s="4"/>
      <c r="Y67" s="4"/>
    </row>
    <row r="68" spans="1:25" x14ac:dyDescent="0.25">
      <c r="A68" s="724">
        <v>5710</v>
      </c>
      <c r="B68" s="369" t="s">
        <v>758</v>
      </c>
      <c r="C68" s="365">
        <v>798.35</v>
      </c>
      <c r="D68" s="365">
        <v>780.84</v>
      </c>
      <c r="E68" s="365">
        <v>851.39</v>
      </c>
      <c r="F68" s="194"/>
      <c r="G68" s="194"/>
      <c r="H68" s="194"/>
      <c r="I68" s="194"/>
      <c r="J68" s="194"/>
      <c r="K68" s="194"/>
      <c r="L68" s="194"/>
      <c r="O68" s="366">
        <f t="shared" si="18"/>
        <v>2000</v>
      </c>
      <c r="P68" s="392">
        <f t="shared" si="17"/>
        <v>3000</v>
      </c>
      <c r="Q68" s="368">
        <f t="shared" si="15"/>
        <v>1000</v>
      </c>
      <c r="R68" s="374">
        <f t="shared" si="16"/>
        <v>0.5</v>
      </c>
      <c r="S68" s="367" t="s">
        <v>2566</v>
      </c>
      <c r="T68" s="553"/>
      <c r="U68" s="368"/>
      <c r="V68" s="23"/>
      <c r="W68" s="4"/>
      <c r="X68" s="4"/>
      <c r="Y68" s="4"/>
    </row>
    <row r="69" spans="1:25" ht="13.8" thickBot="1" x14ac:dyDescent="0.3">
      <c r="A69" s="724">
        <v>5730</v>
      </c>
      <c r="B69" s="369" t="s">
        <v>759</v>
      </c>
      <c r="C69" s="371">
        <v>2157</v>
      </c>
      <c r="D69" s="371">
        <v>1952</v>
      </c>
      <c r="E69" s="371">
        <v>1997</v>
      </c>
      <c r="F69" s="194"/>
      <c r="G69" s="194"/>
      <c r="H69" s="194"/>
      <c r="I69" s="194"/>
      <c r="J69" s="194"/>
      <c r="K69" s="194"/>
      <c r="L69" s="194"/>
      <c r="O69" s="366">
        <f t="shared" si="18"/>
        <v>2500</v>
      </c>
      <c r="P69" s="392">
        <f t="shared" si="17"/>
        <v>3000</v>
      </c>
      <c r="Q69" s="368">
        <f t="shared" si="15"/>
        <v>500</v>
      </c>
      <c r="R69" s="374">
        <f t="shared" si="16"/>
        <v>0.2</v>
      </c>
      <c r="S69" s="367"/>
      <c r="T69" s="553"/>
      <c r="U69" s="368"/>
      <c r="V69" s="23"/>
      <c r="W69" s="4"/>
      <c r="X69" s="4"/>
      <c r="Y69" s="4"/>
    </row>
    <row r="70" spans="1:25" x14ac:dyDescent="0.25">
      <c r="A70" s="703"/>
      <c r="B70" s="4"/>
      <c r="C70" s="23"/>
      <c r="D70" s="23"/>
      <c r="E70" s="23"/>
      <c r="F70" s="23"/>
      <c r="G70" s="23"/>
      <c r="H70" s="194"/>
      <c r="I70" s="194"/>
      <c r="J70" s="194"/>
      <c r="K70" s="194"/>
      <c r="L70" s="194"/>
      <c r="O70" s="23"/>
      <c r="P70" s="23"/>
      <c r="Q70" s="23"/>
      <c r="R70" s="4"/>
      <c r="S70" s="23"/>
      <c r="T70" s="23"/>
      <c r="U70" s="23"/>
      <c r="V70" s="23"/>
      <c r="W70" s="4"/>
      <c r="X70" s="4"/>
      <c r="Y70" s="4"/>
    </row>
    <row r="71" spans="1:25" x14ac:dyDescent="0.25">
      <c r="A71" s="703"/>
      <c r="B71" s="4" t="s">
        <v>735</v>
      </c>
      <c r="C71" s="23"/>
      <c r="D71" s="23"/>
      <c r="E71" s="23"/>
      <c r="F71" s="23"/>
      <c r="G71" s="23"/>
      <c r="H71" s="194"/>
      <c r="I71" s="194"/>
      <c r="J71" s="194"/>
      <c r="K71" s="194"/>
      <c r="L71" s="194"/>
      <c r="O71" s="597">
        <f>SUM(O50:O70)</f>
        <v>330581</v>
      </c>
      <c r="P71" s="597">
        <f>SUM(P50:P70)</f>
        <v>326230</v>
      </c>
      <c r="Q71" s="25">
        <f>+P71-O71</f>
        <v>-4351</v>
      </c>
      <c r="R71" s="598">
        <f>IF(O71+P71&lt;&gt;0,IF(O71&lt;&gt;0,IF(Q71&lt;&gt;0,ROUND((+Q71/O71),4),""),1),"")</f>
        <v>-1.32E-2</v>
      </c>
      <c r="S71" s="23"/>
      <c r="T71" s="23"/>
      <c r="U71" s="23"/>
      <c r="V71" s="23"/>
      <c r="W71" s="4"/>
      <c r="X71" s="4"/>
      <c r="Y71" s="4"/>
    </row>
    <row r="72" spans="1:25" x14ac:dyDescent="0.25">
      <c r="A72" s="703"/>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5">
      <c r="A73" s="703"/>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5">
      <c r="A74" s="703"/>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5">
      <c r="A75" s="703"/>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5">
      <c r="A76" s="703"/>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5">
      <c r="A77" s="703"/>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5">
      <c r="A78" s="703"/>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5">
      <c r="A79" s="703"/>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5">
      <c r="A80" s="703"/>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5">
      <c r="A81" s="703"/>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5">
      <c r="A82" s="703"/>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5">
      <c r="A83" s="703"/>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5">
      <c r="A84" s="703"/>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5">
      <c r="A85" s="703"/>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5">
      <c r="A86" s="703"/>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5">
      <c r="A87" s="703"/>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5">
      <c r="A88" s="703"/>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5">
      <c r="A89" s="703"/>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5">
      <c r="A90" s="703"/>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5">
      <c r="A91" s="703"/>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5">
      <c r="A92" s="703"/>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5">
      <c r="A93" s="703"/>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5">
      <c r="A94" s="703"/>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5">
      <c r="A95" s="703"/>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5">
      <c r="A96" s="703"/>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5">
      <c r="A97" s="703"/>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5">
      <c r="A98" s="703"/>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5">
      <c r="A99" s="703"/>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5">
      <c r="A100" s="703"/>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5">
      <c r="A101" s="703"/>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5">
      <c r="A102" s="703"/>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5">
      <c r="A103" s="703"/>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5">
      <c r="A104" s="703"/>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5">
      <c r="A105" s="703"/>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5">
      <c r="A106" s="703"/>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5">
      <c r="A107" s="703"/>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5">
      <c r="A108" s="703"/>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5">
      <c r="A109" s="703"/>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5">
      <c r="A110" s="703"/>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5">
      <c r="A111" s="703"/>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5">
      <c r="A112" s="703"/>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3:3" x14ac:dyDescent="0.25">
      <c r="C113" s="194"/>
    </row>
    <row r="114" spans="3:3" x14ac:dyDescent="0.25">
      <c r="C114" s="194"/>
    </row>
    <row r="115" spans="3:3" x14ac:dyDescent="0.25">
      <c r="C115" s="194"/>
    </row>
    <row r="116" spans="3:3" x14ac:dyDescent="0.25">
      <c r="C116" s="194"/>
    </row>
    <row r="117" spans="3:3" x14ac:dyDescent="0.25">
      <c r="C117" s="194"/>
    </row>
    <row r="118" spans="3:3" x14ac:dyDescent="0.25">
      <c r="C118" s="194"/>
    </row>
    <row r="119" spans="3:3" x14ac:dyDescent="0.25">
      <c r="C119" s="194"/>
    </row>
    <row r="120" spans="3:3" x14ac:dyDescent="0.25">
      <c r="C120" s="194"/>
    </row>
    <row r="121" spans="3:3" x14ac:dyDescent="0.25">
      <c r="C121" s="194"/>
    </row>
    <row r="122" spans="3:3" x14ac:dyDescent="0.25">
      <c r="C122" s="194"/>
    </row>
    <row r="123" spans="3:3" x14ac:dyDescent="0.25">
      <c r="C123" s="194"/>
    </row>
    <row r="124" spans="3:3" x14ac:dyDescent="0.25">
      <c r="C124" s="194"/>
    </row>
    <row r="125" spans="3:3" x14ac:dyDescent="0.25">
      <c r="C125" s="194"/>
    </row>
    <row r="126" spans="3:3" x14ac:dyDescent="0.25">
      <c r="C126" s="194"/>
    </row>
    <row r="127" spans="3:3" x14ac:dyDescent="0.25">
      <c r="C127" s="194"/>
    </row>
    <row r="128" spans="3:3" x14ac:dyDescent="0.25">
      <c r="C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sheetData>
  <phoneticPr fontId="0" type="noConversion"/>
  <hyperlinks>
    <hyperlink ref="A1" location="'Working Budget with funding det'!A1" display="Main " xr:uid="{00000000-0004-0000-0B00-000000000000}"/>
    <hyperlink ref="B1" location="'Table of Contents'!A1" display="TOC" xr:uid="{00000000-0004-0000-0B00-000001000000}"/>
  </hyperlinks>
  <pageMargins left="0.75" right="0.75" top="1" bottom="1" header="0.5" footer="0.5"/>
  <pageSetup fitToHeight="0" orientation="landscape" r:id="rId1"/>
  <headerFooter alignWithMargins="0">
    <oddFooter>&amp;L&amp;D     &amp;T&amp;C &amp;F&amp;R&amp;A   &amp;P</oddFooter>
  </headerFooter>
  <rowBreaks count="1" manualBreakCount="1">
    <brk id="39" max="1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X169"/>
  <sheetViews>
    <sheetView workbookViewId="0">
      <pane ySplit="7" topLeftCell="A8" activePane="bottomLeft" state="frozen"/>
      <selection activeCell="R15" sqref="R15"/>
      <selection pane="bottomLeft" activeCell="T21" sqref="T21"/>
    </sheetView>
  </sheetViews>
  <sheetFormatPr defaultRowHeight="13.2" x14ac:dyDescent="0.25"/>
  <cols>
    <col min="1" max="1" width="10.664062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0" width="14.44140625" style="1" customWidth="1"/>
    <col min="21" max="23" width="14.44140625" customWidth="1"/>
    <col min="24" max="24" width="14.6640625" style="2" customWidth="1"/>
  </cols>
  <sheetData>
    <row r="1" spans="1:23" x14ac:dyDescent="0.25">
      <c r="A1" s="701" t="s">
        <v>736</v>
      </c>
      <c r="B1" s="290" t="s">
        <v>194</v>
      </c>
      <c r="D1" s="194"/>
      <c r="E1" s="194"/>
      <c r="F1" s="194"/>
      <c r="G1" s="194"/>
      <c r="H1" s="194"/>
      <c r="I1" s="194"/>
      <c r="J1" s="194"/>
      <c r="K1" s="194"/>
      <c r="L1" s="194"/>
      <c r="M1" s="194"/>
      <c r="N1" s="194"/>
      <c r="O1" s="194"/>
      <c r="P1" s="194"/>
      <c r="Q1" s="194"/>
    </row>
    <row r="2" spans="1:23" ht="13.8" x14ac:dyDescent="0.25">
      <c r="A2" s="702" t="s">
        <v>705</v>
      </c>
      <c r="B2" s="43"/>
      <c r="D2" s="194"/>
      <c r="E2" s="125"/>
      <c r="F2" s="194"/>
      <c r="G2" s="194"/>
      <c r="H2" s="194"/>
      <c r="I2" s="125" t="s">
        <v>706</v>
      </c>
      <c r="J2" s="125"/>
      <c r="K2" s="125"/>
      <c r="L2" s="125"/>
      <c r="M2" s="125"/>
      <c r="N2" s="125"/>
      <c r="O2" s="125"/>
      <c r="P2" s="125"/>
      <c r="Q2" s="125"/>
      <c r="R2" s="58" t="s">
        <v>515</v>
      </c>
      <c r="U2" s="44" t="s">
        <v>778</v>
      </c>
    </row>
    <row r="3" spans="1:23" ht="13.8" thickBot="1" x14ac:dyDescent="0.3">
      <c r="A3" s="703"/>
      <c r="B3" s="4"/>
      <c r="C3" s="23"/>
      <c r="D3" s="23"/>
      <c r="E3" s="23"/>
      <c r="F3" s="23"/>
      <c r="G3" s="23"/>
      <c r="H3" s="23"/>
      <c r="I3" s="23"/>
      <c r="J3" s="23"/>
      <c r="K3" s="23"/>
      <c r="L3" s="23"/>
      <c r="M3" s="23"/>
      <c r="N3" s="23"/>
      <c r="O3" s="23"/>
      <c r="P3" s="23"/>
      <c r="Q3" s="23"/>
      <c r="R3" s="4"/>
      <c r="S3" s="23"/>
      <c r="T3" s="23"/>
      <c r="U3" s="4"/>
      <c r="W3" s="4"/>
    </row>
    <row r="4" spans="1:23"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3"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3" x14ac:dyDescent="0.25">
      <c r="A6" s="705"/>
      <c r="B6" s="184"/>
      <c r="C6" s="112"/>
      <c r="D6" s="112"/>
      <c r="E6" s="112"/>
      <c r="F6" s="82"/>
      <c r="G6" s="112"/>
      <c r="H6" s="112"/>
      <c r="I6" s="83"/>
      <c r="J6" s="83"/>
      <c r="K6" s="83"/>
      <c r="L6" s="83"/>
      <c r="M6" s="83"/>
      <c r="N6" s="83"/>
      <c r="O6" s="83"/>
      <c r="P6" s="83"/>
      <c r="Q6" s="83"/>
      <c r="R6" s="112"/>
      <c r="S6" s="83" t="s">
        <v>713</v>
      </c>
      <c r="T6" s="83" t="s">
        <v>481</v>
      </c>
      <c r="U6" s="45" t="s">
        <v>714</v>
      </c>
    </row>
    <row r="7" spans="1:23"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3" ht="13.8" thickTop="1" x14ac:dyDescent="0.25">
      <c r="A8" s="725"/>
      <c r="B8" s="185"/>
      <c r="C8" s="117"/>
      <c r="D8" s="18"/>
      <c r="E8" s="18"/>
      <c r="F8" s="18"/>
      <c r="G8" s="18"/>
      <c r="H8" s="18"/>
      <c r="I8" s="18"/>
      <c r="J8" s="18"/>
      <c r="K8" s="19"/>
      <c r="L8" s="19"/>
      <c r="M8" s="19"/>
      <c r="N8" s="19"/>
      <c r="O8" s="19"/>
      <c r="P8" s="19"/>
      <c r="Q8" s="19"/>
      <c r="R8" s="18"/>
      <c r="S8" s="19"/>
      <c r="T8" s="19"/>
      <c r="U8" s="179"/>
    </row>
    <row r="9" spans="1:23" x14ac:dyDescent="0.25">
      <c r="A9" s="708">
        <v>5305</v>
      </c>
      <c r="B9" s="60" t="s">
        <v>779</v>
      </c>
      <c r="C9" s="115">
        <v>280</v>
      </c>
      <c r="D9" s="13">
        <v>0</v>
      </c>
      <c r="E9" s="13">
        <v>247.35</v>
      </c>
      <c r="F9" s="13">
        <v>296.82</v>
      </c>
      <c r="G9" s="13">
        <v>246</v>
      </c>
      <c r="H9" s="13">
        <v>288</v>
      </c>
      <c r="I9" s="13">
        <v>377.4</v>
      </c>
      <c r="J9" s="13"/>
      <c r="K9" s="14">
        <v>420</v>
      </c>
      <c r="L9" s="13"/>
      <c r="M9" s="13"/>
      <c r="N9" s="18">
        <f t="shared" ref="N9" si="0">SUM(N1:N8)</f>
        <v>0</v>
      </c>
      <c r="O9" s="14"/>
      <c r="P9" s="13"/>
      <c r="Q9" s="14"/>
      <c r="R9" s="13"/>
      <c r="S9" s="14"/>
      <c r="T9" s="14"/>
      <c r="U9" s="14"/>
    </row>
    <row r="10" spans="1:23" x14ac:dyDescent="0.25">
      <c r="A10" s="708">
        <v>5314</v>
      </c>
      <c r="B10" s="60" t="s">
        <v>749</v>
      </c>
      <c r="C10" s="115">
        <v>45</v>
      </c>
      <c r="D10" s="13">
        <v>40</v>
      </c>
      <c r="E10" s="13">
        <v>50</v>
      </c>
      <c r="F10" s="13">
        <v>55</v>
      </c>
      <c r="G10" s="13"/>
      <c r="H10" s="13"/>
      <c r="I10" s="13">
        <v>0</v>
      </c>
      <c r="J10" s="13">
        <v>150</v>
      </c>
      <c r="K10" s="14">
        <v>200</v>
      </c>
      <c r="L10" s="13">
        <v>100</v>
      </c>
      <c r="M10" s="14">
        <v>200</v>
      </c>
      <c r="N10" s="18">
        <v>75</v>
      </c>
      <c r="O10" s="14">
        <v>150</v>
      </c>
      <c r="P10" s="13">
        <v>55</v>
      </c>
      <c r="Q10" s="14">
        <v>150</v>
      </c>
      <c r="R10" s="13"/>
      <c r="S10" s="14">
        <v>150</v>
      </c>
      <c r="T10" s="14"/>
      <c r="U10" s="14"/>
    </row>
    <row r="11" spans="1:23" x14ac:dyDescent="0.25">
      <c r="A11" s="708">
        <v>5315</v>
      </c>
      <c r="B11" s="60" t="s">
        <v>780</v>
      </c>
      <c r="C11" s="115"/>
      <c r="D11" s="13"/>
      <c r="E11" s="13"/>
      <c r="F11" s="13"/>
      <c r="G11" s="13"/>
      <c r="H11" s="13"/>
      <c r="I11" s="13"/>
      <c r="J11" s="13"/>
      <c r="K11" s="14"/>
      <c r="L11" s="13"/>
      <c r="M11" s="14">
        <v>1300</v>
      </c>
      <c r="N11" s="13">
        <v>1548.75</v>
      </c>
      <c r="O11" s="14">
        <v>1440</v>
      </c>
      <c r="P11" s="13">
        <v>615</v>
      </c>
      <c r="Q11" s="14">
        <v>1440</v>
      </c>
      <c r="R11" s="13"/>
      <c r="S11" s="14"/>
      <c r="T11" s="14"/>
      <c r="U11" s="14"/>
    </row>
    <row r="12" spans="1:23" x14ac:dyDescent="0.25">
      <c r="A12" s="708">
        <v>5344</v>
      </c>
      <c r="B12" s="60" t="s">
        <v>722</v>
      </c>
      <c r="C12" s="115"/>
      <c r="D12" s="13">
        <v>0</v>
      </c>
      <c r="E12" s="13"/>
      <c r="F12" s="13"/>
      <c r="G12" s="13"/>
      <c r="H12" s="13"/>
      <c r="I12" s="13">
        <v>115.68</v>
      </c>
      <c r="J12" s="13"/>
      <c r="K12" s="14"/>
      <c r="L12" s="13"/>
      <c r="M12" s="14"/>
      <c r="N12" s="14"/>
      <c r="O12" s="14"/>
      <c r="P12" s="13"/>
      <c r="Q12" s="14"/>
      <c r="R12" s="13"/>
      <c r="S12" s="14"/>
      <c r="T12" s="14"/>
      <c r="U12" s="14"/>
    </row>
    <row r="13" spans="1:23" x14ac:dyDescent="0.25">
      <c r="A13" s="708">
        <v>5345</v>
      </c>
      <c r="B13" s="60" t="s">
        <v>752</v>
      </c>
      <c r="C13" s="115"/>
      <c r="D13" s="13"/>
      <c r="E13" s="13"/>
      <c r="F13" s="13"/>
      <c r="G13" s="13"/>
      <c r="H13" s="13"/>
      <c r="I13" s="13"/>
      <c r="J13" s="13"/>
      <c r="K13" s="14"/>
      <c r="L13" s="13"/>
      <c r="M13" s="14"/>
      <c r="N13" s="14">
        <v>112</v>
      </c>
      <c r="O13" s="14"/>
      <c r="P13" s="13"/>
      <c r="Q13" s="14"/>
      <c r="R13" s="13"/>
      <c r="S13" s="14"/>
      <c r="T13" s="14"/>
      <c r="U13" s="14"/>
    </row>
    <row r="14" spans="1:23" x14ac:dyDescent="0.25">
      <c r="A14" s="708">
        <v>5420</v>
      </c>
      <c r="B14" s="60" t="s">
        <v>753</v>
      </c>
      <c r="C14" s="115">
        <v>54.84</v>
      </c>
      <c r="D14" s="13">
        <v>0</v>
      </c>
      <c r="E14" s="13"/>
      <c r="F14" s="13"/>
      <c r="G14" s="13"/>
      <c r="H14" s="13"/>
      <c r="I14" s="13"/>
      <c r="J14" s="13"/>
      <c r="K14" s="14"/>
      <c r="L14" s="13"/>
      <c r="M14" s="14">
        <v>120</v>
      </c>
      <c r="N14" s="13"/>
      <c r="O14" s="14">
        <v>100</v>
      </c>
      <c r="P14" s="13"/>
      <c r="Q14" s="14">
        <v>100</v>
      </c>
      <c r="R14" s="13"/>
      <c r="S14" s="14">
        <v>100</v>
      </c>
      <c r="T14" s="14"/>
      <c r="U14" s="14"/>
    </row>
    <row r="15" spans="1:23" x14ac:dyDescent="0.25">
      <c r="A15" s="708">
        <v>5710</v>
      </c>
      <c r="B15" s="60" t="s">
        <v>758</v>
      </c>
      <c r="C15" s="210">
        <v>106.41</v>
      </c>
      <c r="D15" s="35">
        <v>99.4</v>
      </c>
      <c r="E15" s="35">
        <v>98.45</v>
      </c>
      <c r="F15" s="35">
        <v>87.4</v>
      </c>
      <c r="G15" s="35"/>
      <c r="H15" s="35"/>
      <c r="I15" s="35">
        <v>0</v>
      </c>
      <c r="J15" s="35">
        <v>134.1</v>
      </c>
      <c r="K15" s="36">
        <v>200</v>
      </c>
      <c r="L15" s="35"/>
      <c r="M15" s="36">
        <v>200</v>
      </c>
      <c r="N15" s="35"/>
      <c r="O15" s="36">
        <v>125</v>
      </c>
      <c r="P15" s="35">
        <v>127.89</v>
      </c>
      <c r="Q15" s="36">
        <v>125</v>
      </c>
      <c r="R15" s="35"/>
      <c r="S15" s="36">
        <v>150</v>
      </c>
      <c r="T15" s="36"/>
      <c r="U15" s="36"/>
    </row>
    <row r="16" spans="1:23" ht="13.8" thickBot="1" x14ac:dyDescent="0.3">
      <c r="A16" s="708">
        <v>5730</v>
      </c>
      <c r="B16" s="60" t="s">
        <v>759</v>
      </c>
      <c r="C16" s="116">
        <v>173</v>
      </c>
      <c r="D16" s="15">
        <v>176</v>
      </c>
      <c r="E16" s="15">
        <v>176</v>
      </c>
      <c r="F16" s="15">
        <v>176</v>
      </c>
      <c r="G16" s="15">
        <v>176</v>
      </c>
      <c r="H16" s="15">
        <v>180</v>
      </c>
      <c r="I16" s="15">
        <v>180</v>
      </c>
      <c r="J16" s="15">
        <v>180</v>
      </c>
      <c r="K16" s="16">
        <v>180</v>
      </c>
      <c r="L16" s="15">
        <v>180</v>
      </c>
      <c r="M16" s="16">
        <v>180</v>
      </c>
      <c r="N16" s="15">
        <v>180</v>
      </c>
      <c r="O16" s="16">
        <v>185</v>
      </c>
      <c r="P16" s="15">
        <v>184</v>
      </c>
      <c r="Q16" s="16">
        <v>185</v>
      </c>
      <c r="R16" s="15">
        <v>190</v>
      </c>
      <c r="S16" s="16">
        <v>200</v>
      </c>
      <c r="T16" s="16"/>
      <c r="U16" s="16"/>
    </row>
    <row r="17" spans="1:23" x14ac:dyDescent="0.25">
      <c r="A17" s="708"/>
      <c r="B17" s="61" t="s">
        <v>728</v>
      </c>
      <c r="C17" s="117">
        <f>SUM(C8:C16)</f>
        <v>659.25</v>
      </c>
      <c r="D17" s="18">
        <f>SUM(D8:D16)</f>
        <v>315.39999999999998</v>
      </c>
      <c r="E17" s="18">
        <f>SUM(E8:E16)</f>
        <v>571.79999999999995</v>
      </c>
      <c r="F17" s="18">
        <f>SUM(F9:F16)</f>
        <v>615.22</v>
      </c>
      <c r="G17" s="18">
        <f>SUM(G9:G16)</f>
        <v>422</v>
      </c>
      <c r="H17" s="18">
        <f>SUM(H9:H16)</f>
        <v>468</v>
      </c>
      <c r="I17" s="18">
        <f>SUM(I8:I16)</f>
        <v>673.07999999999993</v>
      </c>
      <c r="J17" s="18">
        <f>SUM(J8:J16)</f>
        <v>464.1</v>
      </c>
      <c r="K17" s="19">
        <f>SUM(K8:K16)</f>
        <v>1000</v>
      </c>
      <c r="L17" s="18">
        <f t="shared" ref="L17:O17" si="1">SUM(L8:L16)</f>
        <v>280</v>
      </c>
      <c r="M17" s="19">
        <f t="shared" si="1"/>
        <v>2000</v>
      </c>
      <c r="N17" s="18">
        <f t="shared" ref="N17" si="2">SUM(N8:N16)</f>
        <v>1915.75</v>
      </c>
      <c r="O17" s="19">
        <f t="shared" si="1"/>
        <v>2000</v>
      </c>
      <c r="P17" s="18">
        <f t="shared" ref="P17" si="3">SUM(P8:P16)</f>
        <v>981.89</v>
      </c>
      <c r="Q17" s="19">
        <f>SUM(Q8:Q16)</f>
        <v>2000</v>
      </c>
      <c r="R17" s="18">
        <f>SUM(R9:R16)</f>
        <v>190</v>
      </c>
      <c r="S17" s="19">
        <f>SUM(S8:S16)</f>
        <v>600</v>
      </c>
      <c r="T17" s="19">
        <f>SUM(T8:T16)</f>
        <v>0</v>
      </c>
      <c r="U17" s="19">
        <f>SUM(U8:U16)</f>
        <v>0</v>
      </c>
    </row>
    <row r="18" spans="1:23" x14ac:dyDescent="0.25">
      <c r="A18" s="708"/>
      <c r="B18" s="101"/>
      <c r="C18" s="117"/>
      <c r="D18" s="18"/>
      <c r="E18" s="18"/>
      <c r="F18" s="18"/>
      <c r="G18" s="18"/>
      <c r="H18" s="18"/>
      <c r="I18" s="18"/>
      <c r="J18" s="18"/>
      <c r="K18" s="19"/>
      <c r="L18" s="18"/>
      <c r="M18" s="19"/>
      <c r="N18" s="18"/>
      <c r="O18" s="19"/>
      <c r="P18" s="18"/>
      <c r="Q18" s="19"/>
      <c r="R18" s="18"/>
      <c r="S18" s="19"/>
      <c r="T18" s="19"/>
      <c r="U18" s="19"/>
    </row>
    <row r="19" spans="1:23" x14ac:dyDescent="0.25">
      <c r="A19" s="708"/>
      <c r="B19" s="60"/>
      <c r="C19" s="115"/>
      <c r="D19" s="13"/>
      <c r="E19" s="13"/>
      <c r="F19" s="13"/>
      <c r="G19" s="13"/>
      <c r="H19" s="13"/>
      <c r="I19" s="13"/>
      <c r="J19" s="13"/>
      <c r="K19" s="14"/>
      <c r="L19" s="13"/>
      <c r="M19" s="14"/>
      <c r="N19" s="13"/>
      <c r="O19" s="14"/>
      <c r="P19" s="13"/>
      <c r="Q19" s="14"/>
      <c r="R19" s="13"/>
      <c r="S19" s="14"/>
      <c r="T19" s="14"/>
      <c r="U19" s="14"/>
    </row>
    <row r="20" spans="1:23" ht="13.8" thickBot="1" x14ac:dyDescent="0.3">
      <c r="A20" s="709"/>
      <c r="B20" s="583" t="s">
        <v>781</v>
      </c>
      <c r="C20" s="577">
        <f t="shared" ref="C20:S20" si="4">+C17</f>
        <v>659.25</v>
      </c>
      <c r="D20" s="21">
        <f t="shared" si="4"/>
        <v>315.39999999999998</v>
      </c>
      <c r="E20" s="21">
        <f t="shared" si="4"/>
        <v>571.79999999999995</v>
      </c>
      <c r="F20" s="21">
        <f>+F17</f>
        <v>615.22</v>
      </c>
      <c r="G20" s="21">
        <f>+G17</f>
        <v>422</v>
      </c>
      <c r="H20" s="21">
        <f>+H17</f>
        <v>468</v>
      </c>
      <c r="I20" s="21">
        <f t="shared" si="4"/>
        <v>673.07999999999993</v>
      </c>
      <c r="J20" s="21">
        <f t="shared" ref="J20" si="5">+J17</f>
        <v>464.1</v>
      </c>
      <c r="K20" s="22">
        <f t="shared" ref="K20:O20" si="6">+K17</f>
        <v>1000</v>
      </c>
      <c r="L20" s="21">
        <f t="shared" si="6"/>
        <v>280</v>
      </c>
      <c r="M20" s="22">
        <f t="shared" si="6"/>
        <v>2000</v>
      </c>
      <c r="N20" s="21">
        <f t="shared" ref="N20" si="7">+N17</f>
        <v>1915.75</v>
      </c>
      <c r="O20" s="22">
        <f t="shared" si="6"/>
        <v>2000</v>
      </c>
      <c r="P20" s="21">
        <f t="shared" ref="P20" si="8">+P17</f>
        <v>981.89</v>
      </c>
      <c r="Q20" s="22">
        <f t="shared" ref="Q20" si="9">+Q17</f>
        <v>2000</v>
      </c>
      <c r="R20" s="21">
        <f t="shared" si="4"/>
        <v>190</v>
      </c>
      <c r="S20" s="22">
        <f t="shared" si="4"/>
        <v>600</v>
      </c>
      <c r="T20" s="22">
        <f>+S20</f>
        <v>600</v>
      </c>
      <c r="U20" s="22">
        <f>+S20</f>
        <v>600</v>
      </c>
    </row>
    <row r="21" spans="1:23" ht="13.8" thickTop="1" x14ac:dyDescent="0.25">
      <c r="A21" s="54"/>
      <c r="B21" s="4"/>
      <c r="C21" s="23"/>
      <c r="D21" s="23"/>
      <c r="E21" s="23"/>
      <c r="F21" s="23"/>
      <c r="G21" s="23"/>
      <c r="H21" s="23"/>
      <c r="I21" s="23"/>
      <c r="J21" s="23"/>
      <c r="K21" s="23"/>
      <c r="L21" s="23"/>
      <c r="M21" s="23"/>
      <c r="N21" s="23"/>
      <c r="O21" s="23"/>
      <c r="P21" s="23"/>
      <c r="Q21" s="23"/>
      <c r="R21" s="181" t="s">
        <v>732</v>
      </c>
      <c r="S21" s="1001">
        <f>+S20-Q20</f>
        <v>-1400</v>
      </c>
      <c r="T21" s="1002">
        <f>ROUND((+S21/Q20),4)</f>
        <v>-0.7</v>
      </c>
      <c r="U21" s="25"/>
      <c r="V21" s="2"/>
    </row>
    <row r="22" spans="1:23" x14ac:dyDescent="0.25">
      <c r="A22" s="63"/>
      <c r="B22" s="4"/>
      <c r="C22" s="23"/>
      <c r="D22" s="23"/>
      <c r="E22" s="23"/>
      <c r="F22" s="23"/>
      <c r="G22" s="23"/>
      <c r="H22" s="23"/>
      <c r="I22" s="23"/>
      <c r="J22" s="23"/>
      <c r="K22" s="23"/>
      <c r="L22" s="23"/>
      <c r="M22" s="23"/>
      <c r="N22" s="23"/>
      <c r="O22" s="23"/>
      <c r="P22" s="23"/>
      <c r="Q22" s="23"/>
      <c r="R22" s="25"/>
      <c r="S22" s="259"/>
      <c r="T22" s="259"/>
      <c r="U22" s="548"/>
      <c r="V22" s="25"/>
      <c r="W22" s="25"/>
    </row>
    <row r="23" spans="1:23" ht="13.8" thickBot="1" x14ac:dyDescent="0.3">
      <c r="A23" s="703"/>
      <c r="B23" s="4"/>
      <c r="C23" s="23"/>
      <c r="D23" s="23"/>
      <c r="E23" s="23"/>
      <c r="F23" s="23"/>
      <c r="G23" s="23"/>
      <c r="H23" s="597"/>
      <c r="I23" s="597"/>
      <c r="J23" s="597"/>
      <c r="K23" s="25"/>
      <c r="L23" s="25"/>
      <c r="M23" s="25"/>
      <c r="N23" s="25"/>
      <c r="O23" s="25"/>
      <c r="P23" s="25"/>
      <c r="Q23" s="25"/>
      <c r="R23" s="598"/>
      <c r="S23" s="119"/>
      <c r="T23" s="119"/>
    </row>
    <row r="24" spans="1:23" ht="13.8" thickTop="1" x14ac:dyDescent="0.25">
      <c r="A24" s="718"/>
      <c r="B24" s="349"/>
      <c r="C24" s="350" t="s">
        <v>256</v>
      </c>
      <c r="D24" s="351" t="s">
        <v>256</v>
      </c>
      <c r="E24" s="351" t="s">
        <v>256</v>
      </c>
      <c r="F24" s="194"/>
      <c r="G24" s="194"/>
      <c r="H24" s="194"/>
      <c r="I24" s="194"/>
      <c r="J24" s="194"/>
      <c r="K24" s="194"/>
      <c r="L24" s="194"/>
      <c r="O24" s="352" t="s">
        <v>255</v>
      </c>
      <c r="P24" s="353" t="s">
        <v>716</v>
      </c>
      <c r="Q24" s="354" t="s">
        <v>730</v>
      </c>
      <c r="R24" s="353" t="s">
        <v>731</v>
      </c>
      <c r="S24" s="355"/>
      <c r="T24" s="550"/>
      <c r="U24" s="354"/>
    </row>
    <row r="25" spans="1:23" ht="13.8" thickBot="1" x14ac:dyDescent="0.3">
      <c r="A25" s="719" t="s">
        <v>715</v>
      </c>
      <c r="B25" s="356"/>
      <c r="C25" s="357" t="s">
        <v>243</v>
      </c>
      <c r="D25" s="357" t="s">
        <v>244</v>
      </c>
      <c r="E25" s="358" t="s">
        <v>245</v>
      </c>
      <c r="F25" s="194"/>
      <c r="G25" s="194"/>
      <c r="H25" s="194"/>
      <c r="I25" s="194"/>
      <c r="J25" s="194"/>
      <c r="K25" s="194"/>
      <c r="L25" s="194"/>
      <c r="O25" s="359" t="s">
        <v>469</v>
      </c>
      <c r="P25" s="359" t="s">
        <v>1345</v>
      </c>
      <c r="Q25" s="358" t="s">
        <v>732</v>
      </c>
      <c r="R25" s="360" t="s">
        <v>732</v>
      </c>
      <c r="S25" s="361" t="s">
        <v>733</v>
      </c>
      <c r="T25" s="551"/>
      <c r="U25" s="359"/>
      <c r="V25" s="84"/>
      <c r="W25" s="84"/>
    </row>
    <row r="26" spans="1:23" ht="13.8" thickTop="1" x14ac:dyDescent="0.25">
      <c r="A26" s="724">
        <v>5305</v>
      </c>
      <c r="B26" s="397" t="s">
        <v>779</v>
      </c>
      <c r="C26" s="365">
        <v>87868.9</v>
      </c>
      <c r="D26" s="365">
        <v>95093</v>
      </c>
      <c r="E26" s="365">
        <v>98445</v>
      </c>
      <c r="F26" s="194"/>
      <c r="G26" s="194"/>
      <c r="H26" s="194"/>
      <c r="I26" s="194"/>
      <c r="J26" s="194"/>
      <c r="K26" s="194"/>
      <c r="L26" s="194"/>
      <c r="O26" s="366">
        <f>+O9</f>
        <v>0</v>
      </c>
      <c r="P26" s="392">
        <f>+S9</f>
        <v>0</v>
      </c>
      <c r="Q26" s="368">
        <f>+P26-O26</f>
        <v>0</v>
      </c>
      <c r="R26" s="374" t="str">
        <f>IF(O26+P26&lt;&gt;0,IF(O26&lt;&gt;0,IF(Q26&lt;&gt;0,ROUND((+Q26/O26),4),""),1),"")</f>
        <v/>
      </c>
      <c r="S26" s="367"/>
      <c r="T26" s="553"/>
      <c r="U26" s="368"/>
      <c r="V26" s="84"/>
      <c r="W26" s="84"/>
    </row>
    <row r="27" spans="1:23" x14ac:dyDescent="0.25">
      <c r="A27" s="724">
        <v>5314</v>
      </c>
      <c r="B27" s="397" t="s">
        <v>749</v>
      </c>
      <c r="C27" s="365">
        <v>32158</v>
      </c>
      <c r="D27" s="365">
        <v>35092.639999999999</v>
      </c>
      <c r="E27" s="365">
        <v>38122.11</v>
      </c>
      <c r="F27" s="194"/>
      <c r="G27" s="194"/>
      <c r="H27" s="194"/>
      <c r="I27" s="194"/>
      <c r="J27" s="194"/>
      <c r="K27" s="194"/>
      <c r="L27" s="194"/>
      <c r="O27" s="366">
        <f>+O10</f>
        <v>150</v>
      </c>
      <c r="P27" s="392">
        <f>+S10</f>
        <v>150</v>
      </c>
      <c r="Q27" s="368">
        <f>+P27-O27</f>
        <v>0</v>
      </c>
      <c r="R27" s="374" t="str">
        <f>IF(O27+P27&lt;&gt;0,IF(O27&lt;&gt;0,IF(Q27&lt;&gt;0,ROUND((+Q27/O27),4),""),1),"")</f>
        <v/>
      </c>
      <c r="S27" s="367"/>
      <c r="T27" s="553"/>
      <c r="U27" s="368"/>
      <c r="V27" s="25"/>
      <c r="W27" s="25"/>
    </row>
    <row r="28" spans="1:23" x14ac:dyDescent="0.25">
      <c r="A28" s="724">
        <v>5344</v>
      </c>
      <c r="B28" s="397" t="s">
        <v>722</v>
      </c>
      <c r="C28" s="373">
        <v>1000</v>
      </c>
      <c r="D28" s="373">
        <v>1500</v>
      </c>
      <c r="E28" s="373">
        <v>1500</v>
      </c>
      <c r="F28" s="194"/>
      <c r="G28" s="194"/>
      <c r="H28" s="194"/>
      <c r="I28" s="194"/>
      <c r="J28" s="194"/>
      <c r="K28" s="194"/>
      <c r="L28" s="194"/>
      <c r="O28" s="366">
        <f>+O12</f>
        <v>0</v>
      </c>
      <c r="P28" s="392">
        <f>+S12</f>
        <v>0</v>
      </c>
      <c r="Q28" s="368">
        <f>+P28-O28</f>
        <v>0</v>
      </c>
      <c r="R28" s="374" t="str">
        <f>IF(O28+P28&lt;&gt;0,IF(O28&lt;&gt;0,IF(Q28&lt;&gt;0,ROUND((+Q28/O28),4),""),1),"")</f>
        <v/>
      </c>
      <c r="S28" s="367"/>
      <c r="T28" s="553"/>
      <c r="U28" s="368"/>
      <c r="V28" s="25"/>
      <c r="W28" s="25"/>
    </row>
    <row r="29" spans="1:23" x14ac:dyDescent="0.25">
      <c r="A29" s="724">
        <v>5344</v>
      </c>
      <c r="B29" s="397" t="s">
        <v>752</v>
      </c>
      <c r="C29" s="377"/>
      <c r="D29" s="377"/>
      <c r="E29" s="377"/>
      <c r="F29" s="194"/>
      <c r="G29" s="194"/>
      <c r="H29" s="194"/>
      <c r="I29" s="194"/>
      <c r="J29" s="194"/>
      <c r="K29" s="194"/>
      <c r="L29" s="194"/>
      <c r="O29" s="366">
        <f>+O13</f>
        <v>0</v>
      </c>
      <c r="P29" s="392">
        <f>+S13</f>
        <v>0</v>
      </c>
      <c r="Q29" s="368"/>
      <c r="R29" s="374"/>
      <c r="S29" s="367"/>
      <c r="T29" s="553"/>
      <c r="U29" s="368"/>
      <c r="V29" s="25"/>
      <c r="W29" s="25"/>
    </row>
    <row r="30" spans="1:23" x14ac:dyDescent="0.25">
      <c r="A30" s="724">
        <v>5315</v>
      </c>
      <c r="B30" s="397" t="s">
        <v>780</v>
      </c>
      <c r="C30" s="377"/>
      <c r="D30" s="377"/>
      <c r="E30" s="377"/>
      <c r="F30" s="194"/>
      <c r="G30" s="194"/>
      <c r="H30" s="194"/>
      <c r="I30" s="194"/>
      <c r="J30" s="194"/>
      <c r="K30" s="194"/>
      <c r="L30" s="194"/>
      <c r="O30" s="366">
        <f>+O11</f>
        <v>1440</v>
      </c>
      <c r="P30" s="392">
        <f>+S11</f>
        <v>0</v>
      </c>
      <c r="Q30" s="368">
        <f>+P30-O30</f>
        <v>-1440</v>
      </c>
      <c r="R30" s="374">
        <f>IF(O30+P30&lt;&gt;0,IF(O30&lt;&gt;0,IF(Q30&lt;&gt;0,ROUND((+Q30/O30),4),""),1),"")</f>
        <v>-1</v>
      </c>
      <c r="S30" s="367"/>
      <c r="T30" s="553"/>
      <c r="U30" s="368"/>
      <c r="V30" s="25"/>
      <c r="W30" s="25"/>
    </row>
    <row r="31" spans="1:23" x14ac:dyDescent="0.25">
      <c r="A31" s="724">
        <v>5420</v>
      </c>
      <c r="B31" s="397" t="s">
        <v>753</v>
      </c>
      <c r="C31" s="377">
        <v>1000</v>
      </c>
      <c r="D31" s="377">
        <v>1500</v>
      </c>
      <c r="E31" s="377">
        <v>1500</v>
      </c>
      <c r="F31" s="194"/>
      <c r="G31" s="194"/>
      <c r="H31" s="194"/>
      <c r="I31" s="194"/>
      <c r="J31" s="194"/>
      <c r="K31" s="194"/>
      <c r="L31" s="194"/>
      <c r="O31" s="366">
        <f>+O14</f>
        <v>100</v>
      </c>
      <c r="P31" s="392">
        <f>+S14</f>
        <v>100</v>
      </c>
      <c r="Q31" s="368">
        <f>+P31-O31</f>
        <v>0</v>
      </c>
      <c r="R31" s="374" t="str">
        <f>IF(O31+P31&lt;&gt;0,IF(O31&lt;&gt;0,IF(Q31&lt;&gt;0,ROUND((+Q31/O31),4),""),1),"")</f>
        <v/>
      </c>
      <c r="S31" s="367"/>
      <c r="T31" s="553"/>
      <c r="U31" s="368"/>
      <c r="V31" s="25"/>
      <c r="W31" s="25"/>
    </row>
    <row r="32" spans="1:23" x14ac:dyDescent="0.25">
      <c r="A32" s="724">
        <v>5710</v>
      </c>
      <c r="B32" s="397" t="s">
        <v>758</v>
      </c>
      <c r="C32" s="373">
        <v>1000</v>
      </c>
      <c r="D32" s="373">
        <v>1500</v>
      </c>
      <c r="E32" s="373">
        <v>1500</v>
      </c>
      <c r="F32" s="194"/>
      <c r="G32" s="194"/>
      <c r="H32" s="194"/>
      <c r="I32" s="194"/>
      <c r="J32" s="194"/>
      <c r="K32" s="194"/>
      <c r="L32" s="194"/>
      <c r="O32" s="366">
        <f>+O15</f>
        <v>125</v>
      </c>
      <c r="P32" s="392">
        <f>+S15</f>
        <v>150</v>
      </c>
      <c r="Q32" s="368">
        <f>+P32-O32</f>
        <v>25</v>
      </c>
      <c r="R32" s="374">
        <f>IF(O32+P32&lt;&gt;0,IF(O32&lt;&gt;0,IF(Q32&lt;&gt;0,ROUND((+Q32/O32),4),""),1),"")</f>
        <v>0.2</v>
      </c>
      <c r="S32" s="367"/>
      <c r="T32" s="553"/>
      <c r="U32" s="368"/>
      <c r="V32" s="25"/>
      <c r="W32" s="25"/>
    </row>
    <row r="33" spans="1:23" x14ac:dyDescent="0.25">
      <c r="A33" s="724">
        <v>5730</v>
      </c>
      <c r="B33" s="397" t="s">
        <v>759</v>
      </c>
      <c r="C33" s="373">
        <v>1050</v>
      </c>
      <c r="D33" s="373">
        <v>1100</v>
      </c>
      <c r="E33" s="373">
        <v>1100</v>
      </c>
      <c r="F33" s="194"/>
      <c r="G33" s="194"/>
      <c r="H33" s="194"/>
      <c r="I33" s="194"/>
      <c r="J33" s="194"/>
      <c r="K33" s="194"/>
      <c r="L33" s="194"/>
      <c r="O33" s="366">
        <f>+O16</f>
        <v>185</v>
      </c>
      <c r="P33" s="392">
        <f>+S16</f>
        <v>200</v>
      </c>
      <c r="Q33" s="368">
        <f>+P33-O33</f>
        <v>15</v>
      </c>
      <c r="R33" s="374">
        <f>IF(O33+P33&lt;&gt;0,IF(O33&lt;&gt;0,IF(Q33&lt;&gt;0,ROUND((+Q33/O33),4),""),1),"")</f>
        <v>8.1100000000000005E-2</v>
      </c>
      <c r="S33" s="367"/>
      <c r="T33" s="553"/>
      <c r="U33" s="368"/>
      <c r="V33" s="25"/>
      <c r="W33" s="25"/>
    </row>
    <row r="34" spans="1:23" x14ac:dyDescent="0.25">
      <c r="A34" s="703"/>
      <c r="B34" s="4"/>
      <c r="C34" s="23"/>
      <c r="D34" s="23"/>
      <c r="E34" s="23"/>
      <c r="F34" s="23"/>
      <c r="G34" s="23"/>
      <c r="H34" s="23"/>
      <c r="I34" s="23"/>
      <c r="J34" s="23"/>
      <c r="K34" s="23"/>
      <c r="L34" s="23"/>
      <c r="O34" s="23"/>
      <c r="P34" s="23"/>
      <c r="Q34" s="23"/>
      <c r="R34" s="25"/>
      <c r="S34" s="23"/>
      <c r="T34" s="23"/>
      <c r="U34" s="25"/>
      <c r="V34" s="25"/>
      <c r="W34" s="25"/>
    </row>
    <row r="35" spans="1:23" x14ac:dyDescent="0.25">
      <c r="A35" s="703"/>
      <c r="B35" s="4"/>
      <c r="C35" s="23"/>
      <c r="D35" s="23"/>
      <c r="E35" s="23"/>
      <c r="F35" s="23"/>
      <c r="G35" s="23"/>
      <c r="H35" s="23"/>
      <c r="I35" s="23"/>
      <c r="J35" s="23"/>
      <c r="K35" s="23"/>
      <c r="L35" s="23"/>
      <c r="O35" s="597">
        <f>SUM(O26:O34)</f>
        <v>2000</v>
      </c>
      <c r="P35" s="597">
        <f>SUM(P26:P34)</f>
        <v>600</v>
      </c>
      <c r="Q35" s="23"/>
      <c r="R35" s="25"/>
      <c r="S35" s="23"/>
      <c r="T35" s="23"/>
      <c r="U35" s="25"/>
      <c r="V35" s="25"/>
      <c r="W35" s="25"/>
    </row>
    <row r="36" spans="1:23" x14ac:dyDescent="0.25">
      <c r="A36" s="703"/>
      <c r="B36" s="4"/>
      <c r="C36" s="23"/>
      <c r="D36" s="23"/>
      <c r="E36" s="23"/>
      <c r="F36" s="23"/>
      <c r="G36" s="23"/>
      <c r="H36" s="23"/>
      <c r="I36" s="23"/>
      <c r="J36" s="23"/>
      <c r="K36" s="23"/>
      <c r="L36" s="23"/>
      <c r="M36" s="1089"/>
      <c r="N36" s="23"/>
      <c r="O36" s="23"/>
      <c r="P36" s="23"/>
      <c r="Q36" s="23"/>
      <c r="R36" s="25"/>
      <c r="S36" s="23"/>
      <c r="T36" s="23"/>
      <c r="U36" s="25"/>
      <c r="V36" s="25"/>
      <c r="W36" s="25"/>
    </row>
    <row r="37" spans="1:23" x14ac:dyDescent="0.25">
      <c r="A37" s="703"/>
      <c r="B37" s="4"/>
      <c r="C37" s="23"/>
      <c r="D37" s="23"/>
      <c r="E37" s="23"/>
      <c r="F37" s="23"/>
      <c r="G37" s="23"/>
      <c r="H37" s="23"/>
      <c r="I37" s="23"/>
      <c r="J37" s="23"/>
      <c r="K37" s="23"/>
      <c r="L37" s="23"/>
      <c r="M37" s="23"/>
      <c r="N37" s="23"/>
      <c r="O37" s="23"/>
      <c r="P37" s="23"/>
      <c r="Q37" s="23"/>
      <c r="R37" s="25"/>
      <c r="S37" s="23"/>
      <c r="T37" s="23"/>
      <c r="U37" s="25"/>
      <c r="V37" s="25"/>
      <c r="W37" s="25"/>
    </row>
    <row r="38" spans="1:23" x14ac:dyDescent="0.25">
      <c r="A38" s="703"/>
      <c r="B38" s="4"/>
      <c r="C38" s="23"/>
      <c r="D38" s="23"/>
      <c r="E38" s="23"/>
      <c r="F38" s="23"/>
      <c r="G38" s="23"/>
      <c r="H38" s="23"/>
      <c r="I38" s="23"/>
      <c r="J38" s="23"/>
      <c r="K38" s="23"/>
      <c r="L38" s="23"/>
      <c r="M38" s="23"/>
      <c r="N38" s="23"/>
      <c r="O38" s="23"/>
      <c r="P38" s="23"/>
      <c r="Q38" s="23"/>
      <c r="R38" s="25"/>
      <c r="S38" s="23"/>
      <c r="T38" s="23"/>
      <c r="U38" s="25"/>
      <c r="V38" s="25"/>
      <c r="W38" s="25"/>
    </row>
    <row r="39" spans="1:23" x14ac:dyDescent="0.25">
      <c r="A39" s="703"/>
      <c r="B39" s="4"/>
      <c r="C39" s="23"/>
      <c r="D39" s="23"/>
      <c r="E39" s="23"/>
      <c r="F39" s="23"/>
      <c r="G39" s="23"/>
      <c r="H39" s="23"/>
      <c r="I39" s="23"/>
      <c r="J39" s="23"/>
      <c r="K39" s="23"/>
      <c r="L39" s="23"/>
      <c r="M39" s="23"/>
      <c r="N39" s="23"/>
      <c r="O39" s="23"/>
      <c r="P39" s="23"/>
      <c r="Q39" s="23"/>
      <c r="R39" s="25"/>
      <c r="S39" s="23"/>
      <c r="T39" s="23"/>
      <c r="U39" s="25"/>
      <c r="V39" s="25"/>
      <c r="W39" s="25"/>
    </row>
    <row r="40" spans="1:23" x14ac:dyDescent="0.25">
      <c r="A40" s="703"/>
      <c r="B40" s="4"/>
      <c r="C40" s="23"/>
      <c r="D40" s="23"/>
      <c r="E40" s="23"/>
      <c r="F40" s="23"/>
      <c r="G40" s="23"/>
      <c r="H40" s="23"/>
      <c r="I40" s="23"/>
      <c r="J40" s="23"/>
      <c r="K40" s="23"/>
      <c r="L40" s="23"/>
      <c r="M40" s="23"/>
      <c r="N40" s="23"/>
      <c r="O40" s="23"/>
      <c r="P40" s="23"/>
      <c r="Q40" s="23"/>
      <c r="R40" s="25"/>
      <c r="S40" s="23"/>
      <c r="T40" s="23"/>
      <c r="U40" s="25"/>
      <c r="V40" s="25"/>
      <c r="W40" s="25"/>
    </row>
    <row r="41" spans="1:23" x14ac:dyDescent="0.25">
      <c r="A41" s="703"/>
      <c r="B41" s="4"/>
      <c r="C41" s="23"/>
      <c r="D41" s="23"/>
      <c r="E41" s="23"/>
      <c r="F41" s="23"/>
      <c r="G41" s="23"/>
      <c r="H41" s="23"/>
      <c r="I41" s="23"/>
      <c r="J41" s="23"/>
      <c r="K41" s="23"/>
      <c r="L41" s="23"/>
      <c r="M41" s="23"/>
      <c r="N41" s="23"/>
      <c r="O41" s="23"/>
      <c r="P41" s="23"/>
      <c r="Q41" s="23"/>
      <c r="R41" s="25"/>
      <c r="S41" s="23"/>
      <c r="T41" s="23"/>
      <c r="U41" s="25"/>
      <c r="V41" s="25"/>
      <c r="W41" s="25"/>
    </row>
    <row r="42" spans="1:23" x14ac:dyDescent="0.25">
      <c r="A42" s="703"/>
      <c r="B42" s="4"/>
      <c r="C42" s="23"/>
      <c r="D42" s="23"/>
      <c r="E42" s="23"/>
      <c r="F42" s="23"/>
      <c r="G42" s="23"/>
      <c r="H42" s="23"/>
      <c r="I42" s="23"/>
      <c r="J42" s="23"/>
      <c r="K42" s="23"/>
      <c r="L42" s="23"/>
      <c r="M42" s="23"/>
      <c r="N42" s="23"/>
      <c r="O42" s="23"/>
      <c r="P42" s="23"/>
      <c r="Q42" s="23"/>
      <c r="R42" s="25"/>
      <c r="S42" s="23"/>
      <c r="T42" s="23"/>
      <c r="U42" s="25"/>
      <c r="V42" s="25"/>
      <c r="W42" s="25"/>
    </row>
    <row r="43" spans="1:23" x14ac:dyDescent="0.25">
      <c r="A43" s="703"/>
      <c r="B43" s="4"/>
      <c r="C43" s="23"/>
      <c r="D43" s="23"/>
      <c r="E43" s="23"/>
      <c r="F43" s="23"/>
      <c r="G43" s="23"/>
      <c r="H43" s="23"/>
      <c r="I43" s="23"/>
      <c r="J43" s="23"/>
      <c r="K43" s="23"/>
      <c r="L43" s="23"/>
      <c r="M43" s="23"/>
      <c r="N43" s="23"/>
      <c r="O43" s="23"/>
      <c r="P43" s="23"/>
      <c r="Q43" s="23"/>
      <c r="R43" s="25"/>
      <c r="S43" s="23"/>
      <c r="T43" s="23"/>
      <c r="U43" s="25"/>
      <c r="V43" s="25"/>
      <c r="W43" s="25"/>
    </row>
    <row r="44" spans="1:23" x14ac:dyDescent="0.25">
      <c r="A44" s="703"/>
      <c r="B44" s="4"/>
      <c r="C44" s="23"/>
      <c r="D44" s="23"/>
      <c r="E44" s="23"/>
      <c r="F44" s="23"/>
      <c r="G44" s="23"/>
      <c r="H44" s="23"/>
      <c r="I44" s="23"/>
      <c r="J44" s="23"/>
      <c r="K44" s="23"/>
      <c r="L44" s="23"/>
      <c r="M44" s="23"/>
      <c r="N44" s="23"/>
      <c r="O44" s="23"/>
      <c r="P44" s="23"/>
      <c r="Q44" s="23"/>
      <c r="R44" s="25"/>
      <c r="S44" s="23"/>
      <c r="T44" s="23"/>
      <c r="U44" s="25"/>
      <c r="V44" s="25"/>
      <c r="W44" s="25"/>
    </row>
    <row r="45" spans="1:23" x14ac:dyDescent="0.25">
      <c r="A45" s="703"/>
      <c r="B45" s="4"/>
      <c r="C45" s="23"/>
      <c r="D45" s="23"/>
      <c r="E45" s="23"/>
      <c r="F45" s="23"/>
      <c r="G45" s="23"/>
      <c r="H45" s="23"/>
      <c r="I45" s="23"/>
      <c r="J45" s="23"/>
      <c r="K45" s="23"/>
      <c r="L45" s="23"/>
      <c r="M45" s="23"/>
      <c r="N45" s="23"/>
      <c r="O45" s="23"/>
      <c r="P45" s="23"/>
      <c r="Q45" s="23"/>
      <c r="R45" s="25"/>
      <c r="S45" s="23"/>
      <c r="T45" s="23"/>
      <c r="U45" s="25"/>
      <c r="V45" s="25"/>
      <c r="W45" s="25"/>
    </row>
    <row r="46" spans="1:23" x14ac:dyDescent="0.25">
      <c r="A46" s="703"/>
      <c r="B46" s="4"/>
      <c r="C46" s="23"/>
      <c r="D46" s="23"/>
      <c r="E46" s="23"/>
      <c r="F46" s="23"/>
      <c r="G46" s="23"/>
      <c r="H46" s="23"/>
      <c r="I46" s="23"/>
      <c r="J46" s="23"/>
      <c r="K46" s="23"/>
      <c r="L46" s="23"/>
      <c r="M46" s="23"/>
      <c r="N46" s="23"/>
      <c r="O46" s="23"/>
      <c r="P46" s="23"/>
      <c r="Q46" s="23"/>
      <c r="R46" s="25"/>
      <c r="S46" s="23"/>
      <c r="T46" s="23"/>
      <c r="U46" s="25"/>
      <c r="V46" s="25"/>
      <c r="W46" s="25"/>
    </row>
    <row r="47" spans="1:23" x14ac:dyDescent="0.25">
      <c r="A47" s="703"/>
      <c r="B47" s="4"/>
      <c r="C47" s="23"/>
      <c r="D47" s="23"/>
      <c r="E47" s="23"/>
      <c r="F47" s="23"/>
      <c r="G47" s="23"/>
      <c r="H47" s="23"/>
      <c r="I47" s="23"/>
      <c r="J47" s="23"/>
      <c r="K47" s="23"/>
      <c r="L47" s="23"/>
      <c r="M47" s="23"/>
      <c r="N47" s="23"/>
      <c r="O47" s="23"/>
      <c r="P47" s="23"/>
      <c r="Q47" s="23"/>
      <c r="R47" s="25"/>
      <c r="S47" s="23"/>
      <c r="T47" s="23"/>
      <c r="U47" s="25"/>
      <c r="V47" s="25"/>
      <c r="W47" s="25"/>
    </row>
    <row r="48" spans="1:23" x14ac:dyDescent="0.25">
      <c r="A48" s="703"/>
      <c r="B48" s="4"/>
      <c r="C48" s="23"/>
      <c r="D48" s="23"/>
      <c r="E48" s="23"/>
      <c r="F48" s="23"/>
      <c r="G48" s="23"/>
      <c r="H48" s="23"/>
      <c r="I48" s="23"/>
      <c r="J48" s="23"/>
      <c r="K48" s="23"/>
      <c r="L48" s="23"/>
      <c r="M48" s="23"/>
      <c r="N48" s="23"/>
      <c r="O48" s="23"/>
      <c r="P48" s="23"/>
      <c r="Q48" s="23"/>
      <c r="R48" s="4"/>
      <c r="S48" s="23"/>
      <c r="T48" s="23"/>
      <c r="U48" s="4"/>
      <c r="V48" s="4"/>
      <c r="W48" s="4"/>
    </row>
    <row r="49" spans="1:23" x14ac:dyDescent="0.25">
      <c r="A49" s="703"/>
      <c r="B49" s="4"/>
      <c r="C49" s="23"/>
      <c r="D49" s="23"/>
      <c r="E49" s="23"/>
      <c r="F49" s="23"/>
      <c r="G49" s="23"/>
      <c r="H49" s="23"/>
      <c r="I49" s="23"/>
      <c r="J49" s="23"/>
      <c r="K49" s="23"/>
      <c r="L49" s="23"/>
      <c r="M49" s="23"/>
      <c r="N49" s="23"/>
      <c r="O49" s="23"/>
      <c r="P49" s="23"/>
      <c r="Q49" s="23"/>
      <c r="R49" s="4"/>
      <c r="S49" s="23"/>
      <c r="T49" s="23"/>
      <c r="U49" s="4"/>
      <c r="V49" s="4"/>
      <c r="W49" s="4"/>
    </row>
    <row r="50" spans="1:23" x14ac:dyDescent="0.25">
      <c r="A50" s="703"/>
      <c r="B50" s="4"/>
      <c r="C50" s="23"/>
      <c r="D50" s="23"/>
      <c r="E50" s="23"/>
      <c r="F50" s="23"/>
      <c r="G50" s="23"/>
      <c r="H50" s="23"/>
      <c r="I50" s="23"/>
      <c r="J50" s="23"/>
      <c r="K50" s="23"/>
      <c r="L50" s="23"/>
      <c r="M50" s="23"/>
      <c r="N50" s="23"/>
      <c r="O50" s="23"/>
      <c r="P50" s="23"/>
      <c r="Q50" s="23"/>
      <c r="R50" s="4"/>
      <c r="S50" s="23"/>
      <c r="T50" s="23"/>
      <c r="U50" s="4"/>
      <c r="V50" s="4"/>
      <c r="W50" s="4"/>
    </row>
    <row r="51" spans="1:23" x14ac:dyDescent="0.25">
      <c r="A51" s="703"/>
      <c r="B51" s="4"/>
      <c r="C51" s="23"/>
      <c r="D51" s="23"/>
      <c r="E51" s="23"/>
      <c r="F51" s="23"/>
      <c r="G51" s="23"/>
      <c r="H51" s="23"/>
      <c r="I51" s="23"/>
      <c r="J51" s="23"/>
      <c r="K51" s="23"/>
      <c r="L51" s="23"/>
      <c r="M51" s="23"/>
      <c r="N51" s="23"/>
      <c r="O51" s="23"/>
      <c r="P51" s="23"/>
      <c r="Q51" s="23"/>
      <c r="R51" s="4"/>
      <c r="S51" s="23"/>
      <c r="T51" s="23"/>
      <c r="U51" s="4"/>
      <c r="V51" s="4"/>
      <c r="W51" s="4"/>
    </row>
    <row r="52" spans="1:23" x14ac:dyDescent="0.25">
      <c r="A52" s="703"/>
      <c r="B52" s="4"/>
      <c r="C52" s="23"/>
      <c r="D52" s="23"/>
      <c r="E52" s="23"/>
      <c r="F52" s="23"/>
      <c r="G52" s="23"/>
      <c r="H52" s="23"/>
      <c r="I52" s="23"/>
      <c r="J52" s="23"/>
      <c r="K52" s="23"/>
      <c r="L52" s="23"/>
      <c r="M52" s="23"/>
      <c r="N52" s="23"/>
      <c r="O52" s="23"/>
      <c r="P52" s="23"/>
      <c r="Q52" s="23"/>
      <c r="R52" s="4"/>
      <c r="S52" s="23"/>
      <c r="T52" s="23"/>
      <c r="U52" s="4"/>
      <c r="V52" s="4"/>
      <c r="W52" s="4"/>
    </row>
    <row r="53" spans="1:23" x14ac:dyDescent="0.25">
      <c r="A53" s="703"/>
      <c r="B53" s="4"/>
      <c r="C53" s="23"/>
      <c r="D53" s="23"/>
      <c r="E53" s="23"/>
      <c r="F53" s="23"/>
      <c r="G53" s="23"/>
      <c r="H53" s="23"/>
      <c r="I53" s="23"/>
      <c r="J53" s="23"/>
      <c r="K53" s="23"/>
      <c r="L53" s="23"/>
      <c r="M53" s="23"/>
      <c r="N53" s="23"/>
      <c r="O53" s="23"/>
      <c r="P53" s="23"/>
      <c r="Q53" s="23"/>
      <c r="R53" s="4"/>
      <c r="S53" s="23"/>
      <c r="T53" s="23"/>
      <c r="U53" s="4"/>
      <c r="V53" s="4"/>
      <c r="W53" s="4"/>
    </row>
    <row r="54" spans="1:23" x14ac:dyDescent="0.25">
      <c r="A54" s="703"/>
      <c r="B54" s="4"/>
      <c r="C54" s="23"/>
      <c r="D54" s="23"/>
      <c r="E54" s="23"/>
      <c r="F54" s="23"/>
      <c r="G54" s="23"/>
      <c r="H54" s="23"/>
      <c r="I54" s="23"/>
      <c r="J54" s="23"/>
      <c r="K54" s="23"/>
      <c r="L54" s="23"/>
      <c r="M54" s="23"/>
      <c r="N54" s="23"/>
      <c r="O54" s="23"/>
      <c r="P54" s="23"/>
      <c r="Q54" s="23"/>
      <c r="R54" s="4"/>
      <c r="S54" s="23"/>
      <c r="T54" s="23"/>
      <c r="U54" s="4"/>
      <c r="V54" s="4"/>
      <c r="W54" s="4"/>
    </row>
    <row r="55" spans="1:23" x14ac:dyDescent="0.25">
      <c r="A55" s="703"/>
      <c r="B55" s="4"/>
      <c r="C55" s="23"/>
      <c r="D55" s="23"/>
      <c r="E55" s="23"/>
      <c r="F55" s="23"/>
      <c r="G55" s="23"/>
      <c r="H55" s="23"/>
      <c r="I55" s="23"/>
      <c r="J55" s="23"/>
      <c r="K55" s="23"/>
      <c r="L55" s="23"/>
      <c r="M55" s="23"/>
      <c r="N55" s="23"/>
      <c r="O55" s="23"/>
      <c r="P55" s="23"/>
      <c r="Q55" s="23"/>
      <c r="R55" s="4"/>
      <c r="S55" s="23"/>
      <c r="T55" s="23"/>
      <c r="U55" s="4"/>
      <c r="V55" s="4"/>
      <c r="W55" s="4"/>
    </row>
    <row r="56" spans="1:23" x14ac:dyDescent="0.25">
      <c r="A56" s="703"/>
      <c r="B56" s="4"/>
      <c r="C56" s="23"/>
      <c r="D56" s="23"/>
      <c r="E56" s="23"/>
      <c r="F56" s="23"/>
      <c r="G56" s="23"/>
      <c r="H56" s="23"/>
      <c r="I56" s="23"/>
      <c r="J56" s="23"/>
      <c r="K56" s="23"/>
      <c r="L56" s="23"/>
      <c r="M56" s="23"/>
      <c r="N56" s="23"/>
      <c r="O56" s="23"/>
      <c r="P56" s="23"/>
      <c r="Q56" s="23"/>
      <c r="R56" s="4"/>
      <c r="S56" s="23"/>
      <c r="T56" s="23"/>
      <c r="U56" s="4"/>
      <c r="V56" s="4"/>
      <c r="W56" s="4"/>
    </row>
    <row r="57" spans="1:23" x14ac:dyDescent="0.25">
      <c r="A57" s="703"/>
      <c r="B57" s="4"/>
      <c r="C57" s="23"/>
      <c r="D57" s="23"/>
      <c r="E57" s="23"/>
      <c r="F57" s="23"/>
      <c r="G57" s="23"/>
      <c r="H57" s="23"/>
      <c r="I57" s="23"/>
      <c r="J57" s="23"/>
      <c r="K57" s="23"/>
      <c r="L57" s="23"/>
      <c r="M57" s="23"/>
      <c r="N57" s="23"/>
      <c r="O57" s="23"/>
      <c r="P57" s="23"/>
      <c r="Q57" s="23"/>
      <c r="R57" s="4"/>
      <c r="S57" s="23"/>
      <c r="T57" s="23"/>
      <c r="U57" s="4"/>
      <c r="V57" s="4"/>
      <c r="W57" s="4"/>
    </row>
    <row r="58" spans="1:23" x14ac:dyDescent="0.25">
      <c r="A58" s="703"/>
      <c r="B58" s="4"/>
      <c r="C58" s="23"/>
      <c r="D58" s="23"/>
      <c r="E58" s="23"/>
      <c r="F58" s="23"/>
      <c r="G58" s="23"/>
      <c r="H58" s="23"/>
      <c r="I58" s="23"/>
      <c r="J58" s="23"/>
      <c r="K58" s="23"/>
      <c r="L58" s="23"/>
      <c r="M58" s="23"/>
      <c r="N58" s="23"/>
      <c r="O58" s="23"/>
      <c r="P58" s="23"/>
      <c r="Q58" s="23"/>
      <c r="R58" s="4"/>
      <c r="S58" s="23"/>
      <c r="T58" s="23"/>
      <c r="U58" s="4"/>
      <c r="V58" s="4"/>
      <c r="W58" s="4"/>
    </row>
    <row r="59" spans="1:23" x14ac:dyDescent="0.25">
      <c r="A59" s="703"/>
      <c r="B59" s="4"/>
      <c r="C59" s="23"/>
      <c r="D59" s="23"/>
      <c r="E59" s="23"/>
      <c r="F59" s="23"/>
      <c r="G59" s="23"/>
      <c r="H59" s="23"/>
      <c r="I59" s="23"/>
      <c r="J59" s="23"/>
      <c r="K59" s="23"/>
      <c r="L59" s="23"/>
      <c r="M59" s="23"/>
      <c r="N59" s="23"/>
      <c r="O59" s="23"/>
      <c r="P59" s="23"/>
      <c r="Q59" s="23"/>
      <c r="R59" s="4"/>
      <c r="S59" s="23"/>
      <c r="T59" s="23"/>
      <c r="U59" s="4"/>
      <c r="V59" s="4"/>
      <c r="W59" s="4"/>
    </row>
    <row r="60" spans="1:23" x14ac:dyDescent="0.25">
      <c r="A60" s="703"/>
      <c r="B60" s="4"/>
      <c r="C60" s="23"/>
      <c r="D60" s="23"/>
      <c r="E60" s="23"/>
      <c r="F60" s="23"/>
      <c r="G60" s="23"/>
      <c r="H60" s="23"/>
      <c r="I60" s="23"/>
      <c r="J60" s="23"/>
      <c r="K60" s="23"/>
      <c r="L60" s="23"/>
      <c r="M60" s="23"/>
      <c r="N60" s="23"/>
      <c r="O60" s="23"/>
      <c r="P60" s="23"/>
      <c r="Q60" s="23"/>
      <c r="R60" s="4"/>
      <c r="S60" s="23"/>
      <c r="T60" s="23"/>
      <c r="U60" s="4"/>
      <c r="V60" s="4"/>
      <c r="W60" s="4"/>
    </row>
    <row r="61" spans="1:23" x14ac:dyDescent="0.25">
      <c r="A61" s="703"/>
      <c r="B61" s="4"/>
      <c r="C61" s="23"/>
      <c r="D61" s="23"/>
      <c r="E61" s="23"/>
      <c r="F61" s="23"/>
      <c r="G61" s="23"/>
      <c r="H61" s="23"/>
      <c r="I61" s="23"/>
      <c r="J61" s="23"/>
      <c r="K61" s="23"/>
      <c r="L61" s="23"/>
      <c r="M61" s="23"/>
      <c r="N61" s="23"/>
      <c r="O61" s="23"/>
      <c r="P61" s="23"/>
      <c r="Q61" s="23"/>
      <c r="R61" s="4"/>
      <c r="S61" s="23"/>
      <c r="T61" s="23"/>
      <c r="U61" s="4"/>
      <c r="V61" s="4"/>
      <c r="W61" s="4"/>
    </row>
    <row r="62" spans="1:23" x14ac:dyDescent="0.25">
      <c r="A62" s="703"/>
      <c r="B62" s="4"/>
      <c r="C62" s="23"/>
      <c r="D62" s="23"/>
      <c r="E62" s="23"/>
      <c r="F62" s="23"/>
      <c r="G62" s="23"/>
      <c r="H62" s="23"/>
      <c r="I62" s="23"/>
      <c r="J62" s="23"/>
      <c r="K62" s="23"/>
      <c r="L62" s="23"/>
      <c r="M62" s="23"/>
      <c r="N62" s="23"/>
      <c r="O62" s="23"/>
      <c r="P62" s="23"/>
      <c r="Q62" s="23"/>
      <c r="R62" s="4"/>
      <c r="S62" s="23"/>
      <c r="T62" s="23"/>
      <c r="U62" s="4"/>
      <c r="V62" s="4"/>
      <c r="W62" s="4"/>
    </row>
    <row r="63" spans="1:23" x14ac:dyDescent="0.25">
      <c r="A63" s="703"/>
      <c r="B63" s="4"/>
      <c r="C63" s="23"/>
      <c r="D63" s="23"/>
      <c r="E63" s="23"/>
      <c r="F63" s="23"/>
      <c r="G63" s="23"/>
      <c r="H63" s="23"/>
      <c r="I63" s="23"/>
      <c r="J63" s="23"/>
      <c r="K63" s="23"/>
      <c r="L63" s="23"/>
      <c r="M63" s="23"/>
      <c r="N63" s="23"/>
      <c r="O63" s="23"/>
      <c r="P63" s="23"/>
      <c r="Q63" s="23"/>
      <c r="R63" s="4"/>
      <c r="S63" s="23"/>
      <c r="T63" s="23"/>
      <c r="U63" s="4"/>
      <c r="V63" s="4"/>
      <c r="W63" s="4"/>
    </row>
    <row r="64" spans="1:23" x14ac:dyDescent="0.25">
      <c r="A64" s="703"/>
      <c r="B64" s="4"/>
      <c r="C64" s="23"/>
      <c r="D64" s="23"/>
      <c r="E64" s="23"/>
      <c r="F64" s="23"/>
      <c r="G64" s="23"/>
      <c r="H64" s="23"/>
      <c r="I64" s="23"/>
      <c r="J64" s="23"/>
      <c r="K64" s="23"/>
      <c r="L64" s="23"/>
      <c r="M64" s="23"/>
      <c r="N64" s="23"/>
      <c r="O64" s="23"/>
      <c r="P64" s="23"/>
      <c r="Q64" s="23"/>
      <c r="R64" s="4"/>
      <c r="S64" s="23"/>
      <c r="T64" s="23"/>
      <c r="U64" s="4"/>
      <c r="V64" s="4"/>
      <c r="W64" s="4"/>
    </row>
    <row r="65" spans="1:23" x14ac:dyDescent="0.25">
      <c r="A65" s="703"/>
      <c r="B65" s="4"/>
      <c r="C65" s="23"/>
      <c r="D65" s="23"/>
      <c r="E65" s="23"/>
      <c r="F65" s="23"/>
      <c r="G65" s="23"/>
      <c r="H65" s="23"/>
      <c r="I65" s="23"/>
      <c r="J65" s="23"/>
      <c r="K65" s="23"/>
      <c r="L65" s="23"/>
      <c r="M65" s="23"/>
      <c r="N65" s="23"/>
      <c r="O65" s="23"/>
      <c r="P65" s="23"/>
      <c r="Q65" s="23"/>
      <c r="R65" s="4"/>
      <c r="S65" s="23"/>
      <c r="T65" s="23"/>
      <c r="U65" s="4"/>
      <c r="V65" s="4"/>
      <c r="W65" s="4"/>
    </row>
    <row r="66" spans="1:23" x14ac:dyDescent="0.25">
      <c r="A66" s="703"/>
      <c r="B66" s="4"/>
      <c r="C66" s="23"/>
      <c r="D66" s="23"/>
      <c r="E66" s="23"/>
      <c r="F66" s="23"/>
      <c r="G66" s="23"/>
      <c r="H66" s="23"/>
      <c r="I66" s="23"/>
      <c r="J66" s="23"/>
      <c r="K66" s="23"/>
      <c r="L66" s="23"/>
      <c r="M66" s="23"/>
      <c r="N66" s="23"/>
      <c r="O66" s="23"/>
      <c r="P66" s="23"/>
      <c r="Q66" s="23"/>
      <c r="R66" s="4"/>
      <c r="S66" s="23"/>
      <c r="T66" s="23"/>
      <c r="U66" s="4"/>
      <c r="V66" s="4"/>
      <c r="W66" s="4"/>
    </row>
    <row r="67" spans="1:23" x14ac:dyDescent="0.25">
      <c r="A67" s="703"/>
      <c r="B67" s="4"/>
      <c r="C67" s="23"/>
      <c r="D67" s="23"/>
      <c r="E67" s="23"/>
      <c r="F67" s="23"/>
      <c r="G67" s="23"/>
      <c r="H67" s="23"/>
      <c r="I67" s="23"/>
      <c r="J67" s="23"/>
      <c r="K67" s="23"/>
      <c r="L67" s="23"/>
      <c r="M67" s="23"/>
      <c r="N67" s="23"/>
      <c r="O67" s="23"/>
      <c r="P67" s="23"/>
      <c r="Q67" s="23"/>
      <c r="R67" s="4"/>
      <c r="S67" s="23"/>
      <c r="T67" s="23"/>
      <c r="U67" s="4"/>
      <c r="V67" s="4"/>
      <c r="W67" s="4"/>
    </row>
    <row r="68" spans="1:23" x14ac:dyDescent="0.25">
      <c r="A68" s="703"/>
      <c r="B68" s="4"/>
      <c r="C68" s="23"/>
      <c r="D68" s="23"/>
      <c r="E68" s="23"/>
      <c r="F68" s="23"/>
      <c r="G68" s="23"/>
      <c r="H68" s="23"/>
      <c r="I68" s="23"/>
      <c r="J68" s="23"/>
      <c r="K68" s="23"/>
      <c r="L68" s="23"/>
      <c r="M68" s="23"/>
      <c r="N68" s="23"/>
      <c r="O68" s="23"/>
      <c r="P68" s="23"/>
      <c r="Q68" s="23"/>
      <c r="R68" s="4"/>
      <c r="S68" s="23"/>
      <c r="T68" s="23"/>
      <c r="U68" s="4"/>
      <c r="V68" s="4"/>
      <c r="W68" s="4"/>
    </row>
    <row r="69" spans="1:23" x14ac:dyDescent="0.25">
      <c r="A69" s="703"/>
      <c r="B69" s="4"/>
      <c r="C69" s="23"/>
      <c r="D69" s="23"/>
      <c r="E69" s="23"/>
      <c r="F69" s="23"/>
      <c r="G69" s="23"/>
      <c r="H69" s="23"/>
      <c r="I69" s="23"/>
      <c r="J69" s="23"/>
      <c r="K69" s="23"/>
      <c r="L69" s="23"/>
      <c r="M69" s="23"/>
      <c r="N69" s="23"/>
      <c r="O69" s="23"/>
      <c r="P69" s="23"/>
      <c r="Q69" s="23"/>
      <c r="R69" s="4"/>
      <c r="S69" s="23"/>
      <c r="T69" s="23"/>
      <c r="U69" s="4"/>
      <c r="V69" s="4"/>
      <c r="W69" s="4"/>
    </row>
    <row r="70" spans="1:23" x14ac:dyDescent="0.25">
      <c r="A70" s="703"/>
      <c r="B70" s="4"/>
      <c r="C70" s="23"/>
      <c r="D70" s="23"/>
      <c r="E70" s="23"/>
      <c r="F70" s="23"/>
      <c r="G70" s="23"/>
      <c r="H70" s="23"/>
      <c r="I70" s="23"/>
      <c r="J70" s="23"/>
      <c r="K70" s="23"/>
      <c r="L70" s="23"/>
      <c r="M70" s="23"/>
      <c r="N70" s="23"/>
      <c r="O70" s="23"/>
      <c r="P70" s="23"/>
      <c r="Q70" s="23"/>
      <c r="R70" s="4"/>
      <c r="S70" s="23"/>
      <c r="T70" s="23"/>
      <c r="U70" s="4"/>
      <c r="V70" s="4"/>
      <c r="W70" s="4"/>
    </row>
    <row r="71" spans="1:23" x14ac:dyDescent="0.25">
      <c r="A71" s="703"/>
      <c r="B71" s="4"/>
      <c r="C71" s="23"/>
      <c r="D71" s="23"/>
      <c r="E71" s="23"/>
      <c r="F71" s="23"/>
      <c r="G71" s="23"/>
      <c r="H71" s="23"/>
      <c r="I71" s="23"/>
      <c r="J71" s="23"/>
      <c r="K71" s="23"/>
      <c r="L71" s="23"/>
      <c r="M71" s="23"/>
      <c r="N71" s="23"/>
      <c r="O71" s="23"/>
      <c r="P71" s="23"/>
      <c r="Q71" s="23"/>
      <c r="R71" s="4"/>
      <c r="S71" s="23"/>
      <c r="T71" s="23"/>
      <c r="U71" s="4"/>
      <c r="V71" s="4"/>
      <c r="W71" s="4"/>
    </row>
    <row r="72" spans="1:23" x14ac:dyDescent="0.25">
      <c r="A72" s="703"/>
      <c r="B72" s="4"/>
      <c r="C72" s="23"/>
      <c r="D72" s="23"/>
      <c r="E72" s="23"/>
      <c r="F72" s="23"/>
      <c r="G72" s="23"/>
      <c r="H72" s="23"/>
      <c r="I72" s="23"/>
      <c r="J72" s="23"/>
      <c r="K72" s="23"/>
      <c r="L72" s="23"/>
      <c r="M72" s="23"/>
      <c r="N72" s="23"/>
      <c r="O72" s="23"/>
      <c r="P72" s="23"/>
      <c r="Q72" s="23"/>
      <c r="R72" s="4"/>
      <c r="S72" s="23"/>
      <c r="T72" s="23"/>
      <c r="U72" s="4"/>
      <c r="V72" s="4"/>
      <c r="W72" s="4"/>
    </row>
    <row r="73" spans="1:23" x14ac:dyDescent="0.25">
      <c r="A73" s="703"/>
      <c r="B73" s="4"/>
      <c r="C73" s="23"/>
      <c r="D73" s="23"/>
      <c r="E73" s="23"/>
      <c r="F73" s="23"/>
      <c r="G73" s="23"/>
      <c r="H73" s="23"/>
      <c r="I73" s="23"/>
      <c r="J73" s="23"/>
      <c r="K73" s="23"/>
      <c r="L73" s="23"/>
      <c r="M73" s="23"/>
      <c r="N73" s="23"/>
      <c r="O73" s="23"/>
      <c r="P73" s="23"/>
      <c r="Q73" s="23"/>
      <c r="R73" s="4"/>
      <c r="S73" s="23"/>
      <c r="T73" s="23"/>
      <c r="U73" s="4"/>
      <c r="V73" s="4"/>
      <c r="W73" s="4"/>
    </row>
    <row r="74" spans="1:23" x14ac:dyDescent="0.25">
      <c r="A74" s="703"/>
      <c r="B74" s="4"/>
      <c r="C74" s="23"/>
      <c r="D74" s="23"/>
      <c r="E74" s="23"/>
      <c r="F74" s="23"/>
      <c r="G74" s="23"/>
      <c r="H74" s="23"/>
      <c r="I74" s="23"/>
      <c r="J74" s="23"/>
      <c r="K74" s="23"/>
      <c r="L74" s="23"/>
      <c r="M74" s="23"/>
      <c r="N74" s="23"/>
      <c r="O74" s="23"/>
      <c r="P74" s="23"/>
      <c r="Q74" s="23"/>
      <c r="R74" s="4"/>
      <c r="S74" s="23"/>
      <c r="T74" s="23"/>
      <c r="U74" s="4"/>
      <c r="V74" s="4"/>
      <c r="W74" s="4"/>
    </row>
    <row r="75" spans="1:23" x14ac:dyDescent="0.25">
      <c r="A75" s="703"/>
      <c r="B75" s="4"/>
      <c r="C75" s="23"/>
      <c r="D75" s="23"/>
      <c r="E75" s="23"/>
      <c r="F75" s="23"/>
      <c r="G75" s="23"/>
      <c r="H75" s="23"/>
      <c r="I75" s="23"/>
      <c r="J75" s="23"/>
      <c r="K75" s="23"/>
      <c r="L75" s="23"/>
      <c r="M75" s="23"/>
      <c r="N75" s="23"/>
      <c r="O75" s="23"/>
      <c r="P75" s="23"/>
      <c r="Q75" s="23"/>
      <c r="R75" s="4"/>
      <c r="S75" s="23"/>
      <c r="T75" s="23"/>
      <c r="U75" s="4"/>
      <c r="V75" s="4"/>
      <c r="W75" s="4"/>
    </row>
    <row r="76" spans="1:23" x14ac:dyDescent="0.25">
      <c r="A76" s="703"/>
      <c r="B76" s="4"/>
      <c r="C76" s="23"/>
      <c r="D76" s="23"/>
      <c r="E76" s="23"/>
      <c r="F76" s="23"/>
      <c r="G76" s="23"/>
      <c r="H76" s="23"/>
      <c r="I76" s="23"/>
      <c r="J76" s="23"/>
      <c r="K76" s="23"/>
      <c r="L76" s="23"/>
      <c r="M76" s="23"/>
      <c r="N76" s="23"/>
      <c r="O76" s="23"/>
      <c r="P76" s="23"/>
      <c r="Q76" s="23"/>
      <c r="R76" s="4"/>
      <c r="S76" s="23"/>
      <c r="T76" s="23"/>
      <c r="U76" s="4"/>
      <c r="V76" s="4"/>
      <c r="W76" s="4"/>
    </row>
    <row r="77" spans="1:23" x14ac:dyDescent="0.25">
      <c r="A77" s="703"/>
      <c r="B77" s="4"/>
      <c r="C77" s="23"/>
      <c r="D77" s="23"/>
      <c r="E77" s="23"/>
      <c r="F77" s="23"/>
      <c r="G77" s="23"/>
      <c r="H77" s="23"/>
      <c r="I77" s="23"/>
      <c r="J77" s="23"/>
      <c r="K77" s="23"/>
      <c r="L77" s="23"/>
      <c r="M77" s="23"/>
      <c r="N77" s="23"/>
      <c r="O77" s="23"/>
      <c r="P77" s="23"/>
      <c r="Q77" s="23"/>
      <c r="R77" s="4"/>
      <c r="S77" s="23"/>
      <c r="T77" s="23"/>
      <c r="U77" s="4"/>
      <c r="V77" s="4"/>
      <c r="W77" s="4"/>
    </row>
    <row r="78" spans="1:23" x14ac:dyDescent="0.25">
      <c r="A78" s="703"/>
      <c r="B78" s="4"/>
      <c r="C78" s="23"/>
      <c r="D78" s="23"/>
      <c r="E78" s="23"/>
      <c r="F78" s="23"/>
      <c r="G78" s="23"/>
      <c r="H78" s="23"/>
      <c r="I78" s="23"/>
      <c r="J78" s="23"/>
      <c r="K78" s="23"/>
      <c r="L78" s="23"/>
      <c r="M78" s="23"/>
      <c r="N78" s="23"/>
      <c r="O78" s="23"/>
      <c r="P78" s="23"/>
      <c r="Q78" s="23"/>
      <c r="R78" s="4"/>
      <c r="S78" s="23"/>
      <c r="T78" s="23"/>
      <c r="U78" s="4"/>
      <c r="V78" s="4"/>
      <c r="W78" s="4"/>
    </row>
    <row r="79" spans="1:23" x14ac:dyDescent="0.25">
      <c r="A79" s="703"/>
      <c r="B79" s="4"/>
      <c r="C79" s="23"/>
      <c r="D79" s="23"/>
      <c r="E79" s="23"/>
      <c r="F79" s="23"/>
      <c r="G79" s="23"/>
      <c r="H79" s="23"/>
      <c r="I79" s="23"/>
      <c r="J79" s="23"/>
      <c r="K79" s="23"/>
      <c r="L79" s="23"/>
      <c r="M79" s="23"/>
      <c r="N79" s="23"/>
      <c r="O79" s="23"/>
      <c r="P79" s="23"/>
      <c r="Q79" s="23"/>
      <c r="R79" s="4"/>
      <c r="S79" s="23"/>
      <c r="T79" s="23"/>
      <c r="U79" s="4"/>
      <c r="V79" s="4"/>
      <c r="W79" s="4"/>
    </row>
    <row r="80" spans="1:23" x14ac:dyDescent="0.25">
      <c r="A80" s="703"/>
      <c r="B80" s="4"/>
      <c r="C80" s="23"/>
      <c r="D80" s="23"/>
      <c r="E80" s="23"/>
      <c r="F80" s="23"/>
      <c r="G80" s="23"/>
      <c r="H80" s="23"/>
      <c r="I80" s="23"/>
      <c r="J80" s="23"/>
      <c r="K80" s="23"/>
      <c r="L80" s="23"/>
      <c r="M80" s="23"/>
      <c r="N80" s="23"/>
      <c r="O80" s="23"/>
      <c r="P80" s="23"/>
      <c r="Q80" s="23"/>
      <c r="R80" s="4"/>
      <c r="S80" s="23"/>
      <c r="T80" s="23"/>
      <c r="U80" s="4"/>
      <c r="V80" s="4"/>
      <c r="W80" s="4"/>
    </row>
    <row r="81" spans="1:23" x14ac:dyDescent="0.25">
      <c r="A81" s="703"/>
      <c r="B81" s="4"/>
      <c r="C81" s="23"/>
      <c r="D81" s="23"/>
      <c r="E81" s="23"/>
      <c r="F81" s="23"/>
      <c r="G81" s="23"/>
      <c r="H81" s="23"/>
      <c r="I81" s="23"/>
      <c r="J81" s="23"/>
      <c r="K81" s="23"/>
      <c r="L81" s="23"/>
      <c r="M81" s="23"/>
      <c r="N81" s="23"/>
      <c r="O81" s="23"/>
      <c r="P81" s="23"/>
      <c r="Q81" s="23"/>
      <c r="R81" s="4"/>
      <c r="S81" s="23"/>
      <c r="T81" s="23"/>
      <c r="U81" s="4"/>
      <c r="V81" s="4"/>
      <c r="W81" s="4"/>
    </row>
    <row r="82" spans="1:23" x14ac:dyDescent="0.25">
      <c r="A82" s="703"/>
      <c r="B82" s="4"/>
      <c r="C82" s="23"/>
      <c r="D82" s="23"/>
      <c r="E82" s="23"/>
      <c r="F82" s="23"/>
      <c r="G82" s="23"/>
      <c r="H82" s="23"/>
      <c r="I82" s="23"/>
      <c r="J82" s="23"/>
      <c r="K82" s="23"/>
      <c r="L82" s="23"/>
      <c r="M82" s="23"/>
      <c r="N82" s="23"/>
      <c r="O82" s="23"/>
      <c r="P82" s="23"/>
      <c r="Q82" s="23"/>
      <c r="R82" s="4"/>
      <c r="S82" s="23"/>
      <c r="T82" s="23"/>
      <c r="U82" s="4"/>
      <c r="V82" s="4"/>
      <c r="W82" s="4"/>
    </row>
    <row r="83" spans="1:23" x14ac:dyDescent="0.25">
      <c r="A83" s="703"/>
      <c r="B83" s="4"/>
      <c r="C83" s="23"/>
      <c r="D83" s="23"/>
      <c r="E83" s="23"/>
      <c r="F83" s="23"/>
      <c r="G83" s="23"/>
      <c r="H83" s="23"/>
      <c r="I83" s="23"/>
      <c r="J83" s="23"/>
      <c r="K83" s="23"/>
      <c r="L83" s="23"/>
      <c r="M83" s="23"/>
      <c r="N83" s="23"/>
      <c r="O83" s="23"/>
      <c r="P83" s="23"/>
      <c r="Q83" s="23"/>
      <c r="R83" s="4"/>
      <c r="S83" s="23"/>
      <c r="T83" s="23"/>
      <c r="U83" s="4"/>
      <c r="V83" s="4"/>
      <c r="W83" s="4"/>
    </row>
    <row r="84" spans="1:23" x14ac:dyDescent="0.25">
      <c r="A84" s="703"/>
      <c r="B84" s="4"/>
      <c r="C84" s="23"/>
      <c r="D84" s="23"/>
      <c r="E84" s="23"/>
      <c r="F84" s="23"/>
      <c r="G84" s="23"/>
      <c r="H84" s="23"/>
      <c r="I84" s="23"/>
      <c r="J84" s="23"/>
      <c r="K84" s="23"/>
      <c r="L84" s="23"/>
      <c r="M84" s="23"/>
      <c r="N84" s="23"/>
      <c r="O84" s="23"/>
      <c r="P84" s="23"/>
      <c r="Q84" s="23"/>
      <c r="R84" s="4"/>
      <c r="S84" s="23"/>
      <c r="T84" s="23"/>
      <c r="U84" s="4"/>
      <c r="V84" s="4"/>
      <c r="W84" s="4"/>
    </row>
    <row r="85" spans="1:23" x14ac:dyDescent="0.25">
      <c r="A85" s="703"/>
      <c r="B85" s="4"/>
      <c r="C85" s="23"/>
      <c r="D85" s="23"/>
      <c r="E85" s="23"/>
      <c r="F85" s="23"/>
      <c r="G85" s="23"/>
      <c r="H85" s="23"/>
      <c r="I85" s="23"/>
      <c r="J85" s="23"/>
      <c r="K85" s="23"/>
      <c r="L85" s="23"/>
      <c r="M85" s="23"/>
      <c r="N85" s="23"/>
      <c r="O85" s="23"/>
      <c r="P85" s="23"/>
      <c r="Q85" s="23"/>
      <c r="R85" s="4"/>
      <c r="S85" s="23"/>
      <c r="T85" s="23"/>
      <c r="U85" s="4"/>
      <c r="V85" s="4"/>
      <c r="W85" s="4"/>
    </row>
    <row r="86" spans="1:23" x14ac:dyDescent="0.25">
      <c r="A86" s="703"/>
      <c r="B86" s="4"/>
      <c r="C86" s="23"/>
      <c r="D86" s="23"/>
      <c r="E86" s="23"/>
      <c r="F86" s="23"/>
      <c r="G86" s="23"/>
      <c r="H86" s="23"/>
      <c r="I86" s="23"/>
      <c r="J86" s="23"/>
      <c r="K86" s="23"/>
      <c r="L86" s="23"/>
      <c r="M86" s="23"/>
      <c r="N86" s="23"/>
      <c r="O86" s="23"/>
      <c r="P86" s="23"/>
      <c r="Q86" s="23"/>
      <c r="R86" s="4"/>
      <c r="S86" s="23"/>
      <c r="T86" s="23"/>
      <c r="U86" s="4"/>
      <c r="V86" s="4"/>
      <c r="W86" s="4"/>
    </row>
    <row r="87" spans="1:23" x14ac:dyDescent="0.25">
      <c r="A87" s="703"/>
      <c r="B87" s="4"/>
      <c r="C87" s="23"/>
      <c r="D87" s="23"/>
      <c r="E87" s="23"/>
      <c r="F87" s="23"/>
      <c r="G87" s="23"/>
      <c r="H87" s="23"/>
      <c r="I87" s="23"/>
      <c r="J87" s="23"/>
      <c r="K87" s="23"/>
      <c r="L87" s="23"/>
      <c r="M87" s="23"/>
      <c r="N87" s="23"/>
      <c r="O87" s="23"/>
      <c r="P87" s="23"/>
      <c r="Q87" s="23"/>
      <c r="R87" s="4"/>
      <c r="S87" s="23"/>
      <c r="T87" s="23"/>
      <c r="U87" s="4"/>
      <c r="V87" s="4"/>
      <c r="W87" s="4"/>
    </row>
    <row r="88" spans="1:23" x14ac:dyDescent="0.25">
      <c r="A88" s="703"/>
      <c r="B88" s="4"/>
      <c r="C88" s="23"/>
      <c r="D88" s="23"/>
      <c r="E88" s="23"/>
      <c r="F88" s="23"/>
      <c r="G88" s="23"/>
      <c r="H88" s="23"/>
      <c r="I88" s="23"/>
      <c r="J88" s="23"/>
      <c r="K88" s="23"/>
      <c r="L88" s="23"/>
      <c r="M88" s="23"/>
      <c r="N88" s="23"/>
      <c r="O88" s="23"/>
      <c r="P88" s="23"/>
      <c r="Q88" s="23"/>
      <c r="R88" s="4"/>
      <c r="S88" s="23"/>
      <c r="T88" s="23"/>
      <c r="U88" s="4"/>
      <c r="V88" s="4"/>
      <c r="W88" s="4"/>
    </row>
    <row r="89" spans="1:23" x14ac:dyDescent="0.25">
      <c r="A89" s="703"/>
      <c r="B89" s="4"/>
      <c r="C89" s="23"/>
      <c r="D89" s="23"/>
      <c r="E89" s="23"/>
      <c r="F89" s="23"/>
      <c r="G89" s="23"/>
      <c r="H89" s="23"/>
      <c r="I89" s="23"/>
      <c r="J89" s="23"/>
      <c r="K89" s="23"/>
      <c r="L89" s="23"/>
      <c r="M89" s="23"/>
      <c r="N89" s="23"/>
      <c r="O89" s="23"/>
      <c r="P89" s="23"/>
      <c r="Q89" s="23"/>
      <c r="R89" s="4"/>
      <c r="S89" s="23"/>
      <c r="T89" s="23"/>
      <c r="U89" s="4"/>
      <c r="V89" s="4"/>
      <c r="W89" s="4"/>
    </row>
    <row r="90" spans="1:23" x14ac:dyDescent="0.25">
      <c r="A90" s="703"/>
      <c r="B90" s="4"/>
      <c r="C90" s="23"/>
      <c r="D90" s="23"/>
      <c r="E90" s="23"/>
      <c r="F90" s="23"/>
      <c r="G90" s="23"/>
      <c r="H90" s="23"/>
      <c r="I90" s="23"/>
      <c r="J90" s="23"/>
      <c r="K90" s="23"/>
      <c r="L90" s="23"/>
      <c r="M90" s="23"/>
      <c r="N90" s="23"/>
      <c r="O90" s="23"/>
      <c r="P90" s="23"/>
      <c r="Q90" s="23"/>
      <c r="R90" s="4"/>
      <c r="S90" s="23"/>
      <c r="T90" s="23"/>
      <c r="U90" s="4"/>
      <c r="V90" s="4"/>
      <c r="W90" s="4"/>
    </row>
    <row r="91" spans="1:23" x14ac:dyDescent="0.25">
      <c r="A91" s="703"/>
      <c r="B91" s="4"/>
      <c r="C91" s="23"/>
      <c r="D91" s="23"/>
      <c r="E91" s="23"/>
      <c r="F91" s="23"/>
      <c r="G91" s="23"/>
      <c r="H91" s="23"/>
      <c r="I91" s="23"/>
      <c r="J91" s="23"/>
      <c r="K91" s="23"/>
      <c r="L91" s="23"/>
      <c r="M91" s="23"/>
      <c r="N91" s="23"/>
      <c r="O91" s="23"/>
      <c r="P91" s="23"/>
      <c r="Q91" s="23"/>
      <c r="R91" s="4"/>
      <c r="S91" s="23"/>
      <c r="T91" s="23"/>
      <c r="U91" s="4"/>
      <c r="V91" s="4"/>
      <c r="W91" s="4"/>
    </row>
    <row r="92" spans="1:23" x14ac:dyDescent="0.25">
      <c r="A92" s="703"/>
      <c r="B92" s="4"/>
      <c r="C92" s="23"/>
      <c r="D92" s="23"/>
      <c r="E92" s="23"/>
      <c r="F92" s="23"/>
      <c r="G92" s="23"/>
      <c r="H92" s="23"/>
      <c r="I92" s="23"/>
      <c r="J92" s="23"/>
      <c r="K92" s="23"/>
      <c r="L92" s="23"/>
      <c r="M92" s="23"/>
      <c r="N92" s="23"/>
      <c r="O92" s="23"/>
      <c r="P92" s="23"/>
      <c r="Q92" s="23"/>
      <c r="R92" s="4"/>
      <c r="S92" s="23"/>
      <c r="T92" s="23"/>
      <c r="U92" s="4"/>
      <c r="V92" s="4"/>
      <c r="W92" s="4"/>
    </row>
    <row r="93" spans="1:23" x14ac:dyDescent="0.25">
      <c r="A93" s="703"/>
      <c r="B93" s="4"/>
      <c r="C93" s="23"/>
      <c r="D93" s="23"/>
      <c r="E93" s="23"/>
      <c r="F93" s="23"/>
      <c r="G93" s="23"/>
      <c r="H93" s="23"/>
      <c r="I93" s="23"/>
      <c r="J93" s="23"/>
      <c r="K93" s="23"/>
      <c r="L93" s="23"/>
      <c r="M93" s="23"/>
      <c r="N93" s="23"/>
      <c r="O93" s="23"/>
      <c r="P93" s="23"/>
      <c r="Q93" s="23"/>
      <c r="R93" s="4"/>
      <c r="S93" s="23"/>
      <c r="T93" s="23"/>
      <c r="U93" s="4"/>
      <c r="V93" s="4"/>
      <c r="W93" s="4"/>
    </row>
    <row r="94" spans="1:23" x14ac:dyDescent="0.25">
      <c r="A94" s="703"/>
      <c r="B94" s="4"/>
      <c r="C94" s="23"/>
      <c r="D94" s="23"/>
      <c r="E94" s="23"/>
      <c r="F94" s="23"/>
      <c r="G94" s="23"/>
      <c r="H94" s="23"/>
      <c r="I94" s="23"/>
      <c r="J94" s="23"/>
      <c r="K94" s="23"/>
      <c r="L94" s="23"/>
      <c r="M94" s="23"/>
      <c r="N94" s="23"/>
      <c r="O94" s="23"/>
      <c r="P94" s="23"/>
      <c r="Q94" s="23"/>
      <c r="R94" s="4"/>
      <c r="S94" s="23"/>
      <c r="T94" s="23"/>
      <c r="U94" s="4"/>
      <c r="V94" s="4"/>
      <c r="W94" s="4"/>
    </row>
    <row r="95" spans="1:23" x14ac:dyDescent="0.25">
      <c r="A95" s="703"/>
      <c r="B95" s="4"/>
      <c r="C95" s="23"/>
      <c r="D95" s="23"/>
      <c r="E95" s="23"/>
      <c r="F95" s="23"/>
      <c r="G95" s="23"/>
      <c r="H95" s="23"/>
      <c r="I95" s="23"/>
      <c r="J95" s="23"/>
      <c r="K95" s="23"/>
      <c r="L95" s="23"/>
      <c r="M95" s="23"/>
      <c r="N95" s="23"/>
      <c r="O95" s="23"/>
      <c r="P95" s="23"/>
      <c r="Q95" s="23"/>
      <c r="R95" s="4"/>
      <c r="S95" s="23"/>
      <c r="T95" s="23"/>
      <c r="U95" s="4"/>
      <c r="V95" s="4"/>
      <c r="W95" s="4"/>
    </row>
    <row r="96" spans="1:23" x14ac:dyDescent="0.25">
      <c r="A96" s="703"/>
      <c r="B96" s="4"/>
      <c r="C96" s="23"/>
      <c r="D96" s="23"/>
      <c r="E96" s="23"/>
      <c r="F96" s="23"/>
      <c r="G96" s="23"/>
      <c r="H96" s="23"/>
      <c r="I96" s="23"/>
      <c r="J96" s="23"/>
      <c r="K96" s="23"/>
      <c r="L96" s="23"/>
      <c r="M96" s="23"/>
      <c r="N96" s="23"/>
      <c r="O96" s="23"/>
      <c r="P96" s="23"/>
      <c r="Q96" s="23"/>
      <c r="R96" s="4"/>
      <c r="S96" s="23"/>
      <c r="T96" s="23"/>
      <c r="U96" s="4"/>
      <c r="V96" s="4"/>
      <c r="W96" s="4"/>
    </row>
    <row r="97" spans="1:23" x14ac:dyDescent="0.25">
      <c r="A97" s="703"/>
      <c r="B97" s="4"/>
      <c r="C97" s="23"/>
      <c r="D97" s="23"/>
      <c r="E97" s="23"/>
      <c r="F97" s="23"/>
      <c r="G97" s="23"/>
      <c r="H97" s="23"/>
      <c r="I97" s="23"/>
      <c r="J97" s="23"/>
      <c r="K97" s="23"/>
      <c r="L97" s="23"/>
      <c r="M97" s="23"/>
      <c r="N97" s="23"/>
      <c r="O97" s="23"/>
      <c r="P97" s="23"/>
      <c r="Q97" s="23"/>
      <c r="R97" s="4"/>
      <c r="S97" s="23"/>
      <c r="T97" s="23"/>
      <c r="U97" s="4"/>
      <c r="V97" s="4"/>
      <c r="W97" s="4"/>
    </row>
    <row r="98" spans="1:23" x14ac:dyDescent="0.25">
      <c r="A98" s="703"/>
      <c r="B98" s="4"/>
      <c r="C98" s="23"/>
      <c r="D98" s="23"/>
      <c r="E98" s="23"/>
      <c r="F98" s="23"/>
      <c r="G98" s="23"/>
      <c r="H98" s="23"/>
      <c r="I98" s="23"/>
      <c r="J98" s="23"/>
      <c r="K98" s="23"/>
      <c r="L98" s="23"/>
      <c r="M98" s="23"/>
      <c r="N98" s="23"/>
      <c r="O98" s="23"/>
      <c r="P98" s="23"/>
      <c r="Q98" s="23"/>
      <c r="R98" s="4"/>
      <c r="S98" s="23"/>
      <c r="T98" s="23"/>
      <c r="U98" s="4"/>
      <c r="V98" s="4"/>
      <c r="W98" s="4"/>
    </row>
    <row r="99" spans="1:23" x14ac:dyDescent="0.25">
      <c r="A99" s="703"/>
      <c r="B99" s="4"/>
      <c r="C99" s="23"/>
      <c r="D99" s="23"/>
      <c r="E99" s="23"/>
      <c r="F99" s="23"/>
      <c r="G99" s="23"/>
      <c r="H99" s="23"/>
      <c r="I99" s="23"/>
      <c r="J99" s="23"/>
      <c r="K99" s="23"/>
      <c r="L99" s="23"/>
      <c r="M99" s="23"/>
      <c r="N99" s="23"/>
      <c r="O99" s="23"/>
      <c r="P99" s="23"/>
      <c r="Q99" s="23"/>
      <c r="R99" s="4"/>
      <c r="S99" s="23"/>
      <c r="T99" s="23"/>
      <c r="U99" s="4"/>
      <c r="V99" s="4"/>
      <c r="W99" s="4"/>
    </row>
    <row r="100" spans="1:23" x14ac:dyDescent="0.25">
      <c r="A100" s="703"/>
      <c r="B100" s="4"/>
      <c r="C100" s="23"/>
      <c r="D100" s="23"/>
      <c r="E100" s="23"/>
      <c r="F100" s="23"/>
      <c r="G100" s="23"/>
      <c r="H100" s="23"/>
      <c r="I100" s="23"/>
      <c r="J100" s="23"/>
      <c r="K100" s="23"/>
      <c r="L100" s="23"/>
      <c r="M100" s="23"/>
      <c r="N100" s="23"/>
      <c r="O100" s="23"/>
      <c r="P100" s="23"/>
      <c r="Q100" s="23"/>
      <c r="R100" s="4"/>
      <c r="S100" s="23"/>
      <c r="T100" s="23"/>
      <c r="U100" s="4"/>
      <c r="V100" s="4"/>
      <c r="W100" s="4"/>
    </row>
    <row r="101" spans="1:23" x14ac:dyDescent="0.25">
      <c r="A101" s="703"/>
      <c r="B101" s="4"/>
      <c r="C101" s="23"/>
      <c r="D101" s="23"/>
      <c r="E101" s="23"/>
      <c r="F101" s="23"/>
      <c r="G101" s="23"/>
      <c r="H101" s="23"/>
      <c r="I101" s="23"/>
      <c r="J101" s="23"/>
      <c r="K101" s="23"/>
      <c r="L101" s="23"/>
      <c r="M101" s="23"/>
      <c r="N101" s="23"/>
      <c r="O101" s="23"/>
      <c r="P101" s="23"/>
      <c r="Q101" s="23"/>
      <c r="R101" s="4"/>
      <c r="S101" s="23"/>
      <c r="T101" s="23"/>
      <c r="U101" s="4"/>
      <c r="V101" s="4"/>
      <c r="W101" s="4"/>
    </row>
    <row r="102" spans="1:23" x14ac:dyDescent="0.25">
      <c r="A102" s="703"/>
      <c r="B102" s="4"/>
      <c r="C102" s="23"/>
      <c r="D102" s="23"/>
      <c r="E102" s="23"/>
      <c r="F102" s="23"/>
      <c r="G102" s="23"/>
      <c r="H102" s="23"/>
      <c r="I102" s="23"/>
      <c r="J102" s="23"/>
      <c r="K102" s="23"/>
      <c r="L102" s="23"/>
      <c r="M102" s="23"/>
      <c r="N102" s="23"/>
      <c r="O102" s="23"/>
      <c r="P102" s="23"/>
      <c r="Q102" s="23"/>
      <c r="R102" s="4"/>
      <c r="S102" s="23"/>
      <c r="T102" s="23"/>
      <c r="U102" s="4"/>
      <c r="V102" s="4"/>
      <c r="W102" s="4"/>
    </row>
    <row r="103" spans="1:23" x14ac:dyDescent="0.25">
      <c r="A103" s="703"/>
      <c r="B103" s="4"/>
      <c r="C103" s="23"/>
      <c r="D103" s="23"/>
      <c r="E103" s="23"/>
      <c r="F103" s="23"/>
      <c r="G103" s="23"/>
      <c r="H103" s="23"/>
      <c r="I103" s="23"/>
      <c r="J103" s="23"/>
      <c r="K103" s="23"/>
      <c r="L103" s="23"/>
      <c r="M103" s="23"/>
      <c r="N103" s="23"/>
      <c r="O103" s="23"/>
      <c r="P103" s="23"/>
      <c r="Q103" s="23"/>
      <c r="R103" s="4"/>
      <c r="S103" s="23"/>
      <c r="T103" s="23"/>
      <c r="U103" s="4"/>
      <c r="V103" s="4"/>
      <c r="W103" s="4"/>
    </row>
    <row r="104" spans="1:23" x14ac:dyDescent="0.25">
      <c r="A104" s="703"/>
      <c r="B104" s="4"/>
      <c r="C104" s="23"/>
      <c r="D104" s="23"/>
      <c r="E104" s="23"/>
      <c r="F104" s="23"/>
      <c r="G104" s="23"/>
      <c r="H104" s="23"/>
      <c r="I104" s="23"/>
      <c r="J104" s="23"/>
      <c r="K104" s="23"/>
      <c r="L104" s="23"/>
      <c r="M104" s="23"/>
      <c r="N104" s="23"/>
      <c r="O104" s="23"/>
      <c r="P104" s="23"/>
      <c r="Q104" s="23"/>
      <c r="R104" s="4"/>
      <c r="S104" s="23"/>
      <c r="T104" s="23"/>
      <c r="U104" s="4"/>
      <c r="V104" s="4"/>
      <c r="W104" s="4"/>
    </row>
    <row r="105" spans="1:23" x14ac:dyDescent="0.25">
      <c r="A105" s="703"/>
      <c r="B105" s="4"/>
      <c r="C105" s="23"/>
      <c r="D105" s="23"/>
      <c r="E105" s="23"/>
      <c r="F105" s="23"/>
      <c r="G105" s="23"/>
      <c r="H105" s="23"/>
      <c r="I105" s="23"/>
      <c r="J105" s="23"/>
      <c r="K105" s="23"/>
      <c r="L105" s="23"/>
      <c r="M105" s="23"/>
      <c r="N105" s="23"/>
      <c r="O105" s="23"/>
      <c r="P105" s="23"/>
      <c r="Q105" s="23"/>
      <c r="R105" s="4"/>
      <c r="S105" s="23"/>
      <c r="T105" s="23"/>
      <c r="U105" s="4"/>
      <c r="V105" s="4"/>
      <c r="W105" s="4"/>
    </row>
    <row r="106" spans="1:23" x14ac:dyDescent="0.25">
      <c r="A106" s="703"/>
      <c r="B106" s="4"/>
      <c r="C106" s="23"/>
      <c r="D106" s="23"/>
      <c r="E106" s="23"/>
      <c r="F106" s="23"/>
      <c r="G106" s="23"/>
      <c r="H106" s="23"/>
      <c r="I106" s="23"/>
      <c r="J106" s="23"/>
      <c r="K106" s="23"/>
      <c r="L106" s="23"/>
      <c r="M106" s="23"/>
      <c r="N106" s="23"/>
      <c r="O106" s="23"/>
      <c r="P106" s="23"/>
      <c r="Q106" s="23"/>
      <c r="R106" s="4"/>
      <c r="S106" s="23"/>
      <c r="T106" s="23"/>
      <c r="U106" s="4"/>
      <c r="V106" s="4"/>
      <c r="W106" s="4"/>
    </row>
    <row r="107" spans="1:23" x14ac:dyDescent="0.25">
      <c r="A107" s="703"/>
      <c r="B107" s="4"/>
      <c r="C107" s="23"/>
      <c r="D107" s="23"/>
      <c r="E107" s="23"/>
      <c r="F107" s="23"/>
      <c r="G107" s="23"/>
      <c r="H107" s="23"/>
      <c r="I107" s="23"/>
      <c r="J107" s="23"/>
      <c r="K107" s="23"/>
      <c r="L107" s="23"/>
      <c r="M107" s="23"/>
      <c r="N107" s="23"/>
      <c r="O107" s="23"/>
      <c r="P107" s="23"/>
      <c r="Q107" s="23"/>
      <c r="R107" s="4"/>
      <c r="S107" s="23"/>
      <c r="T107" s="23"/>
      <c r="U107" s="4"/>
      <c r="V107" s="4"/>
      <c r="W107" s="4"/>
    </row>
    <row r="108" spans="1:23" x14ac:dyDescent="0.25">
      <c r="A108" s="703"/>
      <c r="B108" s="4"/>
      <c r="C108" s="23"/>
      <c r="D108" s="23"/>
      <c r="E108" s="23"/>
      <c r="F108" s="23"/>
      <c r="G108" s="23"/>
      <c r="H108" s="23"/>
      <c r="I108" s="23"/>
      <c r="J108" s="23"/>
      <c r="K108" s="23"/>
      <c r="L108" s="23"/>
      <c r="M108" s="23"/>
      <c r="N108" s="23"/>
      <c r="O108" s="23"/>
      <c r="P108" s="23"/>
      <c r="Q108" s="23"/>
      <c r="R108" s="4"/>
      <c r="S108" s="23"/>
      <c r="T108" s="23"/>
      <c r="U108" s="4"/>
      <c r="V108" s="4"/>
      <c r="W108" s="4"/>
    </row>
    <row r="109" spans="1:23" x14ac:dyDescent="0.25">
      <c r="A109" s="703"/>
      <c r="B109" s="4"/>
      <c r="C109" s="23"/>
      <c r="D109" s="23"/>
      <c r="E109" s="23"/>
      <c r="F109" s="23"/>
      <c r="G109" s="23"/>
      <c r="H109" s="23"/>
      <c r="I109" s="23"/>
      <c r="J109" s="23"/>
      <c r="K109" s="23"/>
      <c r="L109" s="23"/>
      <c r="M109" s="23"/>
      <c r="N109" s="23"/>
      <c r="O109" s="23"/>
      <c r="P109" s="23"/>
      <c r="Q109" s="23"/>
      <c r="R109" s="4"/>
      <c r="S109" s="23"/>
      <c r="T109" s="23"/>
      <c r="U109" s="4"/>
      <c r="V109" s="4"/>
      <c r="W109" s="4"/>
    </row>
    <row r="110" spans="1:23" x14ac:dyDescent="0.25">
      <c r="A110" s="703"/>
      <c r="B110" s="4"/>
      <c r="C110" s="23"/>
      <c r="D110" s="23"/>
      <c r="E110" s="23"/>
      <c r="F110" s="23"/>
      <c r="G110" s="23"/>
      <c r="H110" s="23"/>
      <c r="I110" s="23"/>
      <c r="J110" s="23"/>
      <c r="K110" s="23"/>
      <c r="L110" s="23"/>
      <c r="M110" s="23"/>
      <c r="N110" s="23"/>
      <c r="O110" s="23"/>
      <c r="P110" s="23"/>
      <c r="Q110" s="23"/>
      <c r="R110" s="4"/>
      <c r="S110" s="23"/>
      <c r="T110" s="23"/>
      <c r="U110" s="4"/>
      <c r="V110" s="4"/>
      <c r="W110" s="4"/>
    </row>
    <row r="111" spans="1:23" x14ac:dyDescent="0.25">
      <c r="A111" s="703"/>
      <c r="B111" s="4"/>
      <c r="C111" s="23"/>
      <c r="D111" s="23"/>
      <c r="E111" s="23"/>
      <c r="F111" s="23"/>
      <c r="G111" s="23"/>
      <c r="H111" s="23"/>
      <c r="I111" s="23"/>
      <c r="J111" s="23"/>
      <c r="K111" s="23"/>
      <c r="L111" s="23"/>
      <c r="M111" s="23"/>
      <c r="N111" s="23"/>
      <c r="O111" s="23"/>
      <c r="P111" s="23"/>
      <c r="Q111" s="23"/>
      <c r="R111" s="4"/>
      <c r="S111" s="23"/>
      <c r="T111" s="23"/>
      <c r="U111" s="4"/>
      <c r="V111" s="4"/>
      <c r="W111" s="4"/>
    </row>
    <row r="112" spans="1:23" x14ac:dyDescent="0.25">
      <c r="A112" s="703"/>
      <c r="B112" s="4"/>
      <c r="C112" s="23"/>
      <c r="D112" s="23"/>
      <c r="E112" s="23"/>
      <c r="F112" s="23"/>
      <c r="G112" s="23"/>
      <c r="H112" s="23"/>
      <c r="I112" s="23"/>
      <c r="J112" s="23"/>
      <c r="K112" s="23"/>
      <c r="L112" s="23"/>
      <c r="M112" s="23"/>
      <c r="N112" s="23"/>
      <c r="O112" s="23"/>
      <c r="P112" s="23"/>
      <c r="Q112" s="23"/>
      <c r="R112" s="4"/>
      <c r="S112" s="23"/>
      <c r="T112" s="23"/>
      <c r="U112" s="4"/>
      <c r="V112" s="4"/>
      <c r="W112" s="4"/>
    </row>
    <row r="113" spans="1:23" x14ac:dyDescent="0.25">
      <c r="A113" s="703"/>
      <c r="B113" s="4"/>
      <c r="C113" s="23"/>
      <c r="D113" s="23"/>
      <c r="E113" s="23"/>
      <c r="F113" s="23"/>
      <c r="G113" s="23"/>
      <c r="H113" s="23"/>
      <c r="I113" s="23"/>
      <c r="J113" s="23"/>
      <c r="K113" s="23"/>
      <c r="L113" s="23"/>
      <c r="M113" s="23"/>
      <c r="N113" s="23"/>
      <c r="O113" s="23"/>
      <c r="P113" s="23"/>
      <c r="Q113" s="23"/>
      <c r="R113" s="4"/>
      <c r="S113" s="23"/>
      <c r="T113" s="23"/>
      <c r="U113" s="4"/>
      <c r="V113" s="4"/>
      <c r="W113" s="4"/>
    </row>
    <row r="114" spans="1:23" x14ac:dyDescent="0.25">
      <c r="A114" s="703"/>
      <c r="B114" s="4"/>
      <c r="C114" s="23"/>
      <c r="D114" s="23"/>
      <c r="E114" s="23"/>
      <c r="F114" s="23"/>
      <c r="G114" s="23"/>
      <c r="H114" s="23"/>
      <c r="I114" s="23"/>
      <c r="J114" s="23"/>
      <c r="K114" s="23"/>
      <c r="L114" s="23"/>
      <c r="M114" s="23"/>
      <c r="N114" s="23"/>
      <c r="O114" s="23"/>
      <c r="P114" s="23"/>
      <c r="Q114" s="23"/>
      <c r="R114" s="4"/>
      <c r="S114" s="23"/>
      <c r="T114" s="23"/>
      <c r="U114" s="4"/>
      <c r="V114" s="4"/>
      <c r="W114" s="4"/>
    </row>
    <row r="115" spans="1:23" x14ac:dyDescent="0.25">
      <c r="A115" s="703"/>
      <c r="B115" s="4"/>
      <c r="C115" s="23"/>
      <c r="D115" s="23"/>
      <c r="E115" s="23"/>
      <c r="F115" s="23"/>
      <c r="G115" s="23"/>
      <c r="H115" s="23"/>
      <c r="I115" s="23"/>
      <c r="J115" s="23"/>
      <c r="K115" s="23"/>
      <c r="L115" s="23"/>
      <c r="M115" s="23"/>
      <c r="N115" s="23"/>
      <c r="O115" s="23"/>
      <c r="P115" s="23"/>
      <c r="Q115" s="23"/>
      <c r="R115" s="4"/>
      <c r="S115" s="23"/>
      <c r="T115" s="23"/>
      <c r="U115" s="4"/>
      <c r="V115" s="4"/>
      <c r="W115" s="4"/>
    </row>
    <row r="116" spans="1:23" x14ac:dyDescent="0.25">
      <c r="A116" s="703"/>
      <c r="B116" s="4"/>
      <c r="C116" s="23"/>
      <c r="D116" s="23"/>
      <c r="E116" s="23"/>
      <c r="F116" s="23"/>
      <c r="G116" s="23"/>
      <c r="H116" s="23"/>
      <c r="I116" s="23"/>
      <c r="J116" s="23"/>
      <c r="K116" s="23"/>
      <c r="L116" s="23"/>
      <c r="M116" s="23"/>
      <c r="N116" s="23"/>
      <c r="O116" s="23"/>
      <c r="P116" s="23"/>
      <c r="Q116" s="23"/>
      <c r="R116" s="4"/>
      <c r="S116" s="23"/>
      <c r="T116" s="23"/>
      <c r="U116" s="4"/>
      <c r="V116" s="4"/>
      <c r="W116" s="4"/>
    </row>
    <row r="117" spans="1:23" x14ac:dyDescent="0.25">
      <c r="C117" s="194"/>
      <c r="D117" s="194"/>
      <c r="E117" s="194"/>
      <c r="F117" s="194"/>
      <c r="G117" s="194"/>
      <c r="H117" s="194"/>
      <c r="I117" s="194"/>
      <c r="J117" s="194"/>
      <c r="K117" s="194"/>
      <c r="L117" s="194"/>
      <c r="M117" s="194"/>
      <c r="N117" s="194"/>
      <c r="O117" s="194"/>
      <c r="P117" s="194"/>
      <c r="Q117" s="194"/>
    </row>
    <row r="118" spans="1:23" x14ac:dyDescent="0.25">
      <c r="C118" s="194"/>
      <c r="D118" s="194"/>
      <c r="E118" s="194"/>
      <c r="F118" s="194"/>
      <c r="G118" s="194"/>
      <c r="H118" s="194"/>
      <c r="I118" s="194"/>
      <c r="J118" s="194"/>
      <c r="K118" s="194"/>
      <c r="L118" s="194"/>
      <c r="M118" s="194"/>
      <c r="N118" s="194"/>
      <c r="O118" s="194"/>
      <c r="P118" s="194"/>
      <c r="Q118" s="194"/>
    </row>
    <row r="119" spans="1:23" x14ac:dyDescent="0.25">
      <c r="C119" s="194"/>
      <c r="D119" s="194"/>
      <c r="E119" s="194"/>
      <c r="F119" s="194"/>
      <c r="G119" s="194"/>
      <c r="H119" s="194"/>
      <c r="I119" s="194"/>
      <c r="J119" s="194"/>
      <c r="K119" s="194"/>
      <c r="L119" s="194"/>
      <c r="M119" s="194"/>
      <c r="N119" s="194"/>
      <c r="O119" s="194"/>
      <c r="P119" s="194"/>
      <c r="Q119" s="194"/>
    </row>
    <row r="120" spans="1:23" x14ac:dyDescent="0.25">
      <c r="C120" s="194"/>
      <c r="D120" s="194"/>
      <c r="E120" s="194"/>
      <c r="F120" s="194"/>
      <c r="G120" s="194"/>
      <c r="H120" s="194"/>
      <c r="I120" s="194"/>
      <c r="J120" s="194"/>
      <c r="K120" s="194"/>
      <c r="L120" s="194"/>
      <c r="M120" s="194"/>
      <c r="N120" s="194"/>
      <c r="O120" s="194"/>
      <c r="P120" s="194"/>
      <c r="Q120" s="194"/>
    </row>
    <row r="121" spans="1:23" x14ac:dyDescent="0.25">
      <c r="C121" s="194"/>
      <c r="D121" s="194"/>
      <c r="E121" s="194"/>
      <c r="F121" s="194"/>
      <c r="G121" s="194"/>
      <c r="H121" s="194"/>
      <c r="I121" s="194"/>
      <c r="J121" s="194"/>
      <c r="K121" s="194"/>
      <c r="L121" s="194"/>
      <c r="M121" s="194"/>
      <c r="N121" s="194"/>
      <c r="O121" s="194"/>
      <c r="P121" s="194"/>
      <c r="Q121" s="194"/>
    </row>
    <row r="122" spans="1:23" x14ac:dyDescent="0.25">
      <c r="C122" s="194"/>
      <c r="D122" s="194"/>
      <c r="E122" s="194"/>
      <c r="F122" s="194"/>
      <c r="G122" s="194"/>
      <c r="H122" s="194"/>
      <c r="I122" s="194"/>
      <c r="J122" s="194"/>
      <c r="K122" s="194"/>
      <c r="L122" s="194"/>
      <c r="M122" s="194"/>
      <c r="N122" s="194"/>
      <c r="O122" s="194"/>
      <c r="P122" s="194"/>
      <c r="Q122" s="194"/>
    </row>
    <row r="123" spans="1:23" x14ac:dyDescent="0.25">
      <c r="C123" s="194"/>
      <c r="D123" s="194"/>
      <c r="E123" s="194"/>
      <c r="F123" s="194"/>
      <c r="G123" s="194"/>
      <c r="H123" s="194"/>
      <c r="I123" s="194"/>
      <c r="J123" s="194"/>
      <c r="K123" s="194"/>
      <c r="L123" s="194"/>
      <c r="M123" s="194"/>
      <c r="N123" s="194"/>
      <c r="O123" s="194"/>
      <c r="P123" s="194"/>
      <c r="Q123" s="194"/>
    </row>
    <row r="124" spans="1:23" x14ac:dyDescent="0.25">
      <c r="C124" s="194"/>
      <c r="D124" s="194"/>
      <c r="E124" s="194"/>
      <c r="F124" s="194"/>
      <c r="G124" s="194"/>
      <c r="H124" s="194"/>
      <c r="I124" s="194"/>
      <c r="J124" s="194"/>
      <c r="K124" s="194"/>
      <c r="L124" s="194"/>
      <c r="M124" s="194"/>
      <c r="N124" s="194"/>
      <c r="O124" s="194"/>
      <c r="P124" s="194"/>
      <c r="Q124" s="194"/>
    </row>
    <row r="125" spans="1:23" x14ac:dyDescent="0.25">
      <c r="C125" s="194"/>
      <c r="D125" s="194"/>
      <c r="E125" s="194"/>
      <c r="F125" s="194"/>
      <c r="G125" s="194"/>
      <c r="H125" s="194"/>
      <c r="I125" s="194"/>
      <c r="J125" s="194"/>
      <c r="K125" s="194"/>
      <c r="L125" s="194"/>
      <c r="M125" s="194"/>
      <c r="N125" s="194"/>
      <c r="O125" s="194"/>
      <c r="P125" s="194"/>
      <c r="Q125" s="194"/>
    </row>
    <row r="126" spans="1:23" x14ac:dyDescent="0.25">
      <c r="C126" s="194"/>
      <c r="D126" s="194"/>
      <c r="E126" s="194"/>
      <c r="F126" s="194"/>
      <c r="G126" s="194"/>
      <c r="H126" s="194"/>
      <c r="I126" s="194"/>
      <c r="J126" s="194"/>
      <c r="K126" s="194"/>
      <c r="L126" s="194"/>
      <c r="M126" s="194"/>
      <c r="N126" s="194"/>
      <c r="O126" s="194"/>
      <c r="P126" s="194"/>
      <c r="Q126" s="194"/>
    </row>
    <row r="127" spans="1:23" x14ac:dyDescent="0.25">
      <c r="C127" s="194"/>
      <c r="D127" s="194"/>
      <c r="E127" s="194"/>
      <c r="F127" s="194"/>
      <c r="G127" s="194"/>
      <c r="H127" s="194"/>
      <c r="I127" s="194"/>
      <c r="J127" s="194"/>
      <c r="K127" s="194"/>
      <c r="L127" s="194"/>
      <c r="M127" s="194"/>
      <c r="N127" s="194"/>
      <c r="O127" s="194"/>
      <c r="P127" s="194"/>
      <c r="Q127" s="194"/>
    </row>
    <row r="128" spans="1:23" x14ac:dyDescent="0.25">
      <c r="C128" s="194"/>
      <c r="D128" s="194"/>
      <c r="E128" s="194"/>
      <c r="F128" s="194"/>
      <c r="G128" s="194"/>
      <c r="H128" s="194"/>
      <c r="I128" s="194"/>
      <c r="J128" s="194"/>
      <c r="K128" s="194"/>
      <c r="L128" s="194"/>
      <c r="M128" s="194"/>
      <c r="N128" s="194"/>
      <c r="O128" s="194"/>
      <c r="P128" s="194"/>
      <c r="Q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sheetData>
  <phoneticPr fontId="0" type="noConversion"/>
  <hyperlinks>
    <hyperlink ref="A1" location="'Working Budget with funding det'!A1" display="Main " xr:uid="{00000000-0004-0000-0C00-000000000000}"/>
    <hyperlink ref="B1" location="'Table of Contents'!A1" display="TOC" xr:uid="{00000000-0004-0000-0C00-000001000000}"/>
  </hyperlinks>
  <pageMargins left="0.75" right="0.75" top="1" bottom="1" header="0.5" footer="0.5"/>
  <pageSetup scale="91" orientation="landscape" r:id="rId1"/>
  <headerFooter alignWithMargins="0">
    <oddFooter xml:space="preserve">&amp;L&amp;D     &amp;T&amp;C&amp;F&amp;R&amp;A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X192"/>
  <sheetViews>
    <sheetView workbookViewId="0">
      <selection activeCell="R15" sqref="R15"/>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0" width="14.44140625" style="1" customWidth="1"/>
    <col min="21" max="23" width="14.44140625" customWidth="1"/>
    <col min="24" max="24" width="14.6640625" style="2" customWidth="1"/>
  </cols>
  <sheetData>
    <row r="1" spans="1:23" x14ac:dyDescent="0.25">
      <c r="A1" s="701" t="s">
        <v>736</v>
      </c>
      <c r="B1" s="290" t="s">
        <v>194</v>
      </c>
      <c r="D1" s="194"/>
      <c r="E1" s="194"/>
      <c r="F1" s="194"/>
      <c r="G1" s="194"/>
      <c r="H1" s="194"/>
      <c r="I1" s="194"/>
      <c r="J1" s="194"/>
      <c r="K1" s="194"/>
      <c r="L1" s="194"/>
      <c r="M1" s="194"/>
      <c r="N1" s="194"/>
      <c r="O1" s="194"/>
      <c r="P1" s="194"/>
      <c r="Q1" s="194"/>
    </row>
    <row r="2" spans="1:23" ht="13.8" x14ac:dyDescent="0.25">
      <c r="A2" s="702" t="s">
        <v>705</v>
      </c>
      <c r="B2" s="43"/>
      <c r="D2" s="194"/>
      <c r="E2" s="125"/>
      <c r="F2" s="194"/>
      <c r="G2" s="194"/>
      <c r="H2" s="194"/>
      <c r="I2" s="125" t="s">
        <v>706</v>
      </c>
      <c r="J2" s="125"/>
      <c r="K2" s="125"/>
      <c r="L2" s="125"/>
      <c r="M2" s="125"/>
      <c r="N2" s="125"/>
      <c r="O2" s="125"/>
      <c r="P2" s="125"/>
      <c r="Q2" s="125"/>
      <c r="R2" s="58" t="s">
        <v>516</v>
      </c>
      <c r="U2" s="44" t="s">
        <v>782</v>
      </c>
    </row>
    <row r="3" spans="1:23" ht="13.8" thickBot="1" x14ac:dyDescent="0.3">
      <c r="A3" s="703"/>
      <c r="B3" s="4"/>
      <c r="C3" s="23"/>
      <c r="D3" s="23"/>
      <c r="E3" s="23"/>
      <c r="F3" s="23"/>
      <c r="G3" s="23"/>
      <c r="H3" s="23"/>
      <c r="I3" s="23"/>
      <c r="J3" s="23"/>
      <c r="K3" s="23"/>
      <c r="L3" s="23"/>
      <c r="M3" s="23"/>
      <c r="N3" s="23"/>
      <c r="O3" s="23"/>
      <c r="P3" s="23"/>
      <c r="Q3" s="23"/>
      <c r="R3" s="4"/>
      <c r="S3" s="23"/>
      <c r="T3" s="23"/>
      <c r="U3" s="4"/>
      <c r="W3" s="4"/>
    </row>
    <row r="4" spans="1:23"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3"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3"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3"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3" ht="13.8" thickTop="1" x14ac:dyDescent="0.25">
      <c r="A8" s="725"/>
      <c r="B8" s="185"/>
      <c r="C8" s="117"/>
      <c r="D8" s="18"/>
      <c r="E8" s="18"/>
      <c r="F8" s="18"/>
      <c r="G8" s="18"/>
      <c r="H8" s="18"/>
      <c r="I8" s="18"/>
      <c r="J8" s="18"/>
      <c r="K8" s="19"/>
      <c r="L8" s="19"/>
      <c r="M8" s="19"/>
      <c r="N8" s="19"/>
      <c r="O8" s="19"/>
      <c r="P8" s="19"/>
      <c r="Q8" s="19"/>
      <c r="R8" s="18"/>
      <c r="S8" s="19"/>
      <c r="T8" s="19"/>
      <c r="U8" s="19"/>
    </row>
    <row r="9" spans="1:23" x14ac:dyDescent="0.25">
      <c r="A9" s="708"/>
      <c r="B9" s="60"/>
      <c r="C9" s="115"/>
      <c r="D9" s="13"/>
      <c r="E9" s="13"/>
      <c r="F9" s="13"/>
      <c r="G9" s="13"/>
      <c r="H9" s="13"/>
      <c r="I9" s="13"/>
      <c r="J9" s="13"/>
      <c r="K9" s="14"/>
      <c r="L9" s="14"/>
      <c r="M9" s="14"/>
      <c r="N9" s="14"/>
      <c r="O9" s="14"/>
      <c r="P9" s="14"/>
      <c r="Q9" s="14"/>
      <c r="R9" s="13"/>
      <c r="S9" s="14"/>
      <c r="T9" s="14"/>
      <c r="U9" s="14"/>
    </row>
    <row r="10" spans="1:23" ht="13.8" thickBot="1" x14ac:dyDescent="0.3">
      <c r="A10" s="708">
        <v>5780</v>
      </c>
      <c r="B10" s="60" t="s">
        <v>90</v>
      </c>
      <c r="C10" s="116">
        <v>44620</v>
      </c>
      <c r="D10" s="15">
        <v>24500</v>
      </c>
      <c r="E10" s="15">
        <v>41400</v>
      </c>
      <c r="F10" s="15">
        <v>55839.67</v>
      </c>
      <c r="G10" s="15">
        <v>58400.800000000003</v>
      </c>
      <c r="H10" s="15">
        <v>43309.74</v>
      </c>
      <c r="I10" s="15">
        <v>20200</v>
      </c>
      <c r="J10" s="15">
        <v>29700</v>
      </c>
      <c r="K10" s="16">
        <v>60000</v>
      </c>
      <c r="L10" s="16">
        <v>18500</v>
      </c>
      <c r="M10" s="16">
        <v>60000</v>
      </c>
      <c r="N10" s="16">
        <f>60000-31350</f>
        <v>28650</v>
      </c>
      <c r="O10" s="16">
        <v>50000</v>
      </c>
      <c r="P10" s="16">
        <v>75725</v>
      </c>
      <c r="Q10" s="16">
        <v>50000</v>
      </c>
      <c r="R10" s="15"/>
      <c r="S10" s="16">
        <v>50000</v>
      </c>
      <c r="T10" s="16"/>
      <c r="U10" s="16"/>
    </row>
    <row r="11" spans="1:23" x14ac:dyDescent="0.25">
      <c r="A11" s="708"/>
      <c r="B11" s="61" t="s">
        <v>728</v>
      </c>
      <c r="C11" s="117">
        <f t="shared" ref="C11:S11" si="0">+C10</f>
        <v>44620</v>
      </c>
      <c r="D11" s="18">
        <f t="shared" si="0"/>
        <v>24500</v>
      </c>
      <c r="E11" s="18">
        <f t="shared" si="0"/>
        <v>41400</v>
      </c>
      <c r="F11" s="18">
        <f>+F10</f>
        <v>55839.67</v>
      </c>
      <c r="G11" s="18">
        <f>+G10</f>
        <v>58400.800000000003</v>
      </c>
      <c r="H11" s="18">
        <f>+H10</f>
        <v>43309.74</v>
      </c>
      <c r="I11" s="18">
        <f t="shared" si="0"/>
        <v>20200</v>
      </c>
      <c r="J11" s="18">
        <f t="shared" ref="J11" si="1">+J10</f>
        <v>29700</v>
      </c>
      <c r="K11" s="34">
        <f t="shared" ref="K11:O11" si="2">+K10</f>
        <v>60000</v>
      </c>
      <c r="L11" s="34">
        <f t="shared" si="2"/>
        <v>18500</v>
      </c>
      <c r="M11" s="34">
        <f t="shared" si="2"/>
        <v>60000</v>
      </c>
      <c r="N11" s="34">
        <f t="shared" ref="N11" si="3">+N10</f>
        <v>28650</v>
      </c>
      <c r="O11" s="34">
        <f t="shared" si="2"/>
        <v>50000</v>
      </c>
      <c r="P11" s="34">
        <f t="shared" ref="P11" si="4">+P10</f>
        <v>75725</v>
      </c>
      <c r="Q11" s="34">
        <f t="shared" ref="Q11" si="5">+Q10</f>
        <v>50000</v>
      </c>
      <c r="R11" s="18">
        <f t="shared" si="0"/>
        <v>0</v>
      </c>
      <c r="S11" s="34">
        <f t="shared" si="0"/>
        <v>50000</v>
      </c>
      <c r="T11" s="34"/>
      <c r="U11" s="34">
        <f>+U10</f>
        <v>0</v>
      </c>
    </row>
    <row r="12" spans="1:23" x14ac:dyDescent="0.25">
      <c r="A12" s="708"/>
      <c r="B12" s="60"/>
      <c r="C12" s="115"/>
      <c r="D12" s="13"/>
      <c r="E12" s="13"/>
      <c r="F12" s="13"/>
      <c r="G12" s="13"/>
      <c r="H12" s="13"/>
      <c r="I12" s="13"/>
      <c r="J12" s="13"/>
      <c r="K12" s="14"/>
      <c r="L12" s="14"/>
      <c r="M12" s="14"/>
      <c r="N12" s="14"/>
      <c r="O12" s="14"/>
      <c r="P12" s="14"/>
      <c r="Q12" s="14"/>
      <c r="R12" s="13"/>
      <c r="S12" s="14"/>
      <c r="T12" s="14"/>
      <c r="U12" s="14"/>
    </row>
    <row r="13" spans="1:23" x14ac:dyDescent="0.25">
      <c r="A13" s="708"/>
      <c r="B13" s="60"/>
      <c r="C13" s="115"/>
      <c r="D13" s="13"/>
      <c r="E13" s="13"/>
      <c r="F13" s="13"/>
      <c r="G13" s="13"/>
      <c r="H13" s="13"/>
      <c r="I13" s="13"/>
      <c r="J13" s="13"/>
      <c r="K13" s="14"/>
      <c r="L13" s="14"/>
      <c r="M13" s="14"/>
      <c r="N13" s="14"/>
      <c r="O13" s="14"/>
      <c r="P13" s="14"/>
      <c r="Q13" s="14"/>
      <c r="R13" s="13"/>
      <c r="S13" s="14"/>
      <c r="T13" s="14"/>
      <c r="U13" s="14"/>
    </row>
    <row r="14" spans="1:23" ht="13.8" thickBot="1" x14ac:dyDescent="0.3">
      <c r="A14" s="709"/>
      <c r="B14" s="583" t="s">
        <v>783</v>
      </c>
      <c r="C14" s="577">
        <f t="shared" ref="C14:S14" si="6">+C11</f>
        <v>44620</v>
      </c>
      <c r="D14" s="21">
        <f t="shared" si="6"/>
        <v>24500</v>
      </c>
      <c r="E14" s="21">
        <f>+E11</f>
        <v>41400</v>
      </c>
      <c r="F14" s="21">
        <f>+F11</f>
        <v>55839.67</v>
      </c>
      <c r="G14" s="21">
        <f>+G11</f>
        <v>58400.800000000003</v>
      </c>
      <c r="H14" s="21">
        <f>+H11</f>
        <v>43309.74</v>
      </c>
      <c r="I14" s="21">
        <f t="shared" si="6"/>
        <v>20200</v>
      </c>
      <c r="J14" s="21">
        <f t="shared" ref="J14" si="7">+J11</f>
        <v>29700</v>
      </c>
      <c r="K14" s="22">
        <f t="shared" ref="K14:O14" si="8">+K11</f>
        <v>60000</v>
      </c>
      <c r="L14" s="22">
        <f t="shared" si="8"/>
        <v>18500</v>
      </c>
      <c r="M14" s="22">
        <f t="shared" si="8"/>
        <v>60000</v>
      </c>
      <c r="N14" s="22">
        <f t="shared" ref="N14" si="9">+N11</f>
        <v>28650</v>
      </c>
      <c r="O14" s="22">
        <f t="shared" si="8"/>
        <v>50000</v>
      </c>
      <c r="P14" s="22">
        <f t="shared" ref="P14" si="10">+P11</f>
        <v>75725</v>
      </c>
      <c r="Q14" s="22">
        <f t="shared" ref="Q14" si="11">+Q11</f>
        <v>50000</v>
      </c>
      <c r="R14" s="21">
        <f t="shared" si="6"/>
        <v>0</v>
      </c>
      <c r="S14" s="22">
        <f t="shared" si="6"/>
        <v>50000</v>
      </c>
      <c r="T14" s="22">
        <f>+S14</f>
        <v>50000</v>
      </c>
      <c r="U14" s="22">
        <f>+S14</f>
        <v>50000</v>
      </c>
    </row>
    <row r="15" spans="1:23" ht="13.8" thickTop="1" x14ac:dyDescent="0.25">
      <c r="A15" s="703"/>
      <c r="B15" s="584"/>
      <c r="C15" s="24"/>
      <c r="D15" s="24"/>
      <c r="E15" s="24"/>
      <c r="F15" s="24"/>
      <c r="G15" s="24"/>
      <c r="H15" s="24"/>
      <c r="I15" s="24"/>
      <c r="J15" s="24"/>
      <c r="K15" s="24"/>
      <c r="L15" s="24"/>
      <c r="M15" s="24"/>
      <c r="N15" s="24"/>
      <c r="O15" s="24"/>
      <c r="P15" s="24"/>
      <c r="Q15" s="24"/>
      <c r="R15" s="181" t="s">
        <v>732</v>
      </c>
      <c r="S15" s="1001">
        <f>+S14-Q14</f>
        <v>0</v>
      </c>
      <c r="T15" s="1002">
        <f>ROUND((+S15/Q14),4)</f>
        <v>0</v>
      </c>
      <c r="U15" s="25"/>
      <c r="V15" s="25"/>
      <c r="W15" s="25"/>
    </row>
    <row r="16" spans="1:23" x14ac:dyDescent="0.25">
      <c r="A16" s="63"/>
      <c r="B16" s="584"/>
      <c r="C16" s="23"/>
      <c r="D16" s="23"/>
      <c r="E16" s="23"/>
      <c r="F16" s="23"/>
      <c r="G16" s="23"/>
      <c r="H16" s="23"/>
      <c r="I16" s="23"/>
      <c r="J16" s="23"/>
      <c r="K16" s="23"/>
      <c r="L16" s="23"/>
      <c r="M16" s="23"/>
      <c r="N16" s="23"/>
      <c r="O16" s="23"/>
      <c r="P16" s="23"/>
      <c r="Q16" s="23"/>
      <c r="R16" s="25"/>
      <c r="S16" s="259"/>
      <c r="T16" s="259"/>
      <c r="U16" s="548"/>
      <c r="V16" s="25"/>
      <c r="W16" s="25"/>
    </row>
    <row r="17" spans="1:23" x14ac:dyDescent="0.25">
      <c r="A17" s="703"/>
      <c r="B17" s="4"/>
      <c r="C17" s="23"/>
      <c r="D17" s="23"/>
      <c r="E17" s="23"/>
      <c r="F17" s="23"/>
      <c r="G17" s="23"/>
      <c r="H17" s="597"/>
      <c r="I17" s="597"/>
      <c r="J17" s="597"/>
      <c r="K17" s="25"/>
      <c r="L17" s="25"/>
      <c r="M17" s="25"/>
      <c r="N17" s="25"/>
      <c r="O17" s="25"/>
      <c r="P17" s="25"/>
      <c r="Q17" s="25"/>
      <c r="R17" s="598"/>
      <c r="S17" s="24"/>
      <c r="T17" s="24"/>
      <c r="U17" s="25"/>
      <c r="V17" s="25"/>
      <c r="W17" s="25"/>
    </row>
    <row r="18" spans="1:23" x14ac:dyDescent="0.25">
      <c r="A18" s="703"/>
      <c r="B18" s="4"/>
      <c r="C18" s="24"/>
      <c r="D18" s="24"/>
      <c r="E18" s="24"/>
      <c r="F18" s="24"/>
      <c r="G18" s="24"/>
      <c r="H18" s="24"/>
      <c r="I18" s="24"/>
      <c r="J18" s="24"/>
      <c r="K18" s="24"/>
      <c r="L18" s="24"/>
      <c r="M18" s="24"/>
      <c r="N18" s="24"/>
      <c r="O18" s="24"/>
      <c r="P18" s="24"/>
      <c r="Q18" s="24"/>
      <c r="R18" s="25"/>
      <c r="S18" s="24"/>
      <c r="T18" s="24"/>
      <c r="U18" s="25"/>
      <c r="V18" s="25"/>
      <c r="W18" s="25"/>
    </row>
    <row r="19" spans="1:23" x14ac:dyDescent="0.25">
      <c r="A19" s="703"/>
      <c r="B19" s="4"/>
      <c r="C19" s="24"/>
      <c r="D19" s="24"/>
      <c r="E19" s="24"/>
      <c r="F19" s="24"/>
      <c r="G19" s="24"/>
      <c r="H19" s="24"/>
      <c r="I19" s="24"/>
      <c r="J19" s="24"/>
      <c r="K19" s="24"/>
      <c r="L19" s="24"/>
      <c r="M19" s="24"/>
      <c r="N19" s="24"/>
      <c r="O19" s="24"/>
      <c r="P19" s="24"/>
      <c r="Q19" s="24"/>
      <c r="R19" s="25"/>
      <c r="S19" s="24"/>
      <c r="T19" s="24"/>
      <c r="U19" s="25"/>
      <c r="V19" s="25"/>
      <c r="W19" s="25"/>
    </row>
    <row r="20" spans="1:23" x14ac:dyDescent="0.25">
      <c r="A20" s="703"/>
      <c r="B20" s="4"/>
      <c r="C20" s="24"/>
      <c r="D20" s="24"/>
      <c r="E20" s="24"/>
      <c r="F20" s="24"/>
      <c r="G20" s="24"/>
      <c r="H20" s="24"/>
      <c r="I20" s="24"/>
      <c r="J20" s="24"/>
      <c r="K20" s="24"/>
      <c r="L20" s="24"/>
      <c r="M20" s="24"/>
      <c r="N20" s="24"/>
      <c r="O20" s="24"/>
      <c r="P20" s="24"/>
      <c r="Q20" s="24"/>
      <c r="R20" s="25"/>
      <c r="S20" s="24"/>
      <c r="T20" s="24"/>
      <c r="U20" s="25"/>
      <c r="V20" s="25"/>
      <c r="W20" s="25"/>
    </row>
    <row r="21" spans="1:23" x14ac:dyDescent="0.25">
      <c r="A21" s="703"/>
      <c r="B21" s="4"/>
      <c r="C21" s="24"/>
      <c r="D21" s="24"/>
      <c r="E21" s="24"/>
      <c r="F21" s="24"/>
      <c r="G21" s="24"/>
      <c r="H21" s="24"/>
      <c r="I21" s="24"/>
      <c r="J21" s="24"/>
      <c r="K21" s="24"/>
      <c r="L21" s="24"/>
      <c r="M21" s="24"/>
      <c r="N21" s="24"/>
      <c r="O21" s="24"/>
      <c r="P21" s="24"/>
      <c r="Q21" s="24"/>
      <c r="R21" s="25"/>
      <c r="S21" s="24"/>
      <c r="T21" s="24"/>
      <c r="U21" s="25"/>
      <c r="V21" s="25"/>
      <c r="W21" s="25"/>
    </row>
    <row r="22" spans="1:23" x14ac:dyDescent="0.25">
      <c r="A22" s="703"/>
      <c r="B22" s="4"/>
      <c r="C22" s="24"/>
      <c r="D22" s="24"/>
      <c r="E22" s="24"/>
      <c r="F22" s="24"/>
      <c r="G22" s="24"/>
      <c r="H22" s="24"/>
      <c r="I22" s="24"/>
      <c r="J22" s="24"/>
      <c r="K22" s="24"/>
      <c r="L22" s="24"/>
      <c r="M22" s="24"/>
      <c r="N22" s="24"/>
      <c r="O22" s="24"/>
      <c r="P22" s="24"/>
      <c r="Q22" s="24"/>
      <c r="R22" s="25"/>
      <c r="S22" s="24"/>
      <c r="T22" s="24"/>
      <c r="U22" s="25"/>
      <c r="V22" s="25"/>
      <c r="W22" s="25"/>
    </row>
    <row r="23" spans="1:23" x14ac:dyDescent="0.25">
      <c r="A23" s="703"/>
      <c r="B23" s="4"/>
      <c r="C23" s="24"/>
      <c r="D23" s="24"/>
      <c r="E23" s="24"/>
      <c r="F23" s="24"/>
      <c r="G23" s="24"/>
      <c r="H23" s="24"/>
      <c r="I23" s="24"/>
      <c r="J23" s="24"/>
      <c r="K23" s="24"/>
      <c r="L23" s="24"/>
      <c r="M23" s="24"/>
      <c r="N23" s="24"/>
      <c r="O23" s="24"/>
      <c r="P23" s="24"/>
      <c r="Q23" s="24"/>
      <c r="R23" s="25"/>
      <c r="S23" s="24"/>
      <c r="T23" s="24"/>
      <c r="U23" s="25"/>
      <c r="V23" s="25"/>
      <c r="W23" s="25"/>
    </row>
    <row r="24" spans="1:23" x14ac:dyDescent="0.25">
      <c r="A24" s="703"/>
      <c r="B24" s="4"/>
      <c r="C24" s="24"/>
      <c r="D24" s="24"/>
      <c r="E24" s="24"/>
      <c r="F24" s="24"/>
      <c r="G24" s="24"/>
      <c r="H24" s="24"/>
      <c r="I24" s="24"/>
      <c r="J24" s="24"/>
      <c r="K24" s="24"/>
      <c r="L24" s="24"/>
      <c r="M24" s="24"/>
      <c r="N24" s="24"/>
      <c r="O24" s="24"/>
      <c r="P24" s="24"/>
      <c r="Q24" s="24"/>
      <c r="R24" s="25"/>
      <c r="S24" s="24"/>
      <c r="T24" s="24"/>
      <c r="U24" s="25"/>
      <c r="V24" s="25"/>
      <c r="W24" s="25"/>
    </row>
    <row r="25" spans="1:23" x14ac:dyDescent="0.25">
      <c r="A25" s="703"/>
      <c r="B25" s="4"/>
      <c r="C25" s="24"/>
      <c r="D25" s="24"/>
      <c r="E25" s="24"/>
      <c r="F25" s="24"/>
      <c r="G25" s="24"/>
      <c r="H25" s="24"/>
      <c r="I25" s="24"/>
      <c r="J25" s="24"/>
      <c r="K25" s="24"/>
      <c r="L25" s="24"/>
      <c r="M25" s="24"/>
      <c r="N25" s="24"/>
      <c r="O25" s="24"/>
      <c r="P25" s="24"/>
      <c r="Q25" s="24"/>
      <c r="R25" s="25"/>
      <c r="S25" s="24"/>
      <c r="T25" s="24"/>
      <c r="U25" s="25"/>
      <c r="V25" s="25"/>
      <c r="W25" s="25"/>
    </row>
    <row r="26" spans="1:23" x14ac:dyDescent="0.25">
      <c r="A26" s="703"/>
      <c r="B26" s="4"/>
      <c r="C26" s="24"/>
      <c r="D26" s="24"/>
      <c r="E26" s="24"/>
      <c r="F26" s="24"/>
      <c r="G26" s="24"/>
      <c r="H26" s="24"/>
      <c r="I26" s="24"/>
      <c r="J26" s="24"/>
      <c r="K26" s="24"/>
      <c r="L26" s="24"/>
      <c r="M26" s="24"/>
      <c r="N26" s="24"/>
      <c r="O26" s="24"/>
      <c r="P26" s="24"/>
      <c r="Q26" s="24"/>
      <c r="R26" s="25"/>
      <c r="S26" s="24"/>
      <c r="T26" s="24"/>
      <c r="U26" s="25"/>
      <c r="V26" s="25"/>
      <c r="W26" s="25"/>
    </row>
    <row r="27" spans="1:23" x14ac:dyDescent="0.25">
      <c r="A27" s="703"/>
      <c r="B27" s="4"/>
      <c r="C27" s="23"/>
      <c r="D27" s="23"/>
      <c r="E27" s="23"/>
      <c r="F27" s="23"/>
      <c r="G27" s="23"/>
      <c r="H27" s="23"/>
      <c r="I27" s="23"/>
      <c r="J27" s="23"/>
      <c r="K27" s="23"/>
      <c r="L27" s="23"/>
      <c r="M27" s="23"/>
      <c r="N27" s="23"/>
      <c r="O27" s="23"/>
      <c r="P27" s="23"/>
      <c r="Q27" s="23"/>
      <c r="R27" s="25"/>
      <c r="S27" s="23"/>
      <c r="T27" s="23"/>
      <c r="U27" s="25"/>
      <c r="V27" s="25"/>
      <c r="W27" s="25"/>
    </row>
    <row r="28" spans="1:23" x14ac:dyDescent="0.25">
      <c r="A28" s="703"/>
      <c r="B28" s="4"/>
      <c r="C28" s="23"/>
      <c r="D28" s="23"/>
      <c r="E28" s="23"/>
      <c r="F28" s="23"/>
      <c r="G28" s="23"/>
      <c r="H28" s="23"/>
      <c r="I28" s="23"/>
      <c r="J28" s="23"/>
      <c r="K28" s="23"/>
      <c r="L28" s="23"/>
      <c r="M28" s="23"/>
      <c r="N28" s="23"/>
      <c r="O28" s="23"/>
      <c r="P28" s="23"/>
      <c r="Q28" s="23"/>
      <c r="R28" s="25"/>
      <c r="S28" s="23"/>
      <c r="T28" s="23"/>
      <c r="U28" s="25"/>
      <c r="V28" s="25"/>
      <c r="W28" s="25"/>
    </row>
    <row r="29" spans="1:23" x14ac:dyDescent="0.25">
      <c r="A29" s="703"/>
      <c r="B29" s="4"/>
      <c r="C29" s="23"/>
      <c r="D29" s="23"/>
      <c r="E29" s="23"/>
      <c r="F29" s="23"/>
      <c r="G29" s="23"/>
      <c r="H29" s="23"/>
      <c r="I29" s="23"/>
      <c r="J29" s="23"/>
      <c r="K29" s="23"/>
      <c r="L29" s="23"/>
      <c r="M29" s="23"/>
      <c r="N29" s="23"/>
      <c r="O29" s="23"/>
      <c r="P29" s="23"/>
      <c r="Q29" s="23"/>
      <c r="R29" s="25"/>
      <c r="S29" s="23"/>
      <c r="T29" s="23"/>
      <c r="U29" s="25"/>
      <c r="V29" s="25"/>
      <c r="W29" s="25"/>
    </row>
    <row r="30" spans="1:23" x14ac:dyDescent="0.25">
      <c r="A30" s="703"/>
      <c r="B30" s="4"/>
      <c r="C30" s="23"/>
      <c r="D30" s="23"/>
      <c r="E30" s="23"/>
      <c r="F30" s="23"/>
      <c r="G30" s="23"/>
      <c r="H30" s="23"/>
      <c r="I30" s="23"/>
      <c r="J30" s="23"/>
      <c r="K30" s="23"/>
      <c r="L30" s="23"/>
      <c r="M30" s="23"/>
      <c r="N30" s="23"/>
      <c r="O30" s="23"/>
      <c r="P30" s="23"/>
      <c r="Q30" s="23"/>
      <c r="R30" s="25"/>
      <c r="S30" s="23"/>
      <c r="T30" s="23"/>
      <c r="U30" s="25"/>
      <c r="V30" s="25"/>
      <c r="W30" s="25"/>
    </row>
    <row r="31" spans="1:23" x14ac:dyDescent="0.25">
      <c r="A31" s="703"/>
      <c r="B31" s="4"/>
      <c r="C31" s="23"/>
      <c r="D31" s="23"/>
      <c r="E31" s="23"/>
      <c r="F31" s="23"/>
      <c r="G31" s="23"/>
      <c r="H31" s="23"/>
      <c r="I31" s="23"/>
      <c r="J31" s="23"/>
      <c r="K31" s="23"/>
      <c r="L31" s="23"/>
      <c r="M31" s="23"/>
      <c r="N31" s="23"/>
      <c r="O31" s="23"/>
      <c r="P31" s="23"/>
      <c r="Q31" s="23"/>
      <c r="R31" s="25"/>
      <c r="S31" s="23"/>
      <c r="T31" s="23"/>
      <c r="U31" s="25"/>
      <c r="V31" s="25"/>
      <c r="W31" s="25"/>
    </row>
    <row r="32" spans="1:23" x14ac:dyDescent="0.25">
      <c r="A32" s="703"/>
      <c r="B32" s="4"/>
      <c r="C32" s="23"/>
      <c r="D32" s="23"/>
      <c r="E32" s="23"/>
      <c r="F32" s="23"/>
      <c r="G32" s="23"/>
      <c r="H32" s="23"/>
      <c r="I32" s="23"/>
      <c r="J32" s="23"/>
      <c r="K32" s="23"/>
      <c r="L32" s="23"/>
      <c r="M32" s="23"/>
      <c r="N32" s="23"/>
      <c r="O32" s="23"/>
      <c r="P32" s="23"/>
      <c r="Q32" s="23"/>
      <c r="R32" s="25"/>
      <c r="S32" s="23"/>
      <c r="T32" s="23"/>
      <c r="U32" s="25"/>
      <c r="V32" s="25"/>
      <c r="W32" s="25"/>
    </row>
    <row r="33" spans="1:23" x14ac:dyDescent="0.25">
      <c r="A33" s="703"/>
      <c r="B33" s="4"/>
      <c r="C33" s="23"/>
      <c r="D33" s="23"/>
      <c r="E33" s="23"/>
      <c r="F33" s="23"/>
      <c r="G33" s="23"/>
      <c r="H33" s="23"/>
      <c r="I33" s="23"/>
      <c r="J33" s="23"/>
      <c r="K33" s="23"/>
      <c r="L33" s="23"/>
      <c r="M33" s="23"/>
      <c r="N33" s="23"/>
      <c r="O33" s="23"/>
      <c r="P33" s="23"/>
      <c r="Q33" s="23"/>
      <c r="R33" s="25"/>
      <c r="S33" s="23"/>
      <c r="T33" s="23"/>
      <c r="U33" s="25"/>
      <c r="V33" s="25"/>
      <c r="W33" s="25"/>
    </row>
    <row r="34" spans="1:23" x14ac:dyDescent="0.25">
      <c r="A34" s="703"/>
      <c r="B34" s="4"/>
      <c r="C34" s="23"/>
      <c r="D34" s="23"/>
      <c r="E34" s="23"/>
      <c r="F34" s="23"/>
      <c r="G34" s="23"/>
      <c r="H34" s="23"/>
      <c r="I34" s="23"/>
      <c r="J34" s="23"/>
      <c r="K34" s="23"/>
      <c r="L34" s="23"/>
      <c r="M34" s="23"/>
      <c r="N34" s="23"/>
      <c r="O34" s="23"/>
      <c r="P34" s="23"/>
      <c r="Q34" s="23"/>
      <c r="R34" s="25"/>
      <c r="S34" s="23"/>
      <c r="T34" s="23"/>
      <c r="U34" s="25"/>
      <c r="V34" s="25"/>
      <c r="W34" s="25"/>
    </row>
    <row r="35" spans="1:23" x14ac:dyDescent="0.25">
      <c r="A35" s="703"/>
      <c r="B35" s="4"/>
      <c r="C35" s="23"/>
      <c r="D35" s="23"/>
      <c r="E35" s="23"/>
      <c r="F35" s="23"/>
      <c r="G35" s="23"/>
      <c r="H35" s="23"/>
      <c r="I35" s="23"/>
      <c r="J35" s="23"/>
      <c r="K35" s="23"/>
      <c r="L35" s="23"/>
      <c r="M35" s="23"/>
      <c r="N35" s="23"/>
      <c r="O35" s="23"/>
      <c r="P35" s="23"/>
      <c r="Q35" s="23"/>
      <c r="R35" s="25"/>
      <c r="S35" s="23"/>
      <c r="T35" s="23"/>
      <c r="U35" s="25"/>
      <c r="V35" s="25"/>
      <c r="W35" s="25"/>
    </row>
    <row r="36" spans="1:23" x14ac:dyDescent="0.25">
      <c r="A36" s="703"/>
      <c r="B36" s="4"/>
      <c r="C36" s="23"/>
      <c r="D36" s="23"/>
      <c r="E36" s="23"/>
      <c r="F36" s="23"/>
      <c r="G36" s="23"/>
      <c r="H36" s="23"/>
      <c r="I36" s="23"/>
      <c r="J36" s="23"/>
      <c r="K36" s="23"/>
      <c r="L36" s="23"/>
      <c r="M36" s="23"/>
      <c r="N36" s="23"/>
      <c r="O36" s="23"/>
      <c r="P36" s="23"/>
      <c r="Q36" s="23"/>
      <c r="R36" s="25"/>
      <c r="S36" s="23"/>
      <c r="T36" s="23"/>
      <c r="U36" s="25"/>
      <c r="V36" s="25"/>
      <c r="W36" s="25"/>
    </row>
    <row r="37" spans="1:23" x14ac:dyDescent="0.25">
      <c r="A37" s="703"/>
      <c r="B37" s="4"/>
      <c r="C37" s="23"/>
      <c r="D37" s="23"/>
      <c r="E37" s="23"/>
      <c r="F37" s="23"/>
      <c r="G37" s="23"/>
      <c r="H37" s="23"/>
      <c r="I37" s="23"/>
      <c r="J37" s="23"/>
      <c r="K37" s="23"/>
      <c r="L37" s="23"/>
      <c r="M37" s="23"/>
      <c r="N37" s="23"/>
      <c r="O37" s="23"/>
      <c r="P37" s="23"/>
      <c r="Q37" s="23"/>
      <c r="R37" s="25"/>
      <c r="S37" s="23"/>
      <c r="T37" s="23"/>
      <c r="U37" s="25"/>
      <c r="V37" s="25"/>
      <c r="W37" s="25"/>
    </row>
    <row r="38" spans="1:23" x14ac:dyDescent="0.25">
      <c r="A38" s="703"/>
      <c r="B38" s="4"/>
      <c r="C38" s="23"/>
      <c r="D38" s="23"/>
      <c r="E38" s="23"/>
      <c r="F38" s="23"/>
      <c r="G38" s="23"/>
      <c r="H38" s="23"/>
      <c r="I38" s="23"/>
      <c r="J38" s="23"/>
      <c r="K38" s="23"/>
      <c r="L38" s="23"/>
      <c r="M38" s="23"/>
      <c r="N38" s="23"/>
      <c r="O38" s="23"/>
      <c r="P38" s="23"/>
      <c r="Q38" s="23"/>
      <c r="R38" s="25"/>
      <c r="S38" s="23"/>
      <c r="T38" s="23"/>
      <c r="U38" s="25"/>
      <c r="V38" s="25"/>
      <c r="W38" s="25"/>
    </row>
    <row r="39" spans="1:23" x14ac:dyDescent="0.25">
      <c r="A39" s="703"/>
      <c r="B39" s="4"/>
      <c r="C39" s="23"/>
      <c r="D39" s="23"/>
      <c r="E39" s="23"/>
      <c r="F39" s="23"/>
      <c r="G39" s="23"/>
      <c r="H39" s="23"/>
      <c r="I39" s="23"/>
      <c r="J39" s="23"/>
      <c r="K39" s="23"/>
      <c r="L39" s="23"/>
      <c r="M39" s="23"/>
      <c r="N39" s="23"/>
      <c r="O39" s="23"/>
      <c r="P39" s="23"/>
      <c r="Q39" s="23"/>
      <c r="R39" s="25"/>
      <c r="S39" s="23"/>
      <c r="T39" s="23"/>
      <c r="U39" s="25"/>
      <c r="V39" s="25"/>
      <c r="W39" s="25"/>
    </row>
    <row r="40" spans="1:23" x14ac:dyDescent="0.25">
      <c r="A40" s="703"/>
      <c r="B40" s="4"/>
      <c r="C40" s="23"/>
      <c r="D40" s="23"/>
      <c r="E40" s="23"/>
      <c r="F40" s="23"/>
      <c r="G40" s="23"/>
      <c r="H40" s="23"/>
      <c r="I40" s="23"/>
      <c r="J40" s="23"/>
      <c r="K40" s="23"/>
      <c r="L40" s="23"/>
      <c r="M40" s="23"/>
      <c r="N40" s="23"/>
      <c r="O40" s="23"/>
      <c r="P40" s="23"/>
      <c r="Q40" s="23"/>
      <c r="R40" s="25"/>
      <c r="S40" s="23"/>
      <c r="T40" s="23"/>
      <c r="U40" s="25"/>
      <c r="V40" s="25"/>
      <c r="W40" s="25"/>
    </row>
    <row r="41" spans="1:23" x14ac:dyDescent="0.25">
      <c r="A41" s="703"/>
      <c r="B41" s="4"/>
      <c r="C41" s="23"/>
      <c r="D41" s="23"/>
      <c r="E41" s="23"/>
      <c r="F41" s="23"/>
      <c r="G41" s="23"/>
      <c r="H41" s="23"/>
      <c r="I41" s="23"/>
      <c r="J41" s="23"/>
      <c r="K41" s="23"/>
      <c r="L41" s="23"/>
      <c r="M41" s="23"/>
      <c r="N41" s="23"/>
      <c r="O41" s="23"/>
      <c r="P41" s="23"/>
      <c r="Q41" s="23"/>
      <c r="R41" s="25"/>
      <c r="S41" s="23"/>
      <c r="T41" s="23"/>
      <c r="U41" s="25"/>
      <c r="V41" s="25"/>
      <c r="W41" s="25"/>
    </row>
    <row r="42" spans="1:23" x14ac:dyDescent="0.25">
      <c r="A42" s="703"/>
      <c r="B42" s="4"/>
      <c r="C42" s="23"/>
      <c r="D42" s="23"/>
      <c r="E42" s="23"/>
      <c r="F42" s="23"/>
      <c r="G42" s="23"/>
      <c r="H42" s="23"/>
      <c r="I42" s="23"/>
      <c r="J42" s="23"/>
      <c r="K42" s="23"/>
      <c r="L42" s="23"/>
      <c r="M42" s="23"/>
      <c r="N42" s="23"/>
      <c r="O42" s="23"/>
      <c r="P42" s="23"/>
      <c r="Q42" s="23"/>
      <c r="R42" s="25"/>
      <c r="S42" s="23"/>
      <c r="T42" s="23"/>
      <c r="U42" s="25"/>
      <c r="V42" s="25"/>
      <c r="W42" s="25"/>
    </row>
    <row r="43" spans="1:23" x14ac:dyDescent="0.25">
      <c r="A43" s="703"/>
      <c r="B43" s="4"/>
      <c r="C43" s="23"/>
      <c r="D43" s="23"/>
      <c r="E43" s="23"/>
      <c r="F43" s="23"/>
      <c r="G43" s="23"/>
      <c r="H43" s="23"/>
      <c r="I43" s="23"/>
      <c r="J43" s="23"/>
      <c r="K43" s="23"/>
      <c r="L43" s="23"/>
      <c r="M43" s="23"/>
      <c r="N43" s="23"/>
      <c r="O43" s="23"/>
      <c r="P43" s="23"/>
      <c r="Q43" s="23"/>
      <c r="R43" s="25"/>
      <c r="S43" s="23"/>
      <c r="T43" s="23"/>
      <c r="U43" s="25"/>
      <c r="V43" s="25"/>
      <c r="W43" s="25"/>
    </row>
    <row r="44" spans="1:23" x14ac:dyDescent="0.25">
      <c r="A44" s="703"/>
      <c r="B44" s="4"/>
      <c r="C44" s="23"/>
      <c r="D44" s="23"/>
      <c r="E44" s="23"/>
      <c r="F44" s="23"/>
      <c r="G44" s="23"/>
      <c r="H44" s="23"/>
      <c r="I44" s="23"/>
      <c r="J44" s="23"/>
      <c r="K44" s="23"/>
      <c r="L44" s="23"/>
      <c r="M44" s="23"/>
      <c r="N44" s="23"/>
      <c r="O44" s="23"/>
      <c r="P44" s="23"/>
      <c r="Q44" s="23"/>
      <c r="R44" s="25"/>
      <c r="S44" s="23"/>
      <c r="T44" s="23"/>
      <c r="U44" s="25"/>
      <c r="V44" s="25"/>
      <c r="W44" s="25"/>
    </row>
    <row r="45" spans="1:23" x14ac:dyDescent="0.25">
      <c r="A45" s="703"/>
      <c r="B45" s="4"/>
      <c r="C45" s="23"/>
      <c r="D45" s="23"/>
      <c r="E45" s="23"/>
      <c r="F45" s="23"/>
      <c r="G45" s="23"/>
      <c r="H45" s="23"/>
      <c r="I45" s="23"/>
      <c r="J45" s="23"/>
      <c r="K45" s="23"/>
      <c r="L45" s="23"/>
      <c r="M45" s="23"/>
      <c r="N45" s="23"/>
      <c r="O45" s="23"/>
      <c r="P45" s="23"/>
      <c r="Q45" s="23"/>
      <c r="R45" s="25"/>
      <c r="S45" s="23"/>
      <c r="T45" s="23"/>
      <c r="U45" s="25"/>
      <c r="V45" s="25"/>
      <c r="W45" s="25"/>
    </row>
    <row r="46" spans="1:23" x14ac:dyDescent="0.25">
      <c r="A46" s="703"/>
      <c r="B46" s="4"/>
      <c r="C46" s="23"/>
      <c r="D46" s="23"/>
      <c r="E46" s="23"/>
      <c r="F46" s="23"/>
      <c r="G46" s="23"/>
      <c r="H46" s="23"/>
      <c r="I46" s="23"/>
      <c r="J46" s="23"/>
      <c r="K46" s="23"/>
      <c r="L46" s="23"/>
      <c r="M46" s="23"/>
      <c r="N46" s="23"/>
      <c r="O46" s="23"/>
      <c r="P46" s="23"/>
      <c r="Q46" s="23"/>
      <c r="R46" s="25"/>
      <c r="S46" s="23"/>
      <c r="T46" s="23"/>
      <c r="U46" s="25"/>
      <c r="V46" s="25"/>
      <c r="W46" s="25"/>
    </row>
    <row r="47" spans="1:23" x14ac:dyDescent="0.25">
      <c r="A47" s="703"/>
      <c r="B47" s="4"/>
      <c r="C47" s="23"/>
      <c r="D47" s="23"/>
      <c r="E47" s="23"/>
      <c r="F47" s="23"/>
      <c r="G47" s="23"/>
      <c r="H47" s="23"/>
      <c r="I47" s="23"/>
      <c r="J47" s="23"/>
      <c r="K47" s="23"/>
      <c r="L47" s="23"/>
      <c r="M47" s="23"/>
      <c r="N47" s="23"/>
      <c r="O47" s="23"/>
      <c r="P47" s="23"/>
      <c r="Q47" s="23"/>
      <c r="R47" s="25"/>
      <c r="S47" s="23"/>
      <c r="T47" s="23"/>
      <c r="U47" s="25"/>
      <c r="V47" s="25"/>
      <c r="W47" s="25"/>
    </row>
    <row r="48" spans="1:23" x14ac:dyDescent="0.25">
      <c r="A48" s="703"/>
      <c r="B48" s="4"/>
      <c r="C48" s="23"/>
      <c r="D48" s="23"/>
      <c r="E48" s="23"/>
      <c r="F48" s="23"/>
      <c r="G48" s="23"/>
      <c r="H48" s="23"/>
      <c r="I48" s="23"/>
      <c r="J48" s="23"/>
      <c r="K48" s="23"/>
      <c r="L48" s="23"/>
      <c r="M48" s="23"/>
      <c r="N48" s="23"/>
      <c r="O48" s="23"/>
      <c r="P48" s="23"/>
      <c r="Q48" s="23"/>
      <c r="R48" s="25"/>
      <c r="S48" s="23"/>
      <c r="T48" s="23"/>
      <c r="U48" s="25"/>
      <c r="V48" s="25"/>
      <c r="W48" s="25"/>
    </row>
    <row r="49" spans="1:23" x14ac:dyDescent="0.25">
      <c r="A49" s="703"/>
      <c r="B49" s="4"/>
      <c r="C49" s="23"/>
      <c r="D49" s="23"/>
      <c r="E49" s="23"/>
      <c r="F49" s="23"/>
      <c r="G49" s="23"/>
      <c r="H49" s="23"/>
      <c r="I49" s="23"/>
      <c r="J49" s="23"/>
      <c r="K49" s="23"/>
      <c r="L49" s="23"/>
      <c r="M49" s="23"/>
      <c r="N49" s="23"/>
      <c r="O49" s="23"/>
      <c r="P49" s="23"/>
      <c r="Q49" s="23"/>
      <c r="R49" s="25"/>
      <c r="S49" s="23"/>
      <c r="T49" s="23"/>
      <c r="U49" s="25"/>
      <c r="V49" s="25"/>
      <c r="W49" s="25"/>
    </row>
    <row r="50" spans="1:23" x14ac:dyDescent="0.25">
      <c r="A50" s="703"/>
      <c r="B50" s="4"/>
      <c r="C50" s="23"/>
      <c r="D50" s="23"/>
      <c r="E50" s="23"/>
      <c r="F50" s="23"/>
      <c r="G50" s="23"/>
      <c r="H50" s="23"/>
      <c r="I50" s="23"/>
      <c r="J50" s="23"/>
      <c r="K50" s="23"/>
      <c r="L50" s="23"/>
      <c r="M50" s="23"/>
      <c r="N50" s="23"/>
      <c r="O50" s="23"/>
      <c r="P50" s="23"/>
      <c r="Q50" s="23"/>
      <c r="R50" s="25"/>
      <c r="S50" s="23"/>
      <c r="T50" s="23"/>
      <c r="U50" s="25"/>
      <c r="V50" s="25"/>
      <c r="W50" s="25"/>
    </row>
    <row r="51" spans="1:23" x14ac:dyDescent="0.25">
      <c r="A51" s="703"/>
      <c r="B51" s="4"/>
      <c r="C51" s="23"/>
      <c r="D51" s="23"/>
      <c r="E51" s="23"/>
      <c r="F51" s="23"/>
      <c r="G51" s="23"/>
      <c r="H51" s="23"/>
      <c r="I51" s="23"/>
      <c r="J51" s="23"/>
      <c r="K51" s="23"/>
      <c r="L51" s="23"/>
      <c r="M51" s="23"/>
      <c r="N51" s="23"/>
      <c r="O51" s="23"/>
      <c r="P51" s="23"/>
      <c r="Q51" s="23"/>
      <c r="R51" s="25"/>
      <c r="S51" s="23"/>
      <c r="T51" s="23"/>
      <c r="U51" s="25"/>
      <c r="V51" s="25"/>
      <c r="W51" s="25"/>
    </row>
    <row r="52" spans="1:23" x14ac:dyDescent="0.25">
      <c r="A52" s="703"/>
      <c r="B52" s="4"/>
      <c r="C52" s="23"/>
      <c r="D52" s="23"/>
      <c r="E52" s="23"/>
      <c r="F52" s="23"/>
      <c r="G52" s="23"/>
      <c r="H52" s="23"/>
      <c r="I52" s="23"/>
      <c r="J52" s="23"/>
      <c r="K52" s="23"/>
      <c r="L52" s="23"/>
      <c r="M52" s="23"/>
      <c r="N52" s="23"/>
      <c r="O52" s="23"/>
      <c r="P52" s="23"/>
      <c r="Q52" s="23"/>
      <c r="R52" s="25"/>
      <c r="S52" s="23"/>
      <c r="T52" s="23"/>
      <c r="U52" s="25"/>
      <c r="V52" s="25"/>
      <c r="W52" s="25"/>
    </row>
    <row r="53" spans="1:23" x14ac:dyDescent="0.25">
      <c r="A53" s="703"/>
      <c r="B53" s="4"/>
      <c r="C53" s="23"/>
      <c r="D53" s="23"/>
      <c r="E53" s="23"/>
      <c r="F53" s="23"/>
      <c r="G53" s="23"/>
      <c r="H53" s="23"/>
      <c r="I53" s="23"/>
      <c r="J53" s="23"/>
      <c r="K53" s="23"/>
      <c r="L53" s="23"/>
      <c r="M53" s="23"/>
      <c r="N53" s="23"/>
      <c r="O53" s="23"/>
      <c r="P53" s="23"/>
      <c r="Q53" s="23"/>
      <c r="R53" s="25"/>
      <c r="S53" s="23"/>
      <c r="T53" s="23"/>
      <c r="U53" s="25"/>
      <c r="V53" s="25"/>
      <c r="W53" s="25"/>
    </row>
    <row r="54" spans="1:23" x14ac:dyDescent="0.25">
      <c r="A54" s="703"/>
      <c r="B54" s="4"/>
      <c r="C54" s="23"/>
      <c r="D54" s="23"/>
      <c r="E54" s="23"/>
      <c r="F54" s="23"/>
      <c r="G54" s="23"/>
      <c r="H54" s="23"/>
      <c r="I54" s="23"/>
      <c r="J54" s="23"/>
      <c r="K54" s="23"/>
      <c r="L54" s="23"/>
      <c r="M54" s="23"/>
      <c r="N54" s="23"/>
      <c r="O54" s="23"/>
      <c r="P54" s="23"/>
      <c r="Q54" s="23"/>
      <c r="R54" s="25"/>
      <c r="S54" s="23"/>
      <c r="T54" s="23"/>
      <c r="U54" s="25"/>
      <c r="V54" s="25"/>
      <c r="W54" s="25"/>
    </row>
    <row r="55" spans="1:23" x14ac:dyDescent="0.25">
      <c r="A55" s="703"/>
      <c r="B55" s="4"/>
      <c r="C55" s="23"/>
      <c r="D55" s="23"/>
      <c r="E55" s="23"/>
      <c r="F55" s="23"/>
      <c r="G55" s="23"/>
      <c r="H55" s="23"/>
      <c r="I55" s="23"/>
      <c r="J55" s="23"/>
      <c r="K55" s="23"/>
      <c r="L55" s="23"/>
      <c r="M55" s="23"/>
      <c r="N55" s="23"/>
      <c r="O55" s="23"/>
      <c r="P55" s="23"/>
      <c r="Q55" s="23"/>
      <c r="R55" s="25"/>
      <c r="S55" s="23"/>
      <c r="T55" s="23"/>
      <c r="U55" s="25"/>
      <c r="V55" s="25"/>
      <c r="W55" s="25"/>
    </row>
    <row r="56" spans="1:23" x14ac:dyDescent="0.25">
      <c r="A56" s="703"/>
      <c r="B56" s="4"/>
      <c r="C56" s="23"/>
      <c r="D56" s="23"/>
      <c r="E56" s="23"/>
      <c r="F56" s="23"/>
      <c r="G56" s="23"/>
      <c r="H56" s="23"/>
      <c r="I56" s="23"/>
      <c r="J56" s="23"/>
      <c r="K56" s="23"/>
      <c r="L56" s="23"/>
      <c r="M56" s="23"/>
      <c r="N56" s="23"/>
      <c r="O56" s="23"/>
      <c r="P56" s="23"/>
      <c r="Q56" s="23"/>
      <c r="R56" s="25"/>
      <c r="S56" s="23"/>
      <c r="T56" s="23"/>
      <c r="U56" s="25"/>
      <c r="V56" s="25"/>
      <c r="W56" s="25"/>
    </row>
    <row r="57" spans="1:23" x14ac:dyDescent="0.25">
      <c r="A57" s="703"/>
      <c r="B57" s="4"/>
      <c r="C57" s="23"/>
      <c r="D57" s="23"/>
      <c r="E57" s="23"/>
      <c r="F57" s="23"/>
      <c r="G57" s="23"/>
      <c r="H57" s="23"/>
      <c r="I57" s="23"/>
      <c r="J57" s="23"/>
      <c r="K57" s="23"/>
      <c r="L57" s="23"/>
      <c r="M57" s="23"/>
      <c r="N57" s="23"/>
      <c r="O57" s="23"/>
      <c r="P57" s="23"/>
      <c r="Q57" s="23"/>
      <c r="R57" s="25"/>
      <c r="S57" s="23"/>
      <c r="T57" s="23"/>
      <c r="U57" s="25"/>
      <c r="V57" s="25"/>
      <c r="W57" s="25"/>
    </row>
    <row r="58" spans="1:23" x14ac:dyDescent="0.25">
      <c r="A58" s="703"/>
      <c r="B58" s="4"/>
      <c r="C58" s="23"/>
      <c r="D58" s="23"/>
      <c r="E58" s="23"/>
      <c r="F58" s="23"/>
      <c r="G58" s="23"/>
      <c r="H58" s="23"/>
      <c r="I58" s="23"/>
      <c r="J58" s="23"/>
      <c r="K58" s="23"/>
      <c r="L58" s="23"/>
      <c r="M58" s="23"/>
      <c r="N58" s="23"/>
      <c r="O58" s="23"/>
      <c r="P58" s="23"/>
      <c r="Q58" s="23"/>
      <c r="R58" s="25"/>
      <c r="S58" s="23"/>
      <c r="T58" s="23"/>
      <c r="U58" s="25"/>
      <c r="V58" s="25"/>
      <c r="W58" s="25"/>
    </row>
    <row r="59" spans="1:23" x14ac:dyDescent="0.25">
      <c r="A59" s="703"/>
      <c r="B59" s="4"/>
      <c r="C59" s="23"/>
      <c r="D59" s="23"/>
      <c r="E59" s="23"/>
      <c r="F59" s="23"/>
      <c r="G59" s="23"/>
      <c r="H59" s="23"/>
      <c r="I59" s="23"/>
      <c r="J59" s="23"/>
      <c r="K59" s="23"/>
      <c r="L59" s="23"/>
      <c r="M59" s="23"/>
      <c r="N59" s="23"/>
      <c r="O59" s="23"/>
      <c r="P59" s="23"/>
      <c r="Q59" s="23"/>
      <c r="R59" s="25"/>
      <c r="S59" s="23"/>
      <c r="T59" s="23"/>
      <c r="U59" s="25"/>
      <c r="V59" s="25"/>
      <c r="W59" s="25"/>
    </row>
    <row r="60" spans="1:23" x14ac:dyDescent="0.25">
      <c r="A60" s="703"/>
      <c r="B60" s="4"/>
      <c r="C60" s="23"/>
      <c r="D60" s="23"/>
      <c r="E60" s="23"/>
      <c r="F60" s="23"/>
      <c r="G60" s="23"/>
      <c r="H60" s="23"/>
      <c r="I60" s="23"/>
      <c r="J60" s="23"/>
      <c r="K60" s="23"/>
      <c r="L60" s="23"/>
      <c r="M60" s="23"/>
      <c r="N60" s="23"/>
      <c r="O60" s="23"/>
      <c r="P60" s="23"/>
      <c r="Q60" s="23"/>
      <c r="R60" s="25"/>
      <c r="S60" s="23"/>
      <c r="T60" s="23"/>
      <c r="U60" s="25"/>
      <c r="V60" s="25"/>
      <c r="W60" s="25"/>
    </row>
    <row r="61" spans="1:23" x14ac:dyDescent="0.25">
      <c r="A61" s="703"/>
      <c r="B61" s="4"/>
      <c r="C61" s="23"/>
      <c r="D61" s="23"/>
      <c r="E61" s="23"/>
      <c r="F61" s="23"/>
      <c r="G61" s="23"/>
      <c r="H61" s="23"/>
      <c r="I61" s="23"/>
      <c r="J61" s="23"/>
      <c r="K61" s="23"/>
      <c r="L61" s="23"/>
      <c r="M61" s="23"/>
      <c r="N61" s="23"/>
      <c r="O61" s="23"/>
      <c r="P61" s="23"/>
      <c r="Q61" s="23"/>
      <c r="R61" s="25"/>
      <c r="S61" s="23"/>
      <c r="T61" s="23"/>
      <c r="U61" s="25"/>
      <c r="V61" s="25"/>
      <c r="W61" s="25"/>
    </row>
    <row r="62" spans="1:23" x14ac:dyDescent="0.25">
      <c r="A62" s="703"/>
      <c r="B62" s="4"/>
      <c r="C62" s="23"/>
      <c r="D62" s="23"/>
      <c r="E62" s="23"/>
      <c r="F62" s="23"/>
      <c r="G62" s="23"/>
      <c r="H62" s="23"/>
      <c r="I62" s="23"/>
      <c r="J62" s="23"/>
      <c r="K62" s="23"/>
      <c r="L62" s="23"/>
      <c r="M62" s="23"/>
      <c r="N62" s="23"/>
      <c r="O62" s="23"/>
      <c r="P62" s="23"/>
      <c r="Q62" s="23"/>
      <c r="R62" s="25"/>
      <c r="S62" s="23"/>
      <c r="T62" s="23"/>
      <c r="U62" s="25"/>
      <c r="V62" s="25"/>
      <c r="W62" s="25"/>
    </row>
    <row r="63" spans="1:23" x14ac:dyDescent="0.25">
      <c r="A63" s="703"/>
      <c r="B63" s="4"/>
      <c r="C63" s="23"/>
      <c r="D63" s="23"/>
      <c r="E63" s="23"/>
      <c r="F63" s="23"/>
      <c r="G63" s="23"/>
      <c r="H63" s="23"/>
      <c r="I63" s="23"/>
      <c r="J63" s="23"/>
      <c r="K63" s="23"/>
      <c r="L63" s="23"/>
      <c r="M63" s="23"/>
      <c r="N63" s="23"/>
      <c r="O63" s="23"/>
      <c r="P63" s="23"/>
      <c r="Q63" s="23"/>
      <c r="R63" s="25"/>
      <c r="S63" s="23"/>
      <c r="T63" s="23"/>
      <c r="U63" s="25"/>
      <c r="V63" s="25"/>
      <c r="W63" s="25"/>
    </row>
    <row r="64" spans="1:23" x14ac:dyDescent="0.25">
      <c r="A64" s="703"/>
      <c r="B64" s="4"/>
      <c r="C64" s="23"/>
      <c r="D64" s="23"/>
      <c r="E64" s="23"/>
      <c r="F64" s="23"/>
      <c r="G64" s="23"/>
      <c r="H64" s="23"/>
      <c r="I64" s="23"/>
      <c r="J64" s="23"/>
      <c r="K64" s="23"/>
      <c r="L64" s="23"/>
      <c r="M64" s="23"/>
      <c r="N64" s="23"/>
      <c r="O64" s="23"/>
      <c r="P64" s="23"/>
      <c r="Q64" s="23"/>
      <c r="R64" s="25"/>
      <c r="S64" s="23"/>
      <c r="T64" s="23"/>
      <c r="U64" s="25"/>
      <c r="V64" s="25"/>
      <c r="W64" s="25"/>
    </row>
    <row r="65" spans="1:23" x14ac:dyDescent="0.25">
      <c r="A65" s="703"/>
      <c r="B65" s="4"/>
      <c r="C65" s="23"/>
      <c r="D65" s="23"/>
      <c r="E65" s="23"/>
      <c r="F65" s="23"/>
      <c r="G65" s="23"/>
      <c r="H65" s="23"/>
      <c r="I65" s="23"/>
      <c r="J65" s="23"/>
      <c r="K65" s="23"/>
      <c r="L65" s="23"/>
      <c r="M65" s="23"/>
      <c r="N65" s="23"/>
      <c r="O65" s="23"/>
      <c r="P65" s="23"/>
      <c r="Q65" s="23"/>
      <c r="R65" s="25"/>
      <c r="S65" s="23"/>
      <c r="T65" s="23"/>
      <c r="U65" s="25"/>
      <c r="V65" s="25"/>
      <c r="W65" s="25"/>
    </row>
    <row r="66" spans="1:23" x14ac:dyDescent="0.25">
      <c r="A66" s="703"/>
      <c r="B66" s="4"/>
      <c r="C66" s="23"/>
      <c r="D66" s="23"/>
      <c r="E66" s="23"/>
      <c r="F66" s="23"/>
      <c r="G66" s="23"/>
      <c r="H66" s="23"/>
      <c r="I66" s="23"/>
      <c r="J66" s="23"/>
      <c r="K66" s="23"/>
      <c r="L66" s="23"/>
      <c r="M66" s="23"/>
      <c r="N66" s="23"/>
      <c r="O66" s="23"/>
      <c r="P66" s="23"/>
      <c r="Q66" s="23"/>
      <c r="R66" s="25"/>
      <c r="S66" s="23"/>
      <c r="T66" s="23"/>
      <c r="U66" s="25"/>
      <c r="V66" s="25"/>
      <c r="W66" s="25"/>
    </row>
    <row r="67" spans="1:23" x14ac:dyDescent="0.25">
      <c r="A67" s="703"/>
      <c r="B67" s="4"/>
      <c r="C67" s="23"/>
      <c r="D67" s="23"/>
      <c r="E67" s="23"/>
      <c r="F67" s="23"/>
      <c r="G67" s="23"/>
      <c r="H67" s="23"/>
      <c r="I67" s="23"/>
      <c r="J67" s="23"/>
      <c r="K67" s="23"/>
      <c r="L67" s="23"/>
      <c r="M67" s="23"/>
      <c r="N67" s="23"/>
      <c r="O67" s="23"/>
      <c r="P67" s="23"/>
      <c r="Q67" s="23"/>
      <c r="R67" s="25"/>
      <c r="S67" s="23"/>
      <c r="T67" s="23"/>
      <c r="U67" s="25"/>
      <c r="V67" s="25"/>
      <c r="W67" s="25"/>
    </row>
    <row r="68" spans="1:23" x14ac:dyDescent="0.25">
      <c r="A68" s="703"/>
      <c r="B68" s="4"/>
      <c r="C68" s="23"/>
      <c r="D68" s="23"/>
      <c r="E68" s="23"/>
      <c r="F68" s="23"/>
      <c r="G68" s="23"/>
      <c r="H68" s="23"/>
      <c r="I68" s="23"/>
      <c r="J68" s="23"/>
      <c r="K68" s="23"/>
      <c r="L68" s="23"/>
      <c r="M68" s="23"/>
      <c r="N68" s="23"/>
      <c r="O68" s="23"/>
      <c r="P68" s="23"/>
      <c r="Q68" s="23"/>
      <c r="R68" s="25"/>
      <c r="S68" s="23"/>
      <c r="T68" s="23"/>
      <c r="U68" s="25"/>
      <c r="V68" s="25"/>
      <c r="W68" s="25"/>
    </row>
    <row r="69" spans="1:23" x14ac:dyDescent="0.25">
      <c r="A69" s="703"/>
      <c r="B69" s="4"/>
      <c r="C69" s="23"/>
      <c r="D69" s="23"/>
      <c r="E69" s="23"/>
      <c r="F69" s="23"/>
      <c r="G69" s="23"/>
      <c r="H69" s="23"/>
      <c r="I69" s="23"/>
      <c r="J69" s="23"/>
      <c r="K69" s="23"/>
      <c r="L69" s="23"/>
      <c r="M69" s="23"/>
      <c r="N69" s="23"/>
      <c r="O69" s="23"/>
      <c r="P69" s="23"/>
      <c r="Q69" s="23"/>
      <c r="R69" s="25"/>
      <c r="S69" s="23"/>
      <c r="T69" s="23"/>
      <c r="U69" s="25"/>
      <c r="V69" s="25"/>
      <c r="W69" s="25"/>
    </row>
    <row r="70" spans="1:23" x14ac:dyDescent="0.25">
      <c r="A70" s="703"/>
      <c r="B70" s="4"/>
      <c r="C70" s="23"/>
      <c r="D70" s="23"/>
      <c r="E70" s="23"/>
      <c r="F70" s="23"/>
      <c r="G70" s="23"/>
      <c r="H70" s="23"/>
      <c r="I70" s="23"/>
      <c r="J70" s="23"/>
      <c r="K70" s="23"/>
      <c r="L70" s="23"/>
      <c r="M70" s="23"/>
      <c r="N70" s="23"/>
      <c r="O70" s="23"/>
      <c r="P70" s="23"/>
      <c r="Q70" s="23"/>
      <c r="R70" s="25"/>
      <c r="S70" s="23"/>
      <c r="T70" s="23"/>
      <c r="U70" s="25"/>
      <c r="V70" s="25"/>
      <c r="W70" s="25"/>
    </row>
    <row r="71" spans="1:23" x14ac:dyDescent="0.25">
      <c r="A71" s="703"/>
      <c r="B71" s="4"/>
      <c r="C71" s="23"/>
      <c r="D71" s="23"/>
      <c r="E71" s="23"/>
      <c r="F71" s="23"/>
      <c r="G71" s="23"/>
      <c r="H71" s="23"/>
      <c r="I71" s="23"/>
      <c r="J71" s="23"/>
      <c r="K71" s="23"/>
      <c r="L71" s="23"/>
      <c r="M71" s="23"/>
      <c r="N71" s="23"/>
      <c r="O71" s="23"/>
      <c r="P71" s="23"/>
      <c r="Q71" s="23"/>
      <c r="R71" s="25"/>
      <c r="S71" s="23"/>
      <c r="T71" s="23"/>
      <c r="U71" s="25"/>
      <c r="V71" s="25"/>
      <c r="W71" s="25"/>
    </row>
    <row r="72" spans="1:23" x14ac:dyDescent="0.25">
      <c r="A72" s="703"/>
      <c r="B72" s="4"/>
      <c r="C72" s="23"/>
      <c r="D72" s="23"/>
      <c r="E72" s="23"/>
      <c r="F72" s="23"/>
      <c r="G72" s="23"/>
      <c r="H72" s="23"/>
      <c r="I72" s="23"/>
      <c r="J72" s="23"/>
      <c r="K72" s="23"/>
      <c r="L72" s="23"/>
      <c r="M72" s="23"/>
      <c r="N72" s="23"/>
      <c r="O72" s="23"/>
      <c r="P72" s="23"/>
      <c r="Q72" s="23"/>
      <c r="R72" s="25"/>
      <c r="S72" s="23"/>
      <c r="T72" s="23"/>
      <c r="U72" s="25"/>
      <c r="V72" s="25"/>
      <c r="W72" s="25"/>
    </row>
    <row r="73" spans="1:23" x14ac:dyDescent="0.25">
      <c r="A73" s="703"/>
      <c r="B73" s="4"/>
      <c r="C73" s="23"/>
      <c r="D73" s="23"/>
      <c r="E73" s="23"/>
      <c r="F73" s="23"/>
      <c r="G73" s="23"/>
      <c r="H73" s="23"/>
      <c r="I73" s="23"/>
      <c r="J73" s="23"/>
      <c r="K73" s="23"/>
      <c r="L73" s="23"/>
      <c r="M73" s="23"/>
      <c r="N73" s="23"/>
      <c r="O73" s="23"/>
      <c r="P73" s="23"/>
      <c r="Q73" s="23"/>
      <c r="R73" s="4"/>
      <c r="S73" s="23"/>
      <c r="T73" s="23"/>
      <c r="U73" s="4"/>
      <c r="V73" s="4"/>
      <c r="W73" s="4"/>
    </row>
    <row r="74" spans="1:23" x14ac:dyDescent="0.25">
      <c r="A74" s="703"/>
      <c r="B74" s="4"/>
      <c r="C74" s="23"/>
      <c r="D74" s="23"/>
      <c r="E74" s="23"/>
      <c r="F74" s="23"/>
      <c r="G74" s="23"/>
      <c r="H74" s="23"/>
      <c r="I74" s="23"/>
      <c r="J74" s="23"/>
      <c r="K74" s="23"/>
      <c r="L74" s="23"/>
      <c r="M74" s="23"/>
      <c r="N74" s="23"/>
      <c r="O74" s="23"/>
      <c r="P74" s="23"/>
      <c r="Q74" s="23"/>
      <c r="R74" s="4"/>
      <c r="S74" s="23"/>
      <c r="T74" s="23"/>
      <c r="U74" s="4"/>
      <c r="V74" s="4"/>
      <c r="W74" s="4"/>
    </row>
    <row r="75" spans="1:23" x14ac:dyDescent="0.25">
      <c r="A75" s="703"/>
      <c r="B75" s="4"/>
      <c r="C75" s="23"/>
      <c r="D75" s="23"/>
      <c r="E75" s="23"/>
      <c r="F75" s="23"/>
      <c r="G75" s="23"/>
      <c r="H75" s="23"/>
      <c r="I75" s="23"/>
      <c r="J75" s="23"/>
      <c r="K75" s="23"/>
      <c r="L75" s="23"/>
      <c r="M75" s="23"/>
      <c r="N75" s="23"/>
      <c r="O75" s="23"/>
      <c r="P75" s="23"/>
      <c r="Q75" s="23"/>
      <c r="R75" s="4"/>
      <c r="S75" s="23"/>
      <c r="T75" s="23"/>
      <c r="U75" s="4"/>
      <c r="V75" s="4"/>
      <c r="W75" s="4"/>
    </row>
    <row r="76" spans="1:23" x14ac:dyDescent="0.25">
      <c r="A76" s="703"/>
      <c r="B76" s="4"/>
      <c r="C76" s="23"/>
      <c r="D76" s="23"/>
      <c r="E76" s="23"/>
      <c r="F76" s="23"/>
      <c r="G76" s="23"/>
      <c r="H76" s="23"/>
      <c r="I76" s="23"/>
      <c r="J76" s="23"/>
      <c r="K76" s="23"/>
      <c r="L76" s="23"/>
      <c r="M76" s="23"/>
      <c r="N76" s="23"/>
      <c r="O76" s="23"/>
      <c r="P76" s="23"/>
      <c r="Q76" s="23"/>
      <c r="R76" s="4"/>
      <c r="S76" s="23"/>
      <c r="T76" s="23"/>
      <c r="U76" s="4"/>
      <c r="V76" s="4"/>
      <c r="W76" s="4"/>
    </row>
    <row r="77" spans="1:23" x14ac:dyDescent="0.25">
      <c r="A77" s="703"/>
      <c r="B77" s="4"/>
      <c r="C77" s="23"/>
      <c r="D77" s="23"/>
      <c r="E77" s="23"/>
      <c r="F77" s="23"/>
      <c r="G77" s="23"/>
      <c r="H77" s="23"/>
      <c r="I77" s="23"/>
      <c r="J77" s="23"/>
      <c r="K77" s="23"/>
      <c r="L77" s="23"/>
      <c r="M77" s="23"/>
      <c r="N77" s="23"/>
      <c r="O77" s="23"/>
      <c r="P77" s="23"/>
      <c r="Q77" s="23"/>
      <c r="R77" s="4"/>
      <c r="S77" s="23"/>
      <c r="T77" s="23"/>
      <c r="U77" s="4"/>
      <c r="V77" s="4"/>
      <c r="W77" s="4"/>
    </row>
    <row r="78" spans="1:23" x14ac:dyDescent="0.25">
      <c r="A78" s="703"/>
      <c r="B78" s="4"/>
      <c r="C78" s="23"/>
      <c r="D78" s="23"/>
      <c r="E78" s="23"/>
      <c r="F78" s="23"/>
      <c r="G78" s="23"/>
      <c r="H78" s="23"/>
      <c r="I78" s="23"/>
      <c r="J78" s="23"/>
      <c r="K78" s="23"/>
      <c r="L78" s="23"/>
      <c r="M78" s="23"/>
      <c r="N78" s="23"/>
      <c r="O78" s="23"/>
      <c r="P78" s="23"/>
      <c r="Q78" s="23"/>
      <c r="R78" s="4"/>
      <c r="S78" s="23"/>
      <c r="T78" s="23"/>
      <c r="U78" s="4"/>
      <c r="V78" s="4"/>
      <c r="W78" s="4"/>
    </row>
    <row r="79" spans="1:23" x14ac:dyDescent="0.25">
      <c r="A79" s="703"/>
      <c r="B79" s="4"/>
      <c r="C79" s="23"/>
      <c r="D79" s="23"/>
      <c r="E79" s="23"/>
      <c r="F79" s="23"/>
      <c r="G79" s="23"/>
      <c r="H79" s="23"/>
      <c r="I79" s="23"/>
      <c r="J79" s="23"/>
      <c r="K79" s="23"/>
      <c r="L79" s="23"/>
      <c r="M79" s="23"/>
      <c r="N79" s="23"/>
      <c r="O79" s="23"/>
      <c r="P79" s="23"/>
      <c r="Q79" s="23"/>
      <c r="R79" s="4"/>
      <c r="S79" s="23"/>
      <c r="T79" s="23"/>
      <c r="U79" s="4"/>
      <c r="V79" s="4"/>
      <c r="W79" s="4"/>
    </row>
    <row r="80" spans="1:23" x14ac:dyDescent="0.25">
      <c r="A80" s="703"/>
      <c r="B80" s="4"/>
      <c r="C80" s="23"/>
      <c r="D80" s="23"/>
      <c r="E80" s="23"/>
      <c r="F80" s="23"/>
      <c r="G80" s="23"/>
      <c r="H80" s="23"/>
      <c r="I80" s="23"/>
      <c r="J80" s="23"/>
      <c r="K80" s="23"/>
      <c r="L80" s="23"/>
      <c r="M80" s="23"/>
      <c r="N80" s="23"/>
      <c r="O80" s="23"/>
      <c r="P80" s="23"/>
      <c r="Q80" s="23"/>
      <c r="R80" s="4"/>
      <c r="S80" s="23"/>
      <c r="T80" s="23"/>
      <c r="U80" s="4"/>
      <c r="V80" s="4"/>
      <c r="W80" s="4"/>
    </row>
    <row r="81" spans="1:23" x14ac:dyDescent="0.25">
      <c r="A81" s="703"/>
      <c r="B81" s="4"/>
      <c r="C81" s="23"/>
      <c r="D81" s="23"/>
      <c r="E81" s="23"/>
      <c r="F81" s="23"/>
      <c r="G81" s="23"/>
      <c r="H81" s="23"/>
      <c r="I81" s="23"/>
      <c r="J81" s="23"/>
      <c r="K81" s="23"/>
      <c r="L81" s="23"/>
      <c r="M81" s="23"/>
      <c r="N81" s="23"/>
      <c r="O81" s="23"/>
      <c r="P81" s="23"/>
      <c r="Q81" s="23"/>
      <c r="R81" s="4"/>
      <c r="S81" s="23"/>
      <c r="T81" s="23"/>
      <c r="U81" s="4"/>
      <c r="V81" s="4"/>
      <c r="W81" s="4"/>
    </row>
    <row r="82" spans="1:23" x14ac:dyDescent="0.25">
      <c r="A82" s="703"/>
      <c r="B82" s="4"/>
      <c r="C82" s="23"/>
      <c r="D82" s="23"/>
      <c r="E82" s="23"/>
      <c r="F82" s="23"/>
      <c r="G82" s="23"/>
      <c r="H82" s="23"/>
      <c r="I82" s="23"/>
      <c r="J82" s="23"/>
      <c r="K82" s="23"/>
      <c r="L82" s="23"/>
      <c r="M82" s="23"/>
      <c r="N82" s="23"/>
      <c r="O82" s="23"/>
      <c r="P82" s="23"/>
      <c r="Q82" s="23"/>
      <c r="R82" s="4"/>
      <c r="S82" s="23"/>
      <c r="T82" s="23"/>
      <c r="U82" s="4"/>
      <c r="V82" s="4"/>
      <c r="W82" s="4"/>
    </row>
    <row r="83" spans="1:23" x14ac:dyDescent="0.25">
      <c r="A83" s="703"/>
      <c r="B83" s="4"/>
      <c r="C83" s="23"/>
      <c r="D83" s="23"/>
      <c r="E83" s="23"/>
      <c r="F83" s="23"/>
      <c r="G83" s="23"/>
      <c r="H83" s="23"/>
      <c r="I83" s="23"/>
      <c r="J83" s="23"/>
      <c r="K83" s="23"/>
      <c r="L83" s="23"/>
      <c r="M83" s="23"/>
      <c r="N83" s="23"/>
      <c r="O83" s="23"/>
      <c r="P83" s="23"/>
      <c r="Q83" s="23"/>
      <c r="R83" s="4"/>
      <c r="S83" s="23"/>
      <c r="T83" s="23"/>
      <c r="U83" s="4"/>
      <c r="V83" s="4"/>
      <c r="W83" s="4"/>
    </row>
    <row r="84" spans="1:23" x14ac:dyDescent="0.25">
      <c r="A84" s="703"/>
      <c r="B84" s="4"/>
      <c r="C84" s="23"/>
      <c r="D84" s="23"/>
      <c r="E84" s="23"/>
      <c r="F84" s="23"/>
      <c r="G84" s="23"/>
      <c r="H84" s="23"/>
      <c r="I84" s="23"/>
      <c r="J84" s="23"/>
      <c r="K84" s="23"/>
      <c r="L84" s="23"/>
      <c r="M84" s="23"/>
      <c r="N84" s="23"/>
      <c r="O84" s="23"/>
      <c r="P84" s="23"/>
      <c r="Q84" s="23"/>
      <c r="R84" s="4"/>
      <c r="S84" s="23"/>
      <c r="T84" s="23"/>
      <c r="U84" s="4"/>
      <c r="V84" s="4"/>
      <c r="W84" s="4"/>
    </row>
    <row r="85" spans="1:23" x14ac:dyDescent="0.25">
      <c r="A85" s="703"/>
      <c r="B85" s="4"/>
      <c r="C85" s="23"/>
      <c r="D85" s="23"/>
      <c r="E85" s="23"/>
      <c r="F85" s="23"/>
      <c r="G85" s="23"/>
      <c r="H85" s="23"/>
      <c r="I85" s="23"/>
      <c r="J85" s="23"/>
      <c r="K85" s="23"/>
      <c r="L85" s="23"/>
      <c r="M85" s="23"/>
      <c r="N85" s="23"/>
      <c r="O85" s="23"/>
      <c r="P85" s="23"/>
      <c r="Q85" s="23"/>
      <c r="R85" s="4"/>
      <c r="S85" s="23"/>
      <c r="T85" s="23"/>
      <c r="U85" s="4"/>
      <c r="V85" s="4"/>
      <c r="W85" s="4"/>
    </row>
    <row r="86" spans="1:23" x14ac:dyDescent="0.25">
      <c r="A86" s="703"/>
      <c r="B86" s="4"/>
      <c r="C86" s="23"/>
      <c r="D86" s="23"/>
      <c r="E86" s="23"/>
      <c r="F86" s="23"/>
      <c r="G86" s="23"/>
      <c r="H86" s="23"/>
      <c r="I86" s="23"/>
      <c r="J86" s="23"/>
      <c r="K86" s="23"/>
      <c r="L86" s="23"/>
      <c r="M86" s="23"/>
      <c r="N86" s="23"/>
      <c r="O86" s="23"/>
      <c r="P86" s="23"/>
      <c r="Q86" s="23"/>
      <c r="R86" s="4"/>
      <c r="S86" s="23"/>
      <c r="T86" s="23"/>
      <c r="U86" s="4"/>
      <c r="V86" s="4"/>
      <c r="W86" s="4"/>
    </row>
    <row r="87" spans="1:23" x14ac:dyDescent="0.25">
      <c r="A87" s="703"/>
      <c r="B87" s="4"/>
      <c r="C87" s="23"/>
      <c r="D87" s="23"/>
      <c r="E87" s="23"/>
      <c r="F87" s="23"/>
      <c r="G87" s="23"/>
      <c r="H87" s="23"/>
      <c r="I87" s="23"/>
      <c r="J87" s="23"/>
      <c r="K87" s="23"/>
      <c r="L87" s="23"/>
      <c r="M87" s="23"/>
      <c r="N87" s="23"/>
      <c r="O87" s="23"/>
      <c r="P87" s="23"/>
      <c r="Q87" s="23"/>
      <c r="R87" s="4"/>
      <c r="S87" s="23"/>
      <c r="T87" s="23"/>
      <c r="U87" s="4"/>
      <c r="V87" s="4"/>
      <c r="W87" s="4"/>
    </row>
    <row r="88" spans="1:23" x14ac:dyDescent="0.25">
      <c r="A88" s="703"/>
      <c r="B88" s="4"/>
      <c r="C88" s="23"/>
      <c r="D88" s="23"/>
      <c r="E88" s="23"/>
      <c r="F88" s="23"/>
      <c r="G88" s="23"/>
      <c r="H88" s="23"/>
      <c r="I88" s="23"/>
      <c r="J88" s="23"/>
      <c r="K88" s="23"/>
      <c r="L88" s="23"/>
      <c r="M88" s="23"/>
      <c r="N88" s="23"/>
      <c r="O88" s="23"/>
      <c r="P88" s="23"/>
      <c r="Q88" s="23"/>
      <c r="R88" s="4"/>
      <c r="S88" s="23"/>
      <c r="T88" s="23"/>
      <c r="U88" s="4"/>
      <c r="V88" s="4"/>
      <c r="W88" s="4"/>
    </row>
    <row r="89" spans="1:23" x14ac:dyDescent="0.25">
      <c r="A89" s="703"/>
      <c r="B89" s="4"/>
      <c r="C89" s="23"/>
      <c r="D89" s="23"/>
      <c r="E89" s="23"/>
      <c r="F89" s="23"/>
      <c r="G89" s="23"/>
      <c r="H89" s="23"/>
      <c r="I89" s="23"/>
      <c r="J89" s="23"/>
      <c r="K89" s="23"/>
      <c r="L89" s="23"/>
      <c r="M89" s="23"/>
      <c r="N89" s="23"/>
      <c r="O89" s="23"/>
      <c r="P89" s="23"/>
      <c r="Q89" s="23"/>
      <c r="R89" s="4"/>
      <c r="S89" s="23"/>
      <c r="T89" s="23"/>
      <c r="U89" s="4"/>
      <c r="V89" s="4"/>
      <c r="W89" s="4"/>
    </row>
    <row r="90" spans="1:23" x14ac:dyDescent="0.25">
      <c r="A90" s="703"/>
      <c r="B90" s="4"/>
      <c r="C90" s="23"/>
      <c r="D90" s="23"/>
      <c r="E90" s="23"/>
      <c r="F90" s="23"/>
      <c r="G90" s="23"/>
      <c r="H90" s="23"/>
      <c r="I90" s="23"/>
      <c r="J90" s="23"/>
      <c r="K90" s="23"/>
      <c r="L90" s="23"/>
      <c r="M90" s="23"/>
      <c r="N90" s="23"/>
      <c r="O90" s="23"/>
      <c r="P90" s="23"/>
      <c r="Q90" s="23"/>
      <c r="R90" s="4"/>
      <c r="S90" s="23"/>
      <c r="T90" s="23"/>
      <c r="U90" s="4"/>
      <c r="V90" s="4"/>
      <c r="W90" s="4"/>
    </row>
    <row r="91" spans="1:23" x14ac:dyDescent="0.25">
      <c r="A91" s="703"/>
      <c r="B91" s="4"/>
      <c r="C91" s="23"/>
      <c r="D91" s="23"/>
      <c r="E91" s="23"/>
      <c r="F91" s="23"/>
      <c r="G91" s="23"/>
      <c r="H91" s="23"/>
      <c r="I91" s="23"/>
      <c r="J91" s="23"/>
      <c r="K91" s="23"/>
      <c r="L91" s="23"/>
      <c r="M91" s="23"/>
      <c r="N91" s="23"/>
      <c r="O91" s="23"/>
      <c r="P91" s="23"/>
      <c r="Q91" s="23"/>
      <c r="R91" s="4"/>
      <c r="S91" s="23"/>
      <c r="T91" s="23"/>
      <c r="U91" s="4"/>
      <c r="V91" s="4"/>
      <c r="W91" s="4"/>
    </row>
    <row r="92" spans="1:23" x14ac:dyDescent="0.25">
      <c r="A92" s="703"/>
      <c r="B92" s="4"/>
      <c r="C92" s="23"/>
      <c r="D92" s="23"/>
      <c r="E92" s="23"/>
      <c r="F92" s="23"/>
      <c r="G92" s="23"/>
      <c r="H92" s="23"/>
      <c r="I92" s="23"/>
      <c r="J92" s="23"/>
      <c r="K92" s="23"/>
      <c r="L92" s="23"/>
      <c r="M92" s="23"/>
      <c r="N92" s="23"/>
      <c r="O92" s="23"/>
      <c r="P92" s="23"/>
      <c r="Q92" s="23"/>
      <c r="R92" s="4"/>
      <c r="S92" s="23"/>
      <c r="T92" s="23"/>
      <c r="U92" s="4"/>
      <c r="V92" s="4"/>
      <c r="W92" s="4"/>
    </row>
    <row r="93" spans="1:23" x14ac:dyDescent="0.25">
      <c r="A93" s="703"/>
      <c r="B93" s="4"/>
      <c r="C93" s="23"/>
      <c r="D93" s="23"/>
      <c r="E93" s="23"/>
      <c r="F93" s="23"/>
      <c r="G93" s="23"/>
      <c r="H93" s="23"/>
      <c r="I93" s="23"/>
      <c r="J93" s="23"/>
      <c r="K93" s="23"/>
      <c r="L93" s="23"/>
      <c r="M93" s="23"/>
      <c r="N93" s="23"/>
      <c r="O93" s="23"/>
      <c r="P93" s="23"/>
      <c r="Q93" s="23"/>
      <c r="R93" s="4"/>
      <c r="S93" s="23"/>
      <c r="T93" s="23"/>
      <c r="U93" s="4"/>
      <c r="V93" s="4"/>
      <c r="W93" s="4"/>
    </row>
    <row r="94" spans="1:23" x14ac:dyDescent="0.25">
      <c r="A94" s="703"/>
      <c r="B94" s="4"/>
      <c r="C94" s="23"/>
      <c r="D94" s="23"/>
      <c r="E94" s="23"/>
      <c r="F94" s="23"/>
      <c r="G94" s="23"/>
      <c r="H94" s="23"/>
      <c r="I94" s="23"/>
      <c r="J94" s="23"/>
      <c r="K94" s="23"/>
      <c r="L94" s="23"/>
      <c r="M94" s="23"/>
      <c r="N94" s="23"/>
      <c r="O94" s="23"/>
      <c r="P94" s="23"/>
      <c r="Q94" s="23"/>
      <c r="R94" s="4"/>
      <c r="S94" s="23"/>
      <c r="T94" s="23"/>
      <c r="U94" s="4"/>
      <c r="V94" s="4"/>
      <c r="W94" s="4"/>
    </row>
    <row r="95" spans="1:23" x14ac:dyDescent="0.25">
      <c r="A95" s="703"/>
      <c r="B95" s="4"/>
      <c r="C95" s="23"/>
      <c r="D95" s="23"/>
      <c r="E95" s="23"/>
      <c r="F95" s="23"/>
      <c r="G95" s="23"/>
      <c r="H95" s="23"/>
      <c r="I95" s="23"/>
      <c r="J95" s="23"/>
      <c r="K95" s="23"/>
      <c r="L95" s="23"/>
      <c r="M95" s="23"/>
      <c r="N95" s="23"/>
      <c r="O95" s="23"/>
      <c r="P95" s="23"/>
      <c r="Q95" s="23"/>
      <c r="R95" s="4"/>
      <c r="S95" s="23"/>
      <c r="T95" s="23"/>
      <c r="U95" s="4"/>
      <c r="V95" s="4"/>
      <c r="W95" s="4"/>
    </row>
    <row r="96" spans="1:23" x14ac:dyDescent="0.25">
      <c r="A96" s="703"/>
      <c r="B96" s="4"/>
      <c r="C96" s="23"/>
      <c r="D96" s="23"/>
      <c r="E96" s="23"/>
      <c r="F96" s="23"/>
      <c r="G96" s="23"/>
      <c r="H96" s="23"/>
      <c r="I96" s="23"/>
      <c r="J96" s="23"/>
      <c r="K96" s="23"/>
      <c r="L96" s="23"/>
      <c r="M96" s="23"/>
      <c r="N96" s="23"/>
      <c r="O96" s="23"/>
      <c r="P96" s="23"/>
      <c r="Q96" s="23"/>
      <c r="R96" s="4"/>
      <c r="S96" s="23"/>
      <c r="T96" s="23"/>
      <c r="U96" s="4"/>
      <c r="V96" s="4"/>
      <c r="W96" s="4"/>
    </row>
    <row r="97" spans="1:23" x14ac:dyDescent="0.25">
      <c r="A97" s="703"/>
      <c r="B97" s="4"/>
      <c r="C97" s="23"/>
      <c r="D97" s="23"/>
      <c r="E97" s="23"/>
      <c r="F97" s="23"/>
      <c r="G97" s="23"/>
      <c r="H97" s="23"/>
      <c r="I97" s="23"/>
      <c r="J97" s="23"/>
      <c r="K97" s="23"/>
      <c r="L97" s="23"/>
      <c r="M97" s="23"/>
      <c r="N97" s="23"/>
      <c r="O97" s="23"/>
      <c r="P97" s="23"/>
      <c r="Q97" s="23"/>
      <c r="R97" s="4"/>
      <c r="S97" s="23"/>
      <c r="T97" s="23"/>
      <c r="U97" s="4"/>
      <c r="V97" s="4"/>
      <c r="W97" s="4"/>
    </row>
    <row r="98" spans="1:23" x14ac:dyDescent="0.25">
      <c r="A98" s="703"/>
      <c r="B98" s="4"/>
      <c r="C98" s="23"/>
      <c r="D98" s="23"/>
      <c r="E98" s="23"/>
      <c r="F98" s="23"/>
      <c r="G98" s="23"/>
      <c r="H98" s="23"/>
      <c r="I98" s="23"/>
      <c r="J98" s="23"/>
      <c r="K98" s="23"/>
      <c r="L98" s="23"/>
      <c r="M98" s="23"/>
      <c r="N98" s="23"/>
      <c r="O98" s="23"/>
      <c r="P98" s="23"/>
      <c r="Q98" s="23"/>
      <c r="R98" s="4"/>
      <c r="S98" s="23"/>
      <c r="T98" s="23"/>
      <c r="U98" s="4"/>
      <c r="V98" s="4"/>
      <c r="W98" s="4"/>
    </row>
    <row r="99" spans="1:23" x14ac:dyDescent="0.25">
      <c r="A99" s="703"/>
      <c r="B99" s="4"/>
      <c r="C99" s="23"/>
      <c r="D99" s="23"/>
      <c r="E99" s="23"/>
      <c r="F99" s="23"/>
      <c r="G99" s="23"/>
      <c r="H99" s="23"/>
      <c r="I99" s="23"/>
      <c r="J99" s="23"/>
      <c r="K99" s="23"/>
      <c r="L99" s="23"/>
      <c r="M99" s="23"/>
      <c r="N99" s="23"/>
      <c r="O99" s="23"/>
      <c r="P99" s="23"/>
      <c r="Q99" s="23"/>
      <c r="R99" s="4"/>
      <c r="S99" s="23"/>
      <c r="T99" s="23"/>
      <c r="U99" s="4"/>
      <c r="V99" s="4"/>
      <c r="W99" s="4"/>
    </row>
    <row r="100" spans="1:23" x14ac:dyDescent="0.25">
      <c r="A100" s="703"/>
      <c r="B100" s="4"/>
      <c r="C100" s="23"/>
      <c r="D100" s="23"/>
      <c r="E100" s="23"/>
      <c r="F100" s="23"/>
      <c r="G100" s="23"/>
      <c r="H100" s="23"/>
      <c r="I100" s="23"/>
      <c r="J100" s="23"/>
      <c r="K100" s="23"/>
      <c r="L100" s="23"/>
      <c r="M100" s="23"/>
      <c r="N100" s="23"/>
      <c r="O100" s="23"/>
      <c r="P100" s="23"/>
      <c r="Q100" s="23"/>
      <c r="R100" s="4"/>
      <c r="S100" s="23"/>
      <c r="T100" s="23"/>
      <c r="U100" s="4"/>
      <c r="V100" s="4"/>
      <c r="W100" s="4"/>
    </row>
    <row r="101" spans="1:23" x14ac:dyDescent="0.25">
      <c r="A101" s="703"/>
      <c r="B101" s="4"/>
      <c r="C101" s="23"/>
      <c r="D101" s="23"/>
      <c r="E101" s="23"/>
      <c r="F101" s="23"/>
      <c r="G101" s="23"/>
      <c r="H101" s="23"/>
      <c r="I101" s="23"/>
      <c r="J101" s="23"/>
      <c r="K101" s="23"/>
      <c r="L101" s="23"/>
      <c r="M101" s="23"/>
      <c r="N101" s="23"/>
      <c r="O101" s="23"/>
      <c r="P101" s="23"/>
      <c r="Q101" s="23"/>
      <c r="R101" s="4"/>
      <c r="S101" s="23"/>
      <c r="T101" s="23"/>
      <c r="U101" s="4"/>
      <c r="V101" s="4"/>
      <c r="W101" s="4"/>
    </row>
    <row r="102" spans="1:23" x14ac:dyDescent="0.25">
      <c r="A102" s="703"/>
      <c r="B102" s="4"/>
      <c r="C102" s="23"/>
      <c r="D102" s="23"/>
      <c r="E102" s="23"/>
      <c r="F102" s="23"/>
      <c r="G102" s="23"/>
      <c r="H102" s="23"/>
      <c r="I102" s="23"/>
      <c r="J102" s="23"/>
      <c r="K102" s="23"/>
      <c r="L102" s="23"/>
      <c r="M102" s="23"/>
      <c r="N102" s="23"/>
      <c r="O102" s="23"/>
      <c r="P102" s="23"/>
      <c r="Q102" s="23"/>
      <c r="R102" s="4"/>
      <c r="S102" s="23"/>
      <c r="T102" s="23"/>
      <c r="U102" s="4"/>
      <c r="V102" s="4"/>
      <c r="W102" s="4"/>
    </row>
    <row r="103" spans="1:23" x14ac:dyDescent="0.25">
      <c r="A103" s="703"/>
      <c r="B103" s="4"/>
      <c r="C103" s="23"/>
      <c r="D103" s="23"/>
      <c r="E103" s="23"/>
      <c r="F103" s="23"/>
      <c r="G103" s="23"/>
      <c r="H103" s="23"/>
      <c r="I103" s="23"/>
      <c r="J103" s="23"/>
      <c r="K103" s="23"/>
      <c r="L103" s="23"/>
      <c r="M103" s="23"/>
      <c r="N103" s="23"/>
      <c r="O103" s="23"/>
      <c r="P103" s="23"/>
      <c r="Q103" s="23"/>
      <c r="R103" s="4"/>
      <c r="S103" s="23"/>
      <c r="T103" s="23"/>
      <c r="U103" s="4"/>
      <c r="V103" s="4"/>
      <c r="W103" s="4"/>
    </row>
    <row r="104" spans="1:23" x14ac:dyDescent="0.25">
      <c r="A104" s="703"/>
      <c r="B104" s="4"/>
      <c r="C104" s="23"/>
      <c r="D104" s="23"/>
      <c r="E104" s="23"/>
      <c r="F104" s="23"/>
      <c r="G104" s="23"/>
      <c r="H104" s="23"/>
      <c r="I104" s="23"/>
      <c r="J104" s="23"/>
      <c r="K104" s="23"/>
      <c r="L104" s="23"/>
      <c r="M104" s="23"/>
      <c r="N104" s="23"/>
      <c r="O104" s="23"/>
      <c r="P104" s="23"/>
      <c r="Q104" s="23"/>
      <c r="R104" s="4"/>
      <c r="S104" s="23"/>
      <c r="T104" s="23"/>
      <c r="U104" s="4"/>
      <c r="V104" s="4"/>
      <c r="W104" s="4"/>
    </row>
    <row r="105" spans="1:23" x14ac:dyDescent="0.25">
      <c r="A105" s="703"/>
      <c r="B105" s="4"/>
      <c r="C105" s="23"/>
      <c r="D105" s="23"/>
      <c r="E105" s="23"/>
      <c r="F105" s="23"/>
      <c r="G105" s="23"/>
      <c r="H105" s="23"/>
      <c r="I105" s="23"/>
      <c r="J105" s="23"/>
      <c r="K105" s="23"/>
      <c r="L105" s="23"/>
      <c r="M105" s="23"/>
      <c r="N105" s="23"/>
      <c r="O105" s="23"/>
      <c r="P105" s="23"/>
      <c r="Q105" s="23"/>
      <c r="R105" s="4"/>
      <c r="S105" s="23"/>
      <c r="T105" s="23"/>
      <c r="U105" s="4"/>
      <c r="V105" s="4"/>
      <c r="W105" s="4"/>
    </row>
    <row r="106" spans="1:23" x14ac:dyDescent="0.25">
      <c r="A106" s="703"/>
      <c r="B106" s="4"/>
      <c r="C106" s="23"/>
      <c r="D106" s="23"/>
      <c r="E106" s="23"/>
      <c r="F106" s="23"/>
      <c r="G106" s="23"/>
      <c r="H106" s="23"/>
      <c r="I106" s="23"/>
      <c r="J106" s="23"/>
      <c r="K106" s="23"/>
      <c r="L106" s="23"/>
      <c r="M106" s="23"/>
      <c r="N106" s="23"/>
      <c r="O106" s="23"/>
      <c r="P106" s="23"/>
      <c r="Q106" s="23"/>
      <c r="R106" s="4"/>
      <c r="S106" s="23"/>
      <c r="T106" s="23"/>
      <c r="U106" s="4"/>
      <c r="V106" s="4"/>
      <c r="W106" s="4"/>
    </row>
    <row r="107" spans="1:23" x14ac:dyDescent="0.25">
      <c r="A107" s="703"/>
      <c r="B107" s="4"/>
      <c r="C107" s="23"/>
      <c r="D107" s="23"/>
      <c r="E107" s="23"/>
      <c r="F107" s="23"/>
      <c r="G107" s="23"/>
      <c r="H107" s="23"/>
      <c r="I107" s="23"/>
      <c r="J107" s="23"/>
      <c r="K107" s="23"/>
      <c r="L107" s="23"/>
      <c r="M107" s="23"/>
      <c r="N107" s="23"/>
      <c r="O107" s="23"/>
      <c r="P107" s="23"/>
      <c r="Q107" s="23"/>
      <c r="R107" s="4"/>
      <c r="S107" s="23"/>
      <c r="T107" s="23"/>
      <c r="U107" s="4"/>
      <c r="V107" s="4"/>
      <c r="W107" s="4"/>
    </row>
    <row r="108" spans="1:23" x14ac:dyDescent="0.25">
      <c r="A108" s="703"/>
      <c r="B108" s="4"/>
      <c r="C108" s="23"/>
      <c r="D108" s="23"/>
      <c r="E108" s="23"/>
      <c r="F108" s="23"/>
      <c r="G108" s="23"/>
      <c r="H108" s="23"/>
      <c r="I108" s="23"/>
      <c r="J108" s="23"/>
      <c r="K108" s="23"/>
      <c r="L108" s="23"/>
      <c r="M108" s="23"/>
      <c r="N108" s="23"/>
      <c r="O108" s="23"/>
      <c r="P108" s="23"/>
      <c r="Q108" s="23"/>
      <c r="R108" s="4"/>
      <c r="S108" s="23"/>
      <c r="T108" s="23"/>
      <c r="U108" s="4"/>
      <c r="V108" s="4"/>
      <c r="W108" s="4"/>
    </row>
    <row r="109" spans="1:23" x14ac:dyDescent="0.25">
      <c r="A109" s="703"/>
      <c r="B109" s="4"/>
      <c r="C109" s="23"/>
      <c r="D109" s="23"/>
      <c r="E109" s="23"/>
      <c r="F109" s="23"/>
      <c r="G109" s="23"/>
      <c r="H109" s="23"/>
      <c r="I109" s="23"/>
      <c r="J109" s="23"/>
      <c r="K109" s="23"/>
      <c r="L109" s="23"/>
      <c r="M109" s="23"/>
      <c r="N109" s="23"/>
      <c r="O109" s="23"/>
      <c r="P109" s="23"/>
      <c r="Q109" s="23"/>
      <c r="R109" s="4"/>
      <c r="S109" s="23"/>
      <c r="T109" s="23"/>
      <c r="U109" s="4"/>
      <c r="V109" s="4"/>
      <c r="W109" s="4"/>
    </row>
    <row r="110" spans="1:23" x14ac:dyDescent="0.25">
      <c r="A110" s="703"/>
      <c r="B110" s="4"/>
      <c r="C110" s="23"/>
      <c r="D110" s="23"/>
      <c r="E110" s="23"/>
      <c r="F110" s="23"/>
      <c r="G110" s="23"/>
      <c r="H110" s="23"/>
      <c r="I110" s="23"/>
      <c r="J110" s="23"/>
      <c r="K110" s="23"/>
      <c r="L110" s="23"/>
      <c r="M110" s="23"/>
      <c r="N110" s="23"/>
      <c r="O110" s="23"/>
      <c r="P110" s="23"/>
      <c r="Q110" s="23"/>
      <c r="R110" s="4"/>
      <c r="S110" s="23"/>
      <c r="T110" s="23"/>
      <c r="U110" s="4"/>
      <c r="V110" s="4"/>
      <c r="W110" s="4"/>
    </row>
    <row r="111" spans="1:23" x14ac:dyDescent="0.25">
      <c r="A111" s="703"/>
      <c r="B111" s="4"/>
      <c r="C111" s="23"/>
      <c r="D111" s="23"/>
      <c r="E111" s="23"/>
      <c r="F111" s="23"/>
      <c r="G111" s="23"/>
      <c r="H111" s="23"/>
      <c r="I111" s="23"/>
      <c r="J111" s="23"/>
      <c r="K111" s="23"/>
      <c r="L111" s="23"/>
      <c r="M111" s="23"/>
      <c r="N111" s="23"/>
      <c r="O111" s="23"/>
      <c r="P111" s="23"/>
      <c r="Q111" s="23"/>
      <c r="R111" s="4"/>
      <c r="S111" s="23"/>
      <c r="T111" s="23"/>
      <c r="U111" s="4"/>
      <c r="V111" s="4"/>
      <c r="W111" s="4"/>
    </row>
    <row r="112" spans="1:23" x14ac:dyDescent="0.25">
      <c r="A112" s="703"/>
      <c r="B112" s="4"/>
      <c r="C112" s="23"/>
      <c r="D112" s="23"/>
      <c r="E112" s="23"/>
      <c r="F112" s="23"/>
      <c r="G112" s="23"/>
      <c r="H112" s="23"/>
      <c r="I112" s="23"/>
      <c r="J112" s="23"/>
      <c r="K112" s="23"/>
      <c r="L112" s="23"/>
      <c r="M112" s="23"/>
      <c r="N112" s="23"/>
      <c r="O112" s="23"/>
      <c r="P112" s="23"/>
      <c r="Q112" s="23"/>
      <c r="R112" s="4"/>
      <c r="S112" s="23"/>
      <c r="T112" s="23"/>
      <c r="U112" s="4"/>
      <c r="V112" s="4"/>
      <c r="W112" s="4"/>
    </row>
    <row r="113" spans="1:23" x14ac:dyDescent="0.25">
      <c r="A113" s="703"/>
      <c r="B113" s="4"/>
      <c r="C113" s="23"/>
      <c r="D113" s="23"/>
      <c r="E113" s="23"/>
      <c r="F113" s="23"/>
      <c r="G113" s="23"/>
      <c r="H113" s="23"/>
      <c r="I113" s="23"/>
      <c r="J113" s="23"/>
      <c r="K113" s="23"/>
      <c r="L113" s="23"/>
      <c r="M113" s="23"/>
      <c r="N113" s="23"/>
      <c r="O113" s="23"/>
      <c r="P113" s="23"/>
      <c r="Q113" s="23"/>
      <c r="R113" s="4"/>
      <c r="S113" s="23"/>
      <c r="T113" s="23"/>
      <c r="U113" s="4"/>
      <c r="V113" s="4"/>
      <c r="W113" s="4"/>
    </row>
    <row r="114" spans="1:23" x14ac:dyDescent="0.25">
      <c r="A114" s="703"/>
      <c r="B114" s="4"/>
      <c r="C114" s="23"/>
      <c r="D114" s="23"/>
      <c r="E114" s="23"/>
      <c r="F114" s="23"/>
      <c r="G114" s="23"/>
      <c r="H114" s="23"/>
      <c r="I114" s="23"/>
      <c r="J114" s="23"/>
      <c r="K114" s="23"/>
      <c r="L114" s="23"/>
      <c r="M114" s="23"/>
      <c r="N114" s="23"/>
      <c r="O114" s="23"/>
      <c r="P114" s="23"/>
      <c r="Q114" s="23"/>
      <c r="R114" s="4"/>
      <c r="S114" s="23"/>
      <c r="T114" s="23"/>
      <c r="U114" s="4"/>
      <c r="V114" s="4"/>
      <c r="W114" s="4"/>
    </row>
    <row r="115" spans="1:23" x14ac:dyDescent="0.25">
      <c r="A115" s="703"/>
      <c r="B115" s="4"/>
      <c r="C115" s="23"/>
      <c r="D115" s="23"/>
      <c r="E115" s="23"/>
      <c r="F115" s="23"/>
      <c r="G115" s="23"/>
      <c r="H115" s="23"/>
      <c r="I115" s="23"/>
      <c r="J115" s="23"/>
      <c r="K115" s="23"/>
      <c r="L115" s="23"/>
      <c r="M115" s="23"/>
      <c r="N115" s="23"/>
      <c r="O115" s="23"/>
      <c r="P115" s="23"/>
      <c r="Q115" s="23"/>
      <c r="R115" s="4"/>
      <c r="S115" s="23"/>
      <c r="T115" s="23"/>
      <c r="U115" s="4"/>
      <c r="V115" s="4"/>
      <c r="W115" s="4"/>
    </row>
    <row r="116" spans="1:23" x14ac:dyDescent="0.25">
      <c r="A116" s="703"/>
      <c r="B116" s="4"/>
      <c r="C116" s="23"/>
      <c r="D116" s="23"/>
      <c r="E116" s="23"/>
      <c r="F116" s="23"/>
      <c r="G116" s="23"/>
      <c r="H116" s="23"/>
      <c r="I116" s="23"/>
      <c r="J116" s="23"/>
      <c r="K116" s="23"/>
      <c r="L116" s="23"/>
      <c r="M116" s="23"/>
      <c r="N116" s="23"/>
      <c r="O116" s="23"/>
      <c r="P116" s="23"/>
      <c r="Q116" s="23"/>
      <c r="R116" s="4"/>
      <c r="S116" s="23"/>
      <c r="T116" s="23"/>
      <c r="U116" s="4"/>
      <c r="V116" s="4"/>
      <c r="W116" s="4"/>
    </row>
    <row r="117" spans="1:23" x14ac:dyDescent="0.25">
      <c r="A117" s="703"/>
      <c r="B117" s="4"/>
      <c r="C117" s="23"/>
      <c r="D117" s="23"/>
      <c r="E117" s="23"/>
      <c r="F117" s="23"/>
      <c r="G117" s="23"/>
      <c r="H117" s="23"/>
      <c r="I117" s="23"/>
      <c r="J117" s="23"/>
      <c r="K117" s="23"/>
      <c r="L117" s="23"/>
      <c r="M117" s="23"/>
      <c r="N117" s="23"/>
      <c r="O117" s="23"/>
      <c r="P117" s="23"/>
      <c r="Q117" s="23"/>
      <c r="R117" s="4"/>
      <c r="S117" s="23"/>
      <c r="T117" s="23"/>
      <c r="U117" s="4"/>
      <c r="V117" s="4"/>
      <c r="W117" s="4"/>
    </row>
    <row r="118" spans="1:23" x14ac:dyDescent="0.25">
      <c r="A118" s="703"/>
      <c r="B118" s="4"/>
      <c r="C118" s="23"/>
      <c r="D118" s="23"/>
      <c r="E118" s="23"/>
      <c r="F118" s="23"/>
      <c r="G118" s="23"/>
      <c r="H118" s="23"/>
      <c r="I118" s="23"/>
      <c r="J118" s="23"/>
      <c r="K118" s="23"/>
      <c r="L118" s="23"/>
      <c r="M118" s="23"/>
      <c r="N118" s="23"/>
      <c r="O118" s="23"/>
      <c r="P118" s="23"/>
      <c r="Q118" s="23"/>
      <c r="R118" s="4"/>
      <c r="S118" s="23"/>
      <c r="T118" s="23"/>
      <c r="U118" s="4"/>
      <c r="V118" s="4"/>
      <c r="W118" s="4"/>
    </row>
    <row r="119" spans="1:23" x14ac:dyDescent="0.25">
      <c r="A119" s="703"/>
      <c r="B119" s="4"/>
      <c r="C119" s="23"/>
      <c r="D119" s="23"/>
      <c r="E119" s="23"/>
      <c r="F119" s="23"/>
      <c r="G119" s="23"/>
      <c r="H119" s="23"/>
      <c r="I119" s="23"/>
      <c r="J119" s="23"/>
      <c r="K119" s="23"/>
      <c r="L119" s="23"/>
      <c r="M119" s="23"/>
      <c r="N119" s="23"/>
      <c r="O119" s="23"/>
      <c r="P119" s="23"/>
      <c r="Q119" s="23"/>
      <c r="R119" s="4"/>
      <c r="S119" s="23"/>
      <c r="T119" s="23"/>
      <c r="U119" s="4"/>
      <c r="V119" s="4"/>
      <c r="W119" s="4"/>
    </row>
    <row r="120" spans="1:23" x14ac:dyDescent="0.25">
      <c r="A120" s="703"/>
      <c r="B120" s="4"/>
      <c r="C120" s="23"/>
      <c r="D120" s="23"/>
      <c r="E120" s="23"/>
      <c r="F120" s="23"/>
      <c r="G120" s="23"/>
      <c r="H120" s="23"/>
      <c r="I120" s="23"/>
      <c r="J120" s="23"/>
      <c r="K120" s="23"/>
      <c r="L120" s="23"/>
      <c r="M120" s="23"/>
      <c r="N120" s="23"/>
      <c r="O120" s="23"/>
      <c r="P120" s="23"/>
      <c r="Q120" s="23"/>
      <c r="R120" s="4"/>
      <c r="S120" s="23"/>
      <c r="T120" s="23"/>
      <c r="U120" s="4"/>
      <c r="V120" s="4"/>
      <c r="W120" s="4"/>
    </row>
    <row r="121" spans="1:23" x14ac:dyDescent="0.25">
      <c r="A121" s="703"/>
      <c r="B121" s="4"/>
      <c r="C121" s="23"/>
      <c r="D121" s="23"/>
      <c r="E121" s="23"/>
      <c r="F121" s="23"/>
      <c r="G121" s="23"/>
      <c r="H121" s="23"/>
      <c r="I121" s="23"/>
      <c r="J121" s="23"/>
      <c r="K121" s="23"/>
      <c r="L121" s="23"/>
      <c r="M121" s="23"/>
      <c r="N121" s="23"/>
      <c r="O121" s="23"/>
      <c r="P121" s="23"/>
      <c r="Q121" s="23"/>
      <c r="R121" s="4"/>
      <c r="S121" s="23"/>
      <c r="T121" s="23"/>
      <c r="U121" s="4"/>
      <c r="V121" s="4"/>
      <c r="W121" s="4"/>
    </row>
    <row r="122" spans="1:23" x14ac:dyDescent="0.25">
      <c r="A122" s="703"/>
      <c r="B122" s="4"/>
      <c r="C122" s="23"/>
      <c r="D122" s="23"/>
      <c r="E122" s="23"/>
      <c r="F122" s="23"/>
      <c r="G122" s="23"/>
      <c r="H122" s="23"/>
      <c r="I122" s="23"/>
      <c r="J122" s="23"/>
      <c r="K122" s="23"/>
      <c r="L122" s="23"/>
      <c r="M122" s="23"/>
      <c r="N122" s="23"/>
      <c r="O122" s="23"/>
      <c r="P122" s="23"/>
      <c r="Q122" s="23"/>
      <c r="R122" s="4"/>
      <c r="S122" s="23"/>
      <c r="T122" s="23"/>
      <c r="U122" s="4"/>
      <c r="V122" s="4"/>
      <c r="W122" s="4"/>
    </row>
    <row r="123" spans="1:23" x14ac:dyDescent="0.25">
      <c r="A123" s="703"/>
      <c r="B123" s="4"/>
      <c r="C123" s="23"/>
      <c r="D123" s="23"/>
      <c r="E123" s="23"/>
      <c r="F123" s="23"/>
      <c r="G123" s="23"/>
      <c r="H123" s="23"/>
      <c r="I123" s="23"/>
      <c r="J123" s="23"/>
      <c r="K123" s="23"/>
      <c r="L123" s="23"/>
      <c r="M123" s="23"/>
      <c r="N123" s="23"/>
      <c r="O123" s="23"/>
      <c r="P123" s="23"/>
      <c r="Q123" s="23"/>
      <c r="R123" s="4"/>
      <c r="S123" s="23"/>
      <c r="T123" s="23"/>
      <c r="U123" s="4"/>
      <c r="V123" s="4"/>
      <c r="W123" s="4"/>
    </row>
    <row r="124" spans="1:23" x14ac:dyDescent="0.25">
      <c r="A124" s="703"/>
      <c r="B124" s="4"/>
      <c r="C124" s="23"/>
      <c r="D124" s="23"/>
      <c r="E124" s="23"/>
      <c r="F124" s="23"/>
      <c r="G124" s="23"/>
      <c r="H124" s="23"/>
      <c r="I124" s="23"/>
      <c r="J124" s="23"/>
      <c r="K124" s="23"/>
      <c r="L124" s="23"/>
      <c r="M124" s="23"/>
      <c r="N124" s="23"/>
      <c r="O124" s="23"/>
      <c r="P124" s="23"/>
      <c r="Q124" s="23"/>
      <c r="R124" s="4"/>
      <c r="S124" s="23"/>
      <c r="T124" s="23"/>
      <c r="U124" s="4"/>
      <c r="V124" s="4"/>
      <c r="W124" s="4"/>
    </row>
    <row r="125" spans="1:23" x14ac:dyDescent="0.25">
      <c r="A125" s="703"/>
      <c r="B125" s="4"/>
      <c r="C125" s="23"/>
      <c r="D125" s="23"/>
      <c r="E125" s="23"/>
      <c r="F125" s="23"/>
      <c r="G125" s="23"/>
      <c r="H125" s="23"/>
      <c r="I125" s="23"/>
      <c r="J125" s="23"/>
      <c r="K125" s="23"/>
      <c r="L125" s="23"/>
      <c r="M125" s="23"/>
      <c r="N125" s="23"/>
      <c r="O125" s="23"/>
      <c r="P125" s="23"/>
      <c r="Q125" s="23"/>
      <c r="R125" s="4"/>
      <c r="S125" s="23"/>
      <c r="T125" s="23"/>
      <c r="U125" s="4"/>
      <c r="V125" s="4"/>
      <c r="W125" s="4"/>
    </row>
    <row r="126" spans="1:23" x14ac:dyDescent="0.25">
      <c r="A126" s="703"/>
      <c r="B126" s="4"/>
      <c r="C126" s="23"/>
      <c r="D126" s="23"/>
      <c r="E126" s="23"/>
      <c r="F126" s="23"/>
      <c r="G126" s="23"/>
      <c r="H126" s="23"/>
      <c r="I126" s="23"/>
      <c r="J126" s="23"/>
      <c r="K126" s="23"/>
      <c r="L126" s="23"/>
      <c r="M126" s="23"/>
      <c r="N126" s="23"/>
      <c r="O126" s="23"/>
      <c r="P126" s="23"/>
      <c r="Q126" s="23"/>
      <c r="R126" s="4"/>
      <c r="S126" s="23"/>
      <c r="T126" s="23"/>
      <c r="U126" s="4"/>
      <c r="V126" s="4"/>
      <c r="W126" s="4"/>
    </row>
    <row r="127" spans="1:23" x14ac:dyDescent="0.25">
      <c r="A127" s="703"/>
      <c r="B127" s="4"/>
      <c r="C127" s="23"/>
      <c r="D127" s="23"/>
      <c r="E127" s="23"/>
      <c r="F127" s="23"/>
      <c r="G127" s="23"/>
      <c r="H127" s="23"/>
      <c r="I127" s="23"/>
      <c r="J127" s="23"/>
      <c r="K127" s="23"/>
      <c r="L127" s="23"/>
      <c r="M127" s="23"/>
      <c r="N127" s="23"/>
      <c r="O127" s="23"/>
      <c r="P127" s="23"/>
      <c r="Q127" s="23"/>
      <c r="R127" s="4"/>
      <c r="S127" s="23"/>
      <c r="T127" s="23"/>
      <c r="U127" s="4"/>
      <c r="V127" s="4"/>
      <c r="W127" s="4"/>
    </row>
    <row r="128" spans="1:23" x14ac:dyDescent="0.25">
      <c r="A128" s="703"/>
      <c r="B128" s="4"/>
      <c r="C128" s="23"/>
      <c r="D128" s="23"/>
      <c r="E128" s="23"/>
      <c r="F128" s="23"/>
      <c r="G128" s="23"/>
      <c r="H128" s="23"/>
      <c r="I128" s="23"/>
      <c r="J128" s="23"/>
      <c r="K128" s="23"/>
      <c r="L128" s="23"/>
      <c r="M128" s="23"/>
      <c r="N128" s="23"/>
      <c r="O128" s="23"/>
      <c r="P128" s="23"/>
      <c r="Q128" s="23"/>
      <c r="R128" s="4"/>
      <c r="S128" s="23"/>
      <c r="T128" s="23"/>
      <c r="U128" s="4"/>
      <c r="V128" s="4"/>
      <c r="W128" s="4"/>
    </row>
    <row r="129" spans="1:23" x14ac:dyDescent="0.25">
      <c r="A129" s="703"/>
      <c r="B129" s="4"/>
      <c r="C129" s="23"/>
      <c r="D129" s="23"/>
      <c r="E129" s="23"/>
      <c r="F129" s="23"/>
      <c r="G129" s="23"/>
      <c r="H129" s="23"/>
      <c r="I129" s="23"/>
      <c r="J129" s="23"/>
      <c r="K129" s="23"/>
      <c r="L129" s="23"/>
      <c r="M129" s="23"/>
      <c r="N129" s="23"/>
      <c r="O129" s="23"/>
      <c r="P129" s="23"/>
      <c r="Q129" s="23"/>
      <c r="R129" s="4"/>
      <c r="S129" s="23"/>
      <c r="T129" s="23"/>
      <c r="U129" s="4"/>
      <c r="V129" s="4"/>
      <c r="W129" s="4"/>
    </row>
    <row r="130" spans="1:23" x14ac:dyDescent="0.25">
      <c r="A130" s="703"/>
      <c r="B130" s="4"/>
      <c r="C130" s="23"/>
      <c r="D130" s="23"/>
      <c r="E130" s="23"/>
      <c r="F130" s="23"/>
      <c r="G130" s="23"/>
      <c r="H130" s="23"/>
      <c r="I130" s="23"/>
      <c r="J130" s="23"/>
      <c r="K130" s="23"/>
      <c r="L130" s="23"/>
      <c r="M130" s="23"/>
      <c r="N130" s="23"/>
      <c r="O130" s="23"/>
      <c r="P130" s="23"/>
      <c r="Q130" s="23"/>
      <c r="R130" s="4"/>
      <c r="S130" s="23"/>
      <c r="T130" s="23"/>
      <c r="U130" s="4"/>
      <c r="V130" s="4"/>
      <c r="W130" s="4"/>
    </row>
    <row r="131" spans="1:23" x14ac:dyDescent="0.25">
      <c r="A131" s="703"/>
      <c r="B131" s="4"/>
      <c r="C131" s="23"/>
      <c r="D131" s="23"/>
      <c r="E131" s="23"/>
      <c r="F131" s="23"/>
      <c r="G131" s="23"/>
      <c r="H131" s="23"/>
      <c r="I131" s="23"/>
      <c r="J131" s="23"/>
      <c r="K131" s="23"/>
      <c r="L131" s="23"/>
      <c r="M131" s="23"/>
      <c r="N131" s="23"/>
      <c r="O131" s="23"/>
      <c r="P131" s="23"/>
      <c r="Q131" s="23"/>
      <c r="R131" s="4"/>
      <c r="S131" s="23"/>
      <c r="T131" s="23"/>
      <c r="U131" s="4"/>
      <c r="V131" s="4"/>
      <c r="W131" s="4"/>
    </row>
    <row r="132" spans="1:23" x14ac:dyDescent="0.25">
      <c r="A132" s="703"/>
      <c r="B132" s="4"/>
      <c r="C132" s="23"/>
      <c r="D132" s="23"/>
      <c r="E132" s="23"/>
      <c r="F132" s="23"/>
      <c r="G132" s="23"/>
      <c r="H132" s="23"/>
      <c r="I132" s="23"/>
      <c r="J132" s="23"/>
      <c r="K132" s="23"/>
      <c r="L132" s="23"/>
      <c r="M132" s="23"/>
      <c r="N132" s="23"/>
      <c r="O132" s="23"/>
      <c r="P132" s="23"/>
      <c r="Q132" s="23"/>
      <c r="R132" s="4"/>
      <c r="S132" s="23"/>
      <c r="T132" s="23"/>
      <c r="U132" s="4"/>
      <c r="V132" s="4"/>
      <c r="W132" s="4"/>
    </row>
    <row r="133" spans="1:23" x14ac:dyDescent="0.25">
      <c r="A133" s="703"/>
      <c r="B133" s="4"/>
      <c r="C133" s="23"/>
      <c r="D133" s="23"/>
      <c r="E133" s="23"/>
      <c r="F133" s="23"/>
      <c r="G133" s="23"/>
      <c r="H133" s="23"/>
      <c r="I133" s="23"/>
      <c r="J133" s="23"/>
      <c r="K133" s="23"/>
      <c r="L133" s="23"/>
      <c r="M133" s="23"/>
      <c r="N133" s="23"/>
      <c r="O133" s="23"/>
      <c r="P133" s="23"/>
      <c r="Q133" s="23"/>
      <c r="R133" s="4"/>
      <c r="S133" s="23"/>
      <c r="T133" s="23"/>
      <c r="U133" s="4"/>
      <c r="V133" s="4"/>
      <c r="W133" s="4"/>
    </row>
    <row r="134" spans="1:23" x14ac:dyDescent="0.25">
      <c r="A134" s="703"/>
      <c r="B134" s="4"/>
      <c r="C134" s="23"/>
      <c r="D134" s="23"/>
      <c r="E134" s="23"/>
      <c r="F134" s="23"/>
      <c r="G134" s="23"/>
      <c r="H134" s="23"/>
      <c r="I134" s="23"/>
      <c r="J134" s="23"/>
      <c r="K134" s="23"/>
      <c r="L134" s="23"/>
      <c r="M134" s="23"/>
      <c r="N134" s="23"/>
      <c r="O134" s="23"/>
      <c r="P134" s="23"/>
      <c r="Q134" s="23"/>
      <c r="R134" s="4"/>
      <c r="S134" s="23"/>
      <c r="T134" s="23"/>
      <c r="U134" s="4"/>
      <c r="V134" s="4"/>
      <c r="W134" s="4"/>
    </row>
    <row r="135" spans="1:23" x14ac:dyDescent="0.25">
      <c r="A135" s="703"/>
      <c r="B135" s="4"/>
      <c r="C135" s="23"/>
      <c r="D135" s="23"/>
      <c r="E135" s="23"/>
      <c r="F135" s="23"/>
      <c r="G135" s="23"/>
      <c r="H135" s="23"/>
      <c r="I135" s="23"/>
      <c r="J135" s="23"/>
      <c r="K135" s="23"/>
      <c r="L135" s="23"/>
      <c r="M135" s="23"/>
      <c r="N135" s="23"/>
      <c r="O135" s="23"/>
      <c r="P135" s="23"/>
      <c r="Q135" s="23"/>
      <c r="R135" s="4"/>
      <c r="S135" s="23"/>
      <c r="T135" s="23"/>
      <c r="U135" s="4"/>
      <c r="V135" s="4"/>
      <c r="W135" s="4"/>
    </row>
    <row r="136" spans="1:23" x14ac:dyDescent="0.25">
      <c r="A136" s="703"/>
      <c r="B136" s="4"/>
      <c r="C136" s="23"/>
      <c r="D136" s="23"/>
      <c r="E136" s="23"/>
      <c r="F136" s="23"/>
      <c r="G136" s="23"/>
      <c r="H136" s="23"/>
      <c r="I136" s="23"/>
      <c r="J136" s="23"/>
      <c r="K136" s="23"/>
      <c r="L136" s="23"/>
      <c r="M136" s="23"/>
      <c r="N136" s="23"/>
      <c r="O136" s="23"/>
      <c r="P136" s="23"/>
      <c r="Q136" s="23"/>
      <c r="R136" s="4"/>
      <c r="S136" s="23"/>
      <c r="T136" s="23"/>
      <c r="U136" s="4"/>
      <c r="V136" s="4"/>
      <c r="W136" s="4"/>
    </row>
    <row r="137" spans="1:23" x14ac:dyDescent="0.25">
      <c r="A137" s="703"/>
      <c r="B137" s="4"/>
      <c r="C137" s="23"/>
      <c r="D137" s="23"/>
      <c r="E137" s="23"/>
      <c r="F137" s="23"/>
      <c r="G137" s="23"/>
      <c r="H137" s="23"/>
      <c r="I137" s="23"/>
      <c r="J137" s="23"/>
      <c r="K137" s="23"/>
      <c r="L137" s="23"/>
      <c r="M137" s="23"/>
      <c r="N137" s="23"/>
      <c r="O137" s="23"/>
      <c r="P137" s="23"/>
      <c r="Q137" s="23"/>
      <c r="R137" s="4"/>
      <c r="S137" s="23"/>
      <c r="T137" s="23"/>
      <c r="U137" s="4"/>
      <c r="V137" s="4"/>
      <c r="W137" s="4"/>
    </row>
    <row r="138" spans="1:23" x14ac:dyDescent="0.25">
      <c r="A138" s="703"/>
      <c r="B138" s="4"/>
      <c r="C138" s="23"/>
      <c r="D138" s="23"/>
      <c r="E138" s="23"/>
      <c r="F138" s="23"/>
      <c r="G138" s="23"/>
      <c r="H138" s="23"/>
      <c r="I138" s="23"/>
      <c r="J138" s="23"/>
      <c r="K138" s="23"/>
      <c r="L138" s="23"/>
      <c r="M138" s="23"/>
      <c r="N138" s="23"/>
      <c r="O138" s="23"/>
      <c r="P138" s="23"/>
      <c r="Q138" s="23"/>
      <c r="R138" s="4"/>
      <c r="S138" s="23"/>
      <c r="T138" s="23"/>
      <c r="U138" s="4"/>
      <c r="V138" s="4"/>
      <c r="W138" s="4"/>
    </row>
    <row r="139" spans="1:23" x14ac:dyDescent="0.25">
      <c r="A139" s="703"/>
      <c r="B139" s="4"/>
      <c r="C139" s="23"/>
      <c r="D139" s="23"/>
      <c r="E139" s="23"/>
      <c r="F139" s="23"/>
      <c r="G139" s="23"/>
      <c r="H139" s="23"/>
      <c r="I139" s="23"/>
      <c r="J139" s="23"/>
      <c r="K139" s="23"/>
      <c r="L139" s="23"/>
      <c r="M139" s="23"/>
      <c r="N139" s="23"/>
      <c r="O139" s="23"/>
      <c r="P139" s="23"/>
      <c r="Q139" s="23"/>
      <c r="R139" s="4"/>
      <c r="S139" s="23"/>
      <c r="T139" s="23"/>
      <c r="U139" s="4"/>
      <c r="V139" s="4"/>
      <c r="W139" s="4"/>
    </row>
    <row r="140" spans="1:23" x14ac:dyDescent="0.25">
      <c r="A140" s="703"/>
      <c r="B140" s="4"/>
      <c r="C140" s="23"/>
      <c r="D140" s="23"/>
      <c r="E140" s="23"/>
      <c r="F140" s="23"/>
      <c r="G140" s="23"/>
      <c r="H140" s="23"/>
      <c r="I140" s="23"/>
      <c r="J140" s="23"/>
      <c r="K140" s="23"/>
      <c r="L140" s="23"/>
      <c r="M140" s="23"/>
      <c r="N140" s="23"/>
      <c r="O140" s="23"/>
      <c r="P140" s="23"/>
      <c r="Q140" s="23"/>
      <c r="R140" s="4"/>
      <c r="S140" s="23"/>
      <c r="T140" s="23"/>
      <c r="U140" s="4"/>
      <c r="V140" s="4"/>
      <c r="W140" s="4"/>
    </row>
    <row r="141" spans="1:23" x14ac:dyDescent="0.25">
      <c r="A141" s="703"/>
      <c r="B141" s="4"/>
      <c r="C141" s="23"/>
      <c r="D141" s="23"/>
      <c r="E141" s="23"/>
      <c r="F141" s="23"/>
      <c r="G141" s="23"/>
      <c r="H141" s="23"/>
      <c r="I141" s="23"/>
      <c r="J141" s="23"/>
      <c r="K141" s="23"/>
      <c r="L141" s="23"/>
      <c r="M141" s="23"/>
      <c r="N141" s="23"/>
      <c r="O141" s="23"/>
      <c r="P141" s="23"/>
      <c r="Q141" s="23"/>
      <c r="R141" s="4"/>
      <c r="S141" s="23"/>
      <c r="T141" s="23"/>
      <c r="U141" s="4"/>
      <c r="V141" s="4"/>
      <c r="W141" s="4"/>
    </row>
    <row r="142" spans="1:23" x14ac:dyDescent="0.25">
      <c r="A142" s="703"/>
      <c r="B142" s="4"/>
      <c r="C142" s="23"/>
      <c r="D142" s="23"/>
      <c r="E142" s="23"/>
      <c r="F142" s="23"/>
      <c r="G142" s="23"/>
      <c r="H142" s="23"/>
      <c r="I142" s="23"/>
      <c r="J142" s="23"/>
      <c r="K142" s="23"/>
      <c r="L142" s="23"/>
      <c r="M142" s="23"/>
      <c r="N142" s="23"/>
      <c r="O142" s="23"/>
      <c r="P142" s="23"/>
      <c r="Q142" s="23"/>
      <c r="R142" s="4"/>
      <c r="S142" s="23"/>
      <c r="T142" s="23"/>
      <c r="U142" s="4"/>
      <c r="V142" s="4"/>
      <c r="W142" s="4"/>
    </row>
    <row r="143" spans="1:23" x14ac:dyDescent="0.25">
      <c r="A143" s="703"/>
      <c r="B143" s="4"/>
      <c r="C143" s="23"/>
      <c r="D143" s="23"/>
      <c r="E143" s="23"/>
      <c r="F143" s="23"/>
      <c r="G143" s="23"/>
      <c r="H143" s="23"/>
      <c r="I143" s="23"/>
      <c r="J143" s="23"/>
      <c r="K143" s="23"/>
      <c r="L143" s="23"/>
      <c r="M143" s="23"/>
      <c r="N143" s="23"/>
      <c r="O143" s="23"/>
      <c r="P143" s="23"/>
      <c r="Q143" s="23"/>
      <c r="R143" s="4"/>
      <c r="S143" s="23"/>
      <c r="T143" s="23"/>
      <c r="U143" s="4"/>
      <c r="V143" s="4"/>
      <c r="W143" s="4"/>
    </row>
    <row r="144" spans="1:23" x14ac:dyDescent="0.25">
      <c r="A144" s="703"/>
      <c r="B144" s="4"/>
      <c r="C144" s="23"/>
      <c r="D144" s="23"/>
      <c r="E144" s="23"/>
      <c r="F144" s="23"/>
      <c r="G144" s="23"/>
      <c r="H144" s="23"/>
      <c r="I144" s="23"/>
      <c r="J144" s="23"/>
      <c r="K144" s="23"/>
      <c r="L144" s="23"/>
      <c r="M144" s="23"/>
      <c r="N144" s="23"/>
      <c r="O144" s="23"/>
      <c r="P144" s="23"/>
      <c r="Q144" s="23"/>
      <c r="R144" s="4"/>
      <c r="S144" s="23"/>
      <c r="T144" s="23"/>
      <c r="U144" s="4"/>
      <c r="V144" s="4"/>
      <c r="W144" s="4"/>
    </row>
    <row r="145" spans="1:23" x14ac:dyDescent="0.25">
      <c r="A145" s="703"/>
      <c r="B145" s="4"/>
      <c r="C145" s="23"/>
      <c r="D145" s="23"/>
      <c r="E145" s="23"/>
      <c r="F145" s="23"/>
      <c r="G145" s="23"/>
      <c r="H145" s="23"/>
      <c r="I145" s="23"/>
      <c r="J145" s="23"/>
      <c r="K145" s="23"/>
      <c r="L145" s="23"/>
      <c r="M145" s="23"/>
      <c r="N145" s="23"/>
      <c r="O145" s="23"/>
      <c r="P145" s="23"/>
      <c r="Q145" s="23"/>
      <c r="R145" s="4"/>
      <c r="S145" s="23"/>
      <c r="T145" s="23"/>
      <c r="U145" s="4"/>
      <c r="V145" s="4"/>
      <c r="W145" s="4"/>
    </row>
    <row r="146" spans="1:23" x14ac:dyDescent="0.25">
      <c r="C146" s="194"/>
      <c r="D146" s="194"/>
      <c r="E146" s="194"/>
      <c r="F146" s="194"/>
      <c r="G146" s="194"/>
      <c r="H146" s="194"/>
      <c r="I146" s="194"/>
      <c r="J146" s="194"/>
      <c r="K146" s="194"/>
      <c r="L146" s="194"/>
      <c r="M146" s="194"/>
      <c r="N146" s="194"/>
      <c r="O146" s="194"/>
      <c r="P146" s="194"/>
      <c r="Q146" s="194"/>
    </row>
    <row r="147" spans="1:23" x14ac:dyDescent="0.25">
      <c r="C147" s="194"/>
      <c r="D147" s="194"/>
      <c r="E147" s="194"/>
      <c r="F147" s="194"/>
      <c r="G147" s="194"/>
      <c r="H147" s="194"/>
      <c r="I147" s="194"/>
      <c r="J147" s="194"/>
      <c r="K147" s="194"/>
      <c r="L147" s="194"/>
      <c r="M147" s="194"/>
      <c r="N147" s="194"/>
      <c r="O147" s="194"/>
      <c r="P147" s="194"/>
      <c r="Q147" s="194"/>
    </row>
    <row r="148" spans="1:23" x14ac:dyDescent="0.25">
      <c r="C148" s="194"/>
      <c r="D148" s="194"/>
      <c r="E148" s="194"/>
      <c r="F148" s="194"/>
      <c r="G148" s="194"/>
      <c r="H148" s="194"/>
      <c r="I148" s="194"/>
      <c r="J148" s="194"/>
      <c r="K148" s="194"/>
      <c r="L148" s="194"/>
      <c r="M148" s="194"/>
      <c r="N148" s="194"/>
      <c r="O148" s="194"/>
      <c r="P148" s="194"/>
      <c r="Q148" s="194"/>
    </row>
    <row r="149" spans="1:23" x14ac:dyDescent="0.25">
      <c r="C149" s="194"/>
      <c r="D149" s="194"/>
      <c r="E149" s="194"/>
      <c r="F149" s="194"/>
      <c r="G149" s="194"/>
      <c r="H149" s="194"/>
      <c r="I149" s="194"/>
      <c r="J149" s="194"/>
      <c r="K149" s="194"/>
      <c r="L149" s="194"/>
      <c r="M149" s="194"/>
      <c r="N149" s="194"/>
      <c r="O149" s="194"/>
      <c r="P149" s="194"/>
      <c r="Q149" s="194"/>
    </row>
    <row r="150" spans="1:23" x14ac:dyDescent="0.25">
      <c r="C150" s="194"/>
      <c r="D150" s="194"/>
      <c r="E150" s="194"/>
      <c r="F150" s="194"/>
      <c r="G150" s="194"/>
      <c r="H150" s="194"/>
      <c r="I150" s="194"/>
      <c r="J150" s="194"/>
      <c r="K150" s="194"/>
      <c r="L150" s="194"/>
      <c r="M150" s="194"/>
      <c r="N150" s="194"/>
      <c r="O150" s="194"/>
      <c r="P150" s="194"/>
      <c r="Q150" s="194"/>
    </row>
    <row r="151" spans="1:23" x14ac:dyDescent="0.25">
      <c r="C151" s="194"/>
      <c r="D151" s="194"/>
      <c r="E151" s="194"/>
      <c r="F151" s="194"/>
      <c r="G151" s="194"/>
      <c r="H151" s="194"/>
      <c r="I151" s="194"/>
      <c r="J151" s="194"/>
      <c r="K151" s="194"/>
      <c r="L151" s="194"/>
      <c r="M151" s="194"/>
      <c r="N151" s="194"/>
      <c r="O151" s="194"/>
      <c r="P151" s="194"/>
      <c r="Q151" s="194"/>
    </row>
    <row r="152" spans="1:23" x14ac:dyDescent="0.25">
      <c r="C152" s="194"/>
      <c r="D152" s="194"/>
      <c r="E152" s="194"/>
      <c r="F152" s="194"/>
      <c r="G152" s="194"/>
      <c r="H152" s="194"/>
      <c r="I152" s="194"/>
      <c r="J152" s="194"/>
      <c r="K152" s="194"/>
      <c r="L152" s="194"/>
      <c r="M152" s="194"/>
      <c r="N152" s="194"/>
      <c r="O152" s="194"/>
      <c r="P152" s="194"/>
      <c r="Q152" s="194"/>
    </row>
    <row r="153" spans="1:23" x14ac:dyDescent="0.25">
      <c r="C153" s="194"/>
      <c r="D153" s="194"/>
      <c r="E153" s="194"/>
      <c r="F153" s="194"/>
      <c r="G153" s="194"/>
      <c r="H153" s="194"/>
      <c r="I153" s="194"/>
      <c r="J153" s="194"/>
      <c r="K153" s="194"/>
      <c r="L153" s="194"/>
      <c r="M153" s="194"/>
      <c r="N153" s="194"/>
      <c r="O153" s="194"/>
      <c r="P153" s="194"/>
      <c r="Q153" s="194"/>
    </row>
    <row r="154" spans="1:23" x14ac:dyDescent="0.25">
      <c r="C154" s="194"/>
      <c r="D154" s="194"/>
      <c r="E154" s="194"/>
      <c r="F154" s="194"/>
      <c r="G154" s="194"/>
      <c r="H154" s="194"/>
      <c r="I154" s="194"/>
      <c r="J154" s="194"/>
      <c r="K154" s="194"/>
      <c r="L154" s="194"/>
      <c r="M154" s="194"/>
      <c r="N154" s="194"/>
      <c r="O154" s="194"/>
      <c r="P154" s="194"/>
      <c r="Q154" s="194"/>
    </row>
    <row r="155" spans="1:23" x14ac:dyDescent="0.25">
      <c r="C155" s="194"/>
      <c r="D155" s="194"/>
      <c r="E155" s="194"/>
      <c r="F155" s="194"/>
      <c r="G155" s="194"/>
      <c r="H155" s="194"/>
      <c r="I155" s="194"/>
      <c r="J155" s="194"/>
      <c r="K155" s="194"/>
      <c r="L155" s="194"/>
      <c r="M155" s="194"/>
      <c r="N155" s="194"/>
      <c r="O155" s="194"/>
      <c r="P155" s="194"/>
      <c r="Q155" s="194"/>
    </row>
    <row r="156" spans="1:23" x14ac:dyDescent="0.25">
      <c r="C156" s="194"/>
      <c r="D156" s="194"/>
      <c r="E156" s="194"/>
      <c r="F156" s="194"/>
      <c r="G156" s="194"/>
      <c r="H156" s="194"/>
      <c r="I156" s="194"/>
      <c r="J156" s="194"/>
      <c r="K156" s="194"/>
      <c r="L156" s="194"/>
      <c r="M156" s="194"/>
      <c r="N156" s="194"/>
      <c r="O156" s="194"/>
      <c r="P156" s="194"/>
      <c r="Q156" s="194"/>
    </row>
    <row r="157" spans="1:23" x14ac:dyDescent="0.25">
      <c r="C157" s="194"/>
      <c r="D157" s="194"/>
      <c r="E157" s="194"/>
      <c r="F157" s="194"/>
      <c r="G157" s="194"/>
      <c r="H157" s="194"/>
      <c r="I157" s="194"/>
      <c r="J157" s="194"/>
      <c r="K157" s="194"/>
      <c r="L157" s="194"/>
      <c r="M157" s="194"/>
      <c r="N157" s="194"/>
      <c r="O157" s="194"/>
      <c r="P157" s="194"/>
      <c r="Q157" s="194"/>
    </row>
    <row r="158" spans="1:23" x14ac:dyDescent="0.25">
      <c r="C158" s="194"/>
      <c r="D158" s="194"/>
      <c r="E158" s="194"/>
      <c r="F158" s="194"/>
      <c r="G158" s="194"/>
      <c r="H158" s="194"/>
      <c r="I158" s="194"/>
      <c r="J158" s="194"/>
      <c r="K158" s="194"/>
      <c r="L158" s="194"/>
      <c r="M158" s="194"/>
      <c r="N158" s="194"/>
      <c r="O158" s="194"/>
      <c r="P158" s="194"/>
      <c r="Q158" s="194"/>
    </row>
    <row r="159" spans="1:23" x14ac:dyDescent="0.25">
      <c r="C159" s="194"/>
      <c r="D159" s="194"/>
      <c r="E159" s="194"/>
      <c r="F159" s="194"/>
      <c r="G159" s="194"/>
      <c r="H159" s="194"/>
      <c r="I159" s="194"/>
      <c r="J159" s="194"/>
      <c r="K159" s="194"/>
      <c r="L159" s="194"/>
      <c r="M159" s="194"/>
      <c r="N159" s="194"/>
      <c r="O159" s="194"/>
      <c r="P159" s="194"/>
      <c r="Q159" s="194"/>
    </row>
    <row r="160" spans="1:23" x14ac:dyDescent="0.25">
      <c r="C160" s="194"/>
      <c r="D160" s="194"/>
      <c r="E160" s="194"/>
      <c r="F160" s="194"/>
      <c r="G160" s="194"/>
      <c r="H160" s="194"/>
      <c r="I160" s="194"/>
      <c r="J160" s="194"/>
      <c r="K160" s="194"/>
      <c r="L160" s="194"/>
      <c r="M160" s="194"/>
      <c r="N160" s="194"/>
      <c r="O160" s="194"/>
      <c r="P160" s="194"/>
      <c r="Q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row r="180" spans="3:3" x14ac:dyDescent="0.25">
      <c r="C180" s="194"/>
    </row>
    <row r="181" spans="3:3" x14ac:dyDescent="0.25">
      <c r="C181" s="194"/>
    </row>
    <row r="182" spans="3:3" x14ac:dyDescent="0.25">
      <c r="C182" s="194"/>
    </row>
    <row r="183" spans="3:3" x14ac:dyDescent="0.25">
      <c r="C183" s="194"/>
    </row>
    <row r="184" spans="3:3" x14ac:dyDescent="0.25">
      <c r="C184" s="194"/>
    </row>
    <row r="185" spans="3:3" x14ac:dyDescent="0.25">
      <c r="C185" s="194"/>
    </row>
    <row r="186" spans="3:3" x14ac:dyDescent="0.25">
      <c r="C186" s="194"/>
    </row>
    <row r="187" spans="3:3" x14ac:dyDescent="0.25">
      <c r="C187" s="194"/>
    </row>
    <row r="188" spans="3:3" x14ac:dyDescent="0.25">
      <c r="C188" s="194"/>
    </row>
    <row r="189" spans="3:3" x14ac:dyDescent="0.25">
      <c r="C189" s="194"/>
    </row>
    <row r="190" spans="3:3" x14ac:dyDescent="0.25">
      <c r="C190" s="194"/>
    </row>
    <row r="191" spans="3:3" x14ac:dyDescent="0.25">
      <c r="C191" s="194"/>
    </row>
    <row r="192" spans="3:3" x14ac:dyDescent="0.25">
      <c r="C192" s="194"/>
    </row>
  </sheetData>
  <phoneticPr fontId="0" type="noConversion"/>
  <hyperlinks>
    <hyperlink ref="A1" location="'Working Budget with funding det'!A1" display="Main " xr:uid="{00000000-0004-0000-0D00-000000000000}"/>
    <hyperlink ref="B1" location="'Table of Contents'!A1" display="TOC" xr:uid="{00000000-0004-0000-0D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X217"/>
  <sheetViews>
    <sheetView workbookViewId="0">
      <pane ySplit="7" topLeftCell="A8" activePane="bottomLeft" state="frozen"/>
      <selection activeCell="S36" sqref="S36"/>
      <selection pane="bottomLeft" activeCell="R27" sqref="R27"/>
    </sheetView>
  </sheetViews>
  <sheetFormatPr defaultRowHeight="13.2" x14ac:dyDescent="0.25"/>
  <cols>
    <col min="1" max="1" width="11.3320312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3" width="14.44140625"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705</v>
      </c>
      <c r="B2" s="43"/>
      <c r="D2" s="194"/>
      <c r="E2" s="125"/>
      <c r="F2" s="194"/>
      <c r="G2" s="194"/>
      <c r="H2" s="194"/>
      <c r="I2" s="125" t="s">
        <v>706</v>
      </c>
      <c r="J2" s="125"/>
      <c r="K2" s="125"/>
      <c r="L2" s="125"/>
      <c r="M2" s="125"/>
      <c r="N2" s="125"/>
      <c r="O2" s="125"/>
      <c r="P2" s="125"/>
      <c r="Q2" s="125"/>
      <c r="R2" s="58" t="s">
        <v>784</v>
      </c>
      <c r="S2" s="194"/>
      <c r="T2" s="194"/>
      <c r="U2" s="44" t="s">
        <v>785</v>
      </c>
      <c r="X2" s="202"/>
    </row>
    <row r="3" spans="1:24" ht="13.8" thickBot="1" x14ac:dyDescent="0.3">
      <c r="A3" s="703"/>
      <c r="B3" s="4"/>
      <c r="C3" s="23"/>
      <c r="D3" s="23"/>
      <c r="E3" s="23"/>
      <c r="F3" s="23"/>
      <c r="G3" s="23"/>
      <c r="H3" s="23"/>
      <c r="I3" s="23"/>
      <c r="J3" s="23"/>
      <c r="K3" s="23"/>
      <c r="L3" s="23"/>
      <c r="M3" s="23"/>
      <c r="N3" s="23"/>
      <c r="O3" s="23"/>
      <c r="P3" s="23"/>
      <c r="Q3" s="23"/>
      <c r="R3" s="4"/>
      <c r="S3" s="23"/>
      <c r="T3" s="23"/>
      <c r="U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 t="s">
        <v>1345</v>
      </c>
      <c r="T4" s="7"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9" t="s">
        <v>469</v>
      </c>
      <c r="R7" s="120">
        <v>45291</v>
      </c>
      <c r="S7" s="9" t="s">
        <v>716</v>
      </c>
      <c r="T7" s="9"/>
      <c r="U7" s="9" t="s">
        <v>481</v>
      </c>
    </row>
    <row r="8" spans="1:24" ht="13.8" thickTop="1" x14ac:dyDescent="0.25">
      <c r="A8" s="725"/>
      <c r="B8" s="185"/>
      <c r="C8" s="117"/>
      <c r="D8" s="18"/>
      <c r="E8" s="18"/>
      <c r="F8" s="18"/>
      <c r="G8" s="18"/>
      <c r="H8" s="18"/>
      <c r="I8" s="19"/>
      <c r="J8" s="19"/>
      <c r="K8" s="19"/>
      <c r="L8" s="19"/>
      <c r="M8" s="19"/>
      <c r="N8" s="19"/>
      <c r="O8" s="19"/>
      <c r="P8" s="19"/>
      <c r="Q8" s="19"/>
      <c r="R8" s="18"/>
      <c r="S8" s="19"/>
      <c r="T8" s="19"/>
      <c r="U8" s="19"/>
    </row>
    <row r="9" spans="1:24" x14ac:dyDescent="0.25">
      <c r="A9" s="708">
        <v>5111</v>
      </c>
      <c r="B9" s="1058" t="s">
        <v>738</v>
      </c>
      <c r="C9" s="1059">
        <v>62644.4</v>
      </c>
      <c r="D9" s="1060">
        <f>129+62937</f>
        <v>63066</v>
      </c>
      <c r="E9" s="1060">
        <v>64970</v>
      </c>
      <c r="F9" s="1060">
        <v>66933</v>
      </c>
      <c r="G9" s="1060">
        <v>68954</v>
      </c>
      <c r="H9" s="1060">
        <v>69988</v>
      </c>
      <c r="I9" s="1060">
        <v>71388</v>
      </c>
      <c r="J9" s="1060">
        <v>73905</v>
      </c>
      <c r="K9" s="1061">
        <v>75014</v>
      </c>
      <c r="L9" s="1060">
        <v>75014</v>
      </c>
      <c r="M9" s="1061">
        <v>76139</v>
      </c>
      <c r="N9" s="1060">
        <v>76139</v>
      </c>
      <c r="O9" s="1061">
        <f>2284+76139</f>
        <v>78423</v>
      </c>
      <c r="P9" s="1060">
        <v>78423</v>
      </c>
      <c r="Q9" s="1061">
        <v>80384</v>
      </c>
      <c r="R9" s="1060">
        <v>38646.050000000003</v>
      </c>
      <c r="S9" s="1061">
        <f>ROUND(+R34,0)</f>
        <v>82394</v>
      </c>
      <c r="T9" s="1061"/>
      <c r="U9" s="1061"/>
    </row>
    <row r="10" spans="1:24" hidden="1" x14ac:dyDescent="0.25">
      <c r="A10" s="708">
        <v>5114</v>
      </c>
      <c r="B10" s="1062" t="s">
        <v>739</v>
      </c>
      <c r="C10" s="1063">
        <v>739.48</v>
      </c>
      <c r="D10" s="1064">
        <v>1464.56</v>
      </c>
      <c r="E10" s="1064">
        <v>1903.42</v>
      </c>
      <c r="F10" s="1064">
        <v>1211.77</v>
      </c>
      <c r="G10" s="1064"/>
      <c r="H10" s="1064"/>
      <c r="I10" s="1064">
        <v>0</v>
      </c>
      <c r="J10" s="1064"/>
      <c r="K10" s="1065"/>
      <c r="L10" s="1064"/>
      <c r="M10" s="1065"/>
      <c r="N10" s="1064"/>
      <c r="O10" s="1065"/>
      <c r="P10" s="1064"/>
      <c r="Q10" s="1065"/>
      <c r="R10" s="1064"/>
      <c r="S10" s="1065"/>
      <c r="T10" s="1065"/>
      <c r="U10" s="1065"/>
    </row>
    <row r="11" spans="1:24" ht="13.8" thickBot="1" x14ac:dyDescent="0.3">
      <c r="A11" s="708">
        <v>5144</v>
      </c>
      <c r="B11" s="1066" t="s">
        <v>27</v>
      </c>
      <c r="C11" s="1067"/>
      <c r="D11" s="1068"/>
      <c r="E11" s="1068"/>
      <c r="F11" s="1068"/>
      <c r="G11" s="1068"/>
      <c r="H11" s="1068"/>
      <c r="I11" s="1068"/>
      <c r="J11" s="1068"/>
      <c r="K11" s="1069"/>
      <c r="L11" s="1068"/>
      <c r="M11" s="1069"/>
      <c r="N11" s="1068"/>
      <c r="O11" s="1069"/>
      <c r="P11" s="1068"/>
      <c r="Q11" s="1069">
        <v>1000</v>
      </c>
      <c r="R11" s="1068">
        <v>1100</v>
      </c>
      <c r="S11" s="1069">
        <v>1100</v>
      </c>
      <c r="T11" s="1069"/>
      <c r="U11" s="1069"/>
    </row>
    <row r="12" spans="1:24" x14ac:dyDescent="0.25">
      <c r="A12" s="708"/>
      <c r="B12" s="182" t="s">
        <v>718</v>
      </c>
      <c r="C12" s="117">
        <f t="shared" ref="C12:J12" si="0">SUM(C9:C10)</f>
        <v>63383.880000000005</v>
      </c>
      <c r="D12" s="18">
        <f t="shared" si="0"/>
        <v>64530.559999999998</v>
      </c>
      <c r="E12" s="18">
        <f t="shared" si="0"/>
        <v>66873.42</v>
      </c>
      <c r="F12" s="18">
        <f t="shared" si="0"/>
        <v>68144.77</v>
      </c>
      <c r="G12" s="18">
        <f t="shared" si="0"/>
        <v>68954</v>
      </c>
      <c r="H12" s="18">
        <f t="shared" si="0"/>
        <v>69988</v>
      </c>
      <c r="I12" s="18">
        <f t="shared" si="0"/>
        <v>71388</v>
      </c>
      <c r="J12" s="18">
        <f t="shared" si="0"/>
        <v>73905</v>
      </c>
      <c r="K12" s="19">
        <f>SUM(K9:K10)</f>
        <v>75014</v>
      </c>
      <c r="L12" s="18">
        <f t="shared" ref="L12" si="1">SUM(L9:L10)</f>
        <v>75014</v>
      </c>
      <c r="M12" s="19">
        <f>SUM(M9:M11)</f>
        <v>76139</v>
      </c>
      <c r="N12" s="19">
        <f t="shared" ref="N12:S12" si="2">SUM(N9:N11)</f>
        <v>76139</v>
      </c>
      <c r="O12" s="19">
        <f t="shared" si="2"/>
        <v>78423</v>
      </c>
      <c r="P12" s="18">
        <f t="shared" si="2"/>
        <v>78423</v>
      </c>
      <c r="Q12" s="19">
        <f t="shared" si="2"/>
        <v>81384</v>
      </c>
      <c r="R12" s="19">
        <f t="shared" si="2"/>
        <v>39746.050000000003</v>
      </c>
      <c r="S12" s="19">
        <f t="shared" si="2"/>
        <v>83494</v>
      </c>
      <c r="T12" s="19"/>
      <c r="U12" s="19">
        <f>SUM(U9:U10)</f>
        <v>0</v>
      </c>
    </row>
    <row r="13" spans="1:24" x14ac:dyDescent="0.25">
      <c r="A13" s="708"/>
      <c r="B13" s="60"/>
      <c r="C13" s="115"/>
      <c r="D13" s="13"/>
      <c r="E13" s="13"/>
      <c r="F13" s="13"/>
      <c r="G13" s="13"/>
      <c r="H13" s="13"/>
      <c r="I13" s="13"/>
      <c r="J13" s="13"/>
      <c r="K13" s="14"/>
      <c r="L13" s="13"/>
      <c r="M13" s="14"/>
      <c r="N13" s="13"/>
      <c r="O13" s="14"/>
      <c r="P13" s="13"/>
      <c r="Q13" s="14"/>
      <c r="R13" s="13"/>
      <c r="S13" s="14"/>
      <c r="T13" s="14"/>
      <c r="U13" s="14"/>
    </row>
    <row r="14" spans="1:24" x14ac:dyDescent="0.25">
      <c r="A14" s="708">
        <v>5247</v>
      </c>
      <c r="B14" s="60" t="s">
        <v>786</v>
      </c>
      <c r="C14" s="115">
        <v>3734</v>
      </c>
      <c r="D14" s="13">
        <v>3809</v>
      </c>
      <c r="E14" s="13">
        <v>3885</v>
      </c>
      <c r="F14" s="13">
        <v>3963</v>
      </c>
      <c r="G14" s="13">
        <v>4082</v>
      </c>
      <c r="H14" s="13">
        <v>4204</v>
      </c>
      <c r="I14" s="127">
        <v>4289</v>
      </c>
      <c r="J14" s="127">
        <v>4375</v>
      </c>
      <c r="K14" s="14">
        <v>4485</v>
      </c>
      <c r="L14" s="127">
        <v>4593</v>
      </c>
      <c r="M14" s="14">
        <v>4826</v>
      </c>
      <c r="N14" s="127">
        <v>4754</v>
      </c>
      <c r="O14" s="14">
        <v>5500</v>
      </c>
      <c r="P14" s="13">
        <v>5259.25</v>
      </c>
      <c r="Q14" s="14">
        <v>5900</v>
      </c>
      <c r="R14" s="13">
        <v>5450</v>
      </c>
      <c r="S14" s="14">
        <v>6490</v>
      </c>
      <c r="T14" s="14"/>
      <c r="U14" s="14"/>
      <c r="V14" t="s">
        <v>2288</v>
      </c>
    </row>
    <row r="15" spans="1:24" hidden="1" x14ac:dyDescent="0.25">
      <c r="A15" s="708">
        <v>5248</v>
      </c>
      <c r="B15" s="60" t="s">
        <v>787</v>
      </c>
      <c r="C15" s="115"/>
      <c r="D15" s="13">
        <v>0</v>
      </c>
      <c r="E15" s="13"/>
      <c r="F15" s="13"/>
      <c r="G15" s="13"/>
      <c r="H15" s="13"/>
      <c r="I15" s="13">
        <v>0</v>
      </c>
      <c r="J15" s="13"/>
      <c r="K15" s="14">
        <v>0</v>
      </c>
      <c r="L15" s="13"/>
      <c r="M15" s="14">
        <v>0</v>
      </c>
      <c r="N15" s="13"/>
      <c r="O15" s="14">
        <v>0</v>
      </c>
      <c r="P15" s="13"/>
      <c r="Q15" s="14">
        <v>0</v>
      </c>
      <c r="R15" s="13"/>
      <c r="S15" s="14">
        <v>0</v>
      </c>
      <c r="T15" s="14"/>
      <c r="U15" s="14"/>
    </row>
    <row r="16" spans="1:24" x14ac:dyDescent="0.25">
      <c r="A16" s="708">
        <v>5250</v>
      </c>
      <c r="B16" s="60" t="s">
        <v>788</v>
      </c>
      <c r="C16" s="115"/>
      <c r="D16" s="13"/>
      <c r="E16" s="13"/>
      <c r="F16" s="13"/>
      <c r="G16" s="13"/>
      <c r="H16" s="13"/>
      <c r="I16" s="13"/>
      <c r="J16" s="13"/>
      <c r="K16" s="14"/>
      <c r="L16" s="13"/>
      <c r="M16" s="14"/>
      <c r="N16" s="13"/>
      <c r="O16" s="14">
        <v>3500</v>
      </c>
      <c r="P16" s="13">
        <v>1735</v>
      </c>
      <c r="Q16" s="14"/>
      <c r="R16" s="13"/>
      <c r="S16" s="14"/>
      <c r="T16" s="14"/>
      <c r="U16" s="14"/>
    </row>
    <row r="17" spans="1:23" x14ac:dyDescent="0.25">
      <c r="A17" s="708">
        <v>5305</v>
      </c>
      <c r="B17" s="60" t="s">
        <v>779</v>
      </c>
      <c r="C17" s="115">
        <v>225</v>
      </c>
      <c r="D17" s="13">
        <v>134.18</v>
      </c>
      <c r="E17" s="13">
        <v>264.49</v>
      </c>
      <c r="F17" s="13">
        <v>137.47999999999999</v>
      </c>
      <c r="G17" s="13">
        <v>151.94999999999999</v>
      </c>
      <c r="H17" s="13">
        <v>138.47</v>
      </c>
      <c r="I17" s="13">
        <v>139.37</v>
      </c>
      <c r="J17" s="13">
        <v>150.78</v>
      </c>
      <c r="K17" s="14">
        <v>160</v>
      </c>
      <c r="L17" s="13">
        <v>156.44999999999999</v>
      </c>
      <c r="M17" s="14">
        <v>160</v>
      </c>
      <c r="N17" s="13">
        <v>156.22</v>
      </c>
      <c r="O17" s="14">
        <v>175</v>
      </c>
      <c r="P17" s="13">
        <v>160.56</v>
      </c>
      <c r="Q17" s="14">
        <v>200</v>
      </c>
      <c r="R17" s="13">
        <v>175.62</v>
      </c>
      <c r="S17" s="14">
        <v>200</v>
      </c>
      <c r="T17" s="14"/>
      <c r="U17" s="14"/>
    </row>
    <row r="18" spans="1:23" x14ac:dyDescent="0.25">
      <c r="A18" s="708">
        <v>5314</v>
      </c>
      <c r="B18" s="60" t="s">
        <v>749</v>
      </c>
      <c r="C18" s="115">
        <v>290</v>
      </c>
      <c r="D18" s="13">
        <v>20</v>
      </c>
      <c r="E18" s="13">
        <v>340</v>
      </c>
      <c r="F18" s="13">
        <v>290</v>
      </c>
      <c r="G18" s="13">
        <v>290</v>
      </c>
      <c r="H18" s="13">
        <v>340</v>
      </c>
      <c r="I18" s="13">
        <v>0</v>
      </c>
      <c r="J18" s="13"/>
      <c r="K18" s="14">
        <v>350</v>
      </c>
      <c r="L18" s="13">
        <v>75</v>
      </c>
      <c r="M18" s="14">
        <v>350</v>
      </c>
      <c r="N18" s="13"/>
      <c r="O18" s="14">
        <v>350</v>
      </c>
      <c r="P18" s="13">
        <v>300</v>
      </c>
      <c r="Q18" s="14">
        <v>350</v>
      </c>
      <c r="R18" s="13"/>
      <c r="S18" s="14">
        <v>350</v>
      </c>
      <c r="T18" s="14"/>
      <c r="U18" s="14"/>
    </row>
    <row r="19" spans="1:23" hidden="1" x14ac:dyDescent="0.25">
      <c r="A19" s="708">
        <v>5315</v>
      </c>
      <c r="B19" s="60" t="s">
        <v>789</v>
      </c>
      <c r="C19" s="115"/>
      <c r="D19" s="13"/>
      <c r="E19" s="13"/>
      <c r="F19" s="13"/>
      <c r="G19" s="13"/>
      <c r="H19" s="13"/>
      <c r="I19" s="13"/>
      <c r="J19" s="13"/>
      <c r="K19" s="14"/>
      <c r="L19" s="13"/>
      <c r="M19" s="14"/>
      <c r="N19" s="13">
        <v>320.98</v>
      </c>
      <c r="O19" s="14"/>
      <c r="P19" s="13"/>
      <c r="Q19" s="14"/>
      <c r="R19" s="13"/>
      <c r="S19" s="14"/>
      <c r="T19" s="14"/>
      <c r="U19" s="14"/>
    </row>
    <row r="20" spans="1:23" hidden="1" x14ac:dyDescent="0.25">
      <c r="A20" s="708">
        <v>5341</v>
      </c>
      <c r="B20" s="60" t="s">
        <v>751</v>
      </c>
      <c r="C20" s="115">
        <v>209.06</v>
      </c>
      <c r="D20" s="13">
        <v>204.61</v>
      </c>
      <c r="E20" s="13">
        <v>206.02</v>
      </c>
      <c r="F20" s="13">
        <v>212.43</v>
      </c>
      <c r="G20" s="13">
        <v>217.4</v>
      </c>
      <c r="H20" s="13"/>
      <c r="I20" s="13"/>
      <c r="J20" s="13"/>
      <c r="K20" s="14"/>
      <c r="L20" s="13"/>
      <c r="M20" s="14"/>
      <c r="N20" s="13"/>
      <c r="O20" s="14"/>
      <c r="P20" s="13"/>
      <c r="Q20" s="14"/>
      <c r="R20" s="13"/>
      <c r="S20" s="14"/>
      <c r="T20" s="14"/>
      <c r="U20" s="14"/>
    </row>
    <row r="21" spans="1:23" x14ac:dyDescent="0.25">
      <c r="A21" s="708">
        <v>5344</v>
      </c>
      <c r="B21" s="60" t="s">
        <v>722</v>
      </c>
      <c r="C21" s="115">
        <v>53.02</v>
      </c>
      <c r="D21" s="13">
        <v>18.420000000000002</v>
      </c>
      <c r="E21" s="13">
        <v>29.4</v>
      </c>
      <c r="F21" s="13">
        <v>11.86</v>
      </c>
      <c r="G21" s="13">
        <v>9.33</v>
      </c>
      <c r="H21" s="13">
        <v>9.41</v>
      </c>
      <c r="I21" s="13">
        <v>78.010000000000005</v>
      </c>
      <c r="J21" s="13">
        <v>13.1</v>
      </c>
      <c r="K21" s="14">
        <v>25</v>
      </c>
      <c r="L21" s="13">
        <v>108.3</v>
      </c>
      <c r="M21" s="14">
        <v>25</v>
      </c>
      <c r="N21" s="13">
        <v>27.28</v>
      </c>
      <c r="O21" s="14">
        <v>36</v>
      </c>
      <c r="P21" s="13">
        <v>13.11</v>
      </c>
      <c r="Q21" s="14">
        <v>50</v>
      </c>
      <c r="R21" s="13">
        <v>14.42</v>
      </c>
      <c r="S21" s="14">
        <v>50</v>
      </c>
      <c r="T21" s="14"/>
      <c r="U21" s="14"/>
    </row>
    <row r="22" spans="1:23" x14ac:dyDescent="0.25">
      <c r="A22" s="708">
        <v>5380</v>
      </c>
      <c r="B22" s="12" t="s">
        <v>790</v>
      </c>
      <c r="C22" s="18"/>
      <c r="D22" s="18"/>
      <c r="E22" s="18"/>
      <c r="F22" s="18">
        <v>975</v>
      </c>
      <c r="G22" s="18"/>
      <c r="H22" s="18"/>
      <c r="I22" s="18"/>
      <c r="J22" s="18"/>
      <c r="K22" s="19"/>
      <c r="L22" s="18"/>
      <c r="M22" s="19"/>
      <c r="N22" s="18">
        <v>0</v>
      </c>
      <c r="O22" s="19">
        <v>1000</v>
      </c>
      <c r="P22" s="18"/>
      <c r="Q22" s="19"/>
      <c r="R22" s="18"/>
      <c r="S22" s="19"/>
      <c r="T22" s="19"/>
      <c r="U22" s="19"/>
    </row>
    <row r="23" spans="1:23" x14ac:dyDescent="0.25">
      <c r="A23" s="708">
        <v>5420</v>
      </c>
      <c r="B23" s="12" t="s">
        <v>753</v>
      </c>
      <c r="C23" s="18">
        <v>1648.08</v>
      </c>
      <c r="D23" s="18">
        <v>811.68</v>
      </c>
      <c r="E23" s="18">
        <v>2170.5300000000002</v>
      </c>
      <c r="F23" s="18">
        <v>1027.83</v>
      </c>
      <c r="G23" s="18">
        <v>1293.81</v>
      </c>
      <c r="H23" s="18">
        <v>1063.06</v>
      </c>
      <c r="I23" s="111">
        <v>1577.23</v>
      </c>
      <c r="J23" s="111">
        <v>1122.6400000000001</v>
      </c>
      <c r="K23" s="19">
        <v>1700</v>
      </c>
      <c r="L23" s="111">
        <v>1592.57</v>
      </c>
      <c r="M23" s="19">
        <v>1700</v>
      </c>
      <c r="N23" s="111">
        <v>1224.33</v>
      </c>
      <c r="O23" s="19">
        <v>1700</v>
      </c>
      <c r="P23" s="18">
        <v>1389.09</v>
      </c>
      <c r="Q23" s="19">
        <v>2300</v>
      </c>
      <c r="R23" s="18">
        <v>768</v>
      </c>
      <c r="S23" s="19">
        <v>2100</v>
      </c>
      <c r="T23" s="19"/>
      <c r="U23" s="19"/>
    </row>
    <row r="24" spans="1:23" hidden="1" x14ac:dyDescent="0.25">
      <c r="A24" s="708">
        <v>5590</v>
      </c>
      <c r="B24" s="12" t="s">
        <v>791</v>
      </c>
      <c r="C24" s="18"/>
      <c r="D24" s="18"/>
      <c r="E24" s="18"/>
      <c r="F24" s="18">
        <v>1435.58</v>
      </c>
      <c r="G24" s="18"/>
      <c r="H24" s="18"/>
      <c r="I24" s="111"/>
      <c r="J24" s="111">
        <v>757.32</v>
      </c>
      <c r="K24" s="19"/>
      <c r="L24" s="111"/>
      <c r="M24" s="19"/>
      <c r="N24" s="111"/>
      <c r="O24" s="19"/>
      <c r="P24" s="18"/>
      <c r="Q24" s="19"/>
      <c r="R24" s="18"/>
      <c r="S24" s="19"/>
      <c r="T24" s="19"/>
      <c r="U24" s="19"/>
    </row>
    <row r="25" spans="1:23" x14ac:dyDescent="0.25">
      <c r="A25" s="708">
        <v>5710</v>
      </c>
      <c r="B25" s="12" t="s">
        <v>758</v>
      </c>
      <c r="C25" s="18">
        <v>85.52</v>
      </c>
      <c r="D25" s="18">
        <v>21.21</v>
      </c>
      <c r="E25" s="18">
        <v>117.08</v>
      </c>
      <c r="F25" s="18">
        <v>189.15</v>
      </c>
      <c r="G25" s="18">
        <v>49.86</v>
      </c>
      <c r="H25" s="18">
        <v>107.21</v>
      </c>
      <c r="I25" s="18">
        <v>0</v>
      </c>
      <c r="J25" s="18"/>
      <c r="K25" s="19">
        <v>150</v>
      </c>
      <c r="L25" s="18"/>
      <c r="M25" s="19">
        <v>150</v>
      </c>
      <c r="N25" s="18"/>
      <c r="O25" s="19">
        <v>150</v>
      </c>
      <c r="P25" s="18">
        <v>87.44</v>
      </c>
      <c r="Q25" s="19">
        <v>266</v>
      </c>
      <c r="R25" s="18"/>
      <c r="S25" s="19">
        <v>266</v>
      </c>
      <c r="T25" s="19"/>
      <c r="U25" s="19"/>
    </row>
    <row r="26" spans="1:23" ht="13.8" thickBot="1" x14ac:dyDescent="0.3">
      <c r="A26" s="708">
        <v>5730</v>
      </c>
      <c r="B26" s="12" t="s">
        <v>759</v>
      </c>
      <c r="C26" s="15">
        <v>50</v>
      </c>
      <c r="D26" s="15">
        <v>50</v>
      </c>
      <c r="E26" s="15">
        <v>50</v>
      </c>
      <c r="F26" s="15">
        <v>50</v>
      </c>
      <c r="G26" s="15">
        <v>50</v>
      </c>
      <c r="H26" s="15">
        <v>50</v>
      </c>
      <c r="I26" s="15">
        <v>50</v>
      </c>
      <c r="J26" s="15">
        <v>50</v>
      </c>
      <c r="K26" s="16">
        <v>50</v>
      </c>
      <c r="L26" s="15">
        <v>50</v>
      </c>
      <c r="M26" s="16">
        <v>50</v>
      </c>
      <c r="N26" s="15">
        <v>50</v>
      </c>
      <c r="O26" s="16">
        <v>50</v>
      </c>
      <c r="P26" s="15">
        <v>50</v>
      </c>
      <c r="Q26" s="16">
        <v>50</v>
      </c>
      <c r="R26" s="15">
        <v>50</v>
      </c>
      <c r="S26" s="16">
        <v>50</v>
      </c>
      <c r="T26" s="16"/>
      <c r="U26" s="16"/>
    </row>
    <row r="27" spans="1:23" x14ac:dyDescent="0.25">
      <c r="A27" s="708"/>
      <c r="B27" s="17" t="s">
        <v>728</v>
      </c>
      <c r="C27" s="35">
        <f t="shared" ref="C27:I27" si="3">SUM(C14:C26)</f>
        <v>6294.6800000000012</v>
      </c>
      <c r="D27" s="35">
        <f t="shared" si="3"/>
        <v>5069.1000000000004</v>
      </c>
      <c r="E27" s="35">
        <f t="shared" si="3"/>
        <v>7062.52</v>
      </c>
      <c r="F27" s="35">
        <f>SUM(F14:F26)</f>
        <v>8292.33</v>
      </c>
      <c r="G27" s="35">
        <f>SUM(G14:G26)</f>
        <v>6144.3499999999995</v>
      </c>
      <c r="H27" s="35">
        <f>SUM(H14:H26)</f>
        <v>5912.1500000000005</v>
      </c>
      <c r="I27" s="35">
        <f t="shared" si="3"/>
        <v>6133.6100000000006</v>
      </c>
      <c r="J27" s="35">
        <f t="shared" ref="J27" si="4">SUM(J14:J26)</f>
        <v>6468.84</v>
      </c>
      <c r="K27" s="36">
        <f>SUM(K14:K26)</f>
        <v>6920</v>
      </c>
      <c r="L27" s="35">
        <f t="shared" ref="L27:O27" si="5">SUM(L14:L26)</f>
        <v>6575.32</v>
      </c>
      <c r="M27" s="36">
        <f t="shared" si="5"/>
        <v>7261</v>
      </c>
      <c r="N27" s="35">
        <f t="shared" ref="N27" si="6">SUM(N14:N26)</f>
        <v>6532.81</v>
      </c>
      <c r="O27" s="36">
        <f t="shared" si="5"/>
        <v>12461</v>
      </c>
      <c r="P27" s="35">
        <f t="shared" ref="P27" si="7">SUM(P14:P26)</f>
        <v>8994.4500000000007</v>
      </c>
      <c r="Q27" s="36">
        <f>SUM(Q14:Q26)</f>
        <v>9116</v>
      </c>
      <c r="R27" s="35">
        <f>SUM(R14:R26)</f>
        <v>6458.04</v>
      </c>
      <c r="S27" s="36">
        <f>SUM(S14:S26)</f>
        <v>9506</v>
      </c>
      <c r="T27" s="36"/>
      <c r="U27" s="36">
        <f>SUM(U14:U26)</f>
        <v>0</v>
      </c>
    </row>
    <row r="28" spans="1:23" x14ac:dyDescent="0.25">
      <c r="A28" s="708"/>
      <c r="B28" s="12"/>
      <c r="C28" s="13"/>
      <c r="D28" s="13"/>
      <c r="E28" s="13"/>
      <c r="F28" s="13"/>
      <c r="G28" s="13"/>
      <c r="H28" s="13"/>
      <c r="I28" s="13"/>
      <c r="J28" s="13"/>
      <c r="K28" s="14"/>
      <c r="L28" s="13"/>
      <c r="M28" s="14"/>
      <c r="N28" s="13"/>
      <c r="O28" s="14"/>
      <c r="P28" s="13"/>
      <c r="Q28" s="14"/>
      <c r="R28" s="13"/>
      <c r="S28" s="14"/>
      <c r="T28" s="14"/>
      <c r="U28" s="14"/>
    </row>
    <row r="29" spans="1:23" ht="13.8" thickBot="1" x14ac:dyDescent="0.3">
      <c r="A29" s="709"/>
      <c r="B29" s="20" t="s">
        <v>792</v>
      </c>
      <c r="C29" s="21">
        <f t="shared" ref="C29:S29" si="8">+C27+C12</f>
        <v>69678.560000000012</v>
      </c>
      <c r="D29" s="21">
        <f t="shared" si="8"/>
        <v>69599.66</v>
      </c>
      <c r="E29" s="21">
        <f t="shared" si="8"/>
        <v>73935.94</v>
      </c>
      <c r="F29" s="21">
        <f t="shared" si="8"/>
        <v>76437.100000000006</v>
      </c>
      <c r="G29" s="21">
        <f t="shared" si="8"/>
        <v>75098.350000000006</v>
      </c>
      <c r="H29" s="21">
        <f t="shared" si="8"/>
        <v>75900.149999999994</v>
      </c>
      <c r="I29" s="21">
        <f t="shared" si="8"/>
        <v>77521.61</v>
      </c>
      <c r="J29" s="21">
        <f t="shared" si="8"/>
        <v>80373.84</v>
      </c>
      <c r="K29" s="39">
        <f t="shared" si="8"/>
        <v>81934</v>
      </c>
      <c r="L29" s="21">
        <f t="shared" si="8"/>
        <v>81589.320000000007</v>
      </c>
      <c r="M29" s="39">
        <f t="shared" si="8"/>
        <v>83400</v>
      </c>
      <c r="N29" s="21">
        <f t="shared" ref="N29" si="9">+N27+N12</f>
        <v>82671.81</v>
      </c>
      <c r="O29" s="39">
        <f t="shared" si="8"/>
        <v>90884</v>
      </c>
      <c r="P29" s="21">
        <f t="shared" ref="P29" si="10">+P27+P12</f>
        <v>87417.45</v>
      </c>
      <c r="Q29" s="39">
        <f t="shared" ref="Q29" si="11">+Q27+Q12</f>
        <v>90500</v>
      </c>
      <c r="R29" s="21">
        <f t="shared" si="8"/>
        <v>46204.090000000004</v>
      </c>
      <c r="S29" s="39">
        <f t="shared" si="8"/>
        <v>93000</v>
      </c>
      <c r="T29" s="39">
        <f>+S29</f>
        <v>93000</v>
      </c>
      <c r="U29" s="39">
        <f>+S29</f>
        <v>93000</v>
      </c>
    </row>
    <row r="30" spans="1:23" ht="13.8" thickTop="1" x14ac:dyDescent="0.25">
      <c r="A30" s="703"/>
      <c r="B30" s="4"/>
      <c r="C30" s="24"/>
      <c r="D30" s="24"/>
      <c r="E30" s="24"/>
      <c r="F30" s="24"/>
      <c r="G30" s="24"/>
      <c r="H30" s="24"/>
      <c r="I30" s="24"/>
      <c r="J30" s="24"/>
      <c r="K30" s="24"/>
      <c r="L30" s="24"/>
      <c r="M30" s="24"/>
      <c r="N30" s="24"/>
      <c r="O30" s="24"/>
      <c r="P30" s="24"/>
      <c r="Q30" s="24"/>
      <c r="R30" s="181" t="s">
        <v>732</v>
      </c>
      <c r="S30" s="1001">
        <f>+S29-Q29</f>
        <v>2500</v>
      </c>
      <c r="T30" s="1002">
        <f>ROUND((+S30/Q29),4)</f>
        <v>2.76E-2</v>
      </c>
      <c r="U30" s="23"/>
      <c r="V30" s="25"/>
      <c r="W30" s="25"/>
    </row>
    <row r="31" spans="1:23" ht="13.8" thickBot="1" x14ac:dyDescent="0.3">
      <c r="A31" s="703" t="s">
        <v>793</v>
      </c>
      <c r="B31" s="4"/>
      <c r="D31" s="194"/>
      <c r="E31" s="194"/>
      <c r="F31" s="194"/>
      <c r="G31" s="194"/>
      <c r="H31" s="194"/>
      <c r="I31" s="194"/>
      <c r="J31" s="194"/>
      <c r="K31" s="194"/>
      <c r="L31" s="194"/>
      <c r="M31" s="194"/>
      <c r="N31" s="194"/>
      <c r="O31" s="194"/>
      <c r="P31" s="194"/>
      <c r="Q31" s="194"/>
      <c r="U31" s="25"/>
    </row>
    <row r="32" spans="1:23" ht="13.8" thickTop="1" x14ac:dyDescent="0.25">
      <c r="A32" s="753" t="s">
        <v>794</v>
      </c>
      <c r="B32" s="98"/>
      <c r="D32" s="276"/>
      <c r="E32" s="194"/>
      <c r="F32" s="194"/>
      <c r="G32" s="194"/>
      <c r="H32" s="194"/>
      <c r="I32" s="194"/>
      <c r="J32" s="194"/>
      <c r="K32" s="194"/>
      <c r="L32" s="194"/>
      <c r="O32" s="251" t="s">
        <v>761</v>
      </c>
      <c r="P32" s="137"/>
      <c r="Q32" s="149"/>
      <c r="R32" s="149" t="s">
        <v>763</v>
      </c>
      <c r="S32" s="1" t="s">
        <v>2053</v>
      </c>
      <c r="U32" s="187"/>
    </row>
    <row r="33" spans="1:21" ht="13.8" thickBot="1" x14ac:dyDescent="0.3">
      <c r="A33" s="754" t="s">
        <v>795</v>
      </c>
      <c r="B33" s="100" t="s">
        <v>766</v>
      </c>
      <c r="D33" s="278"/>
      <c r="E33" s="194"/>
      <c r="F33" s="194"/>
      <c r="G33" s="194"/>
      <c r="H33" s="194"/>
      <c r="I33" s="194"/>
      <c r="J33" s="194"/>
      <c r="K33" s="194"/>
      <c r="L33" s="194"/>
      <c r="O33" s="269">
        <v>45474</v>
      </c>
      <c r="P33" s="140"/>
      <c r="Q33" s="141"/>
      <c r="R33" s="141" t="s">
        <v>769</v>
      </c>
      <c r="S33" s="1" t="s">
        <v>2054</v>
      </c>
      <c r="U33" s="187"/>
    </row>
    <row r="34" spans="1:21" ht="13.8" thickTop="1" x14ac:dyDescent="0.25">
      <c r="A34" s="132">
        <v>36416</v>
      </c>
      <c r="B34" s="101" t="s">
        <v>796</v>
      </c>
      <c r="D34" s="18"/>
      <c r="E34" s="194"/>
      <c r="F34" s="194"/>
      <c r="G34" s="194"/>
      <c r="H34" s="194"/>
      <c r="I34" s="194"/>
      <c r="J34" s="194"/>
      <c r="K34" s="194"/>
      <c r="L34" s="194"/>
      <c r="O34" s="18" t="s">
        <v>797</v>
      </c>
      <c r="P34" s="18"/>
      <c r="Q34" s="18"/>
      <c r="R34" s="196">
        <f>+'NAGE &amp; Non-Union Wages'!L10</f>
        <v>82394</v>
      </c>
      <c r="S34" s="1">
        <v>1100</v>
      </c>
      <c r="U34" s="25"/>
    </row>
    <row r="35" spans="1:21" ht="13.8" thickBot="1" x14ac:dyDescent="0.3">
      <c r="A35" s="703"/>
      <c r="B35" s="4"/>
      <c r="C35" s="24"/>
      <c r="D35" s="24"/>
      <c r="E35" s="24"/>
      <c r="F35" s="194"/>
      <c r="G35" s="194"/>
      <c r="H35" s="194"/>
      <c r="I35" s="24"/>
      <c r="J35" s="24"/>
      <c r="K35" s="24"/>
      <c r="L35" s="24"/>
      <c r="M35" s="24"/>
      <c r="N35" s="24"/>
      <c r="O35" s="24"/>
      <c r="P35" s="24"/>
      <c r="Q35" s="24"/>
      <c r="R35" s="24"/>
      <c r="S35" s="148"/>
      <c r="T35" s="148"/>
      <c r="U35" s="25"/>
    </row>
    <row r="36" spans="1:21" ht="13.8" thickTop="1" x14ac:dyDescent="0.25">
      <c r="A36" s="718"/>
      <c r="B36" s="349"/>
      <c r="C36" s="113" t="s">
        <v>256</v>
      </c>
      <c r="D36" s="212" t="s">
        <v>256</v>
      </c>
      <c r="E36" s="212" t="s">
        <v>256</v>
      </c>
      <c r="F36" s="194"/>
      <c r="G36" s="194"/>
      <c r="H36" s="194"/>
      <c r="I36" s="194"/>
      <c r="J36" s="194"/>
      <c r="K36" s="194"/>
      <c r="L36" s="194"/>
      <c r="O36" s="352" t="s">
        <v>255</v>
      </c>
      <c r="P36" s="353" t="s">
        <v>716</v>
      </c>
      <c r="Q36" s="354" t="s">
        <v>730</v>
      </c>
      <c r="R36" s="353" t="s">
        <v>731</v>
      </c>
      <c r="S36" s="355"/>
      <c r="T36" s="550"/>
      <c r="U36" s="354"/>
    </row>
    <row r="37" spans="1:21" ht="13.8" thickBot="1" x14ac:dyDescent="0.3">
      <c r="A37" s="719" t="s">
        <v>715</v>
      </c>
      <c r="B37" s="356"/>
      <c r="C37" s="357" t="s">
        <v>243</v>
      </c>
      <c r="D37" s="357" t="s">
        <v>244</v>
      </c>
      <c r="E37" s="358" t="s">
        <v>245</v>
      </c>
      <c r="F37" s="194"/>
      <c r="G37" s="194"/>
      <c r="H37" s="194"/>
      <c r="I37" s="194"/>
      <c r="J37" s="194"/>
      <c r="K37" s="194"/>
      <c r="L37" s="194"/>
      <c r="O37" s="359" t="s">
        <v>469</v>
      </c>
      <c r="P37" s="359" t="s">
        <v>1345</v>
      </c>
      <c r="Q37" s="358" t="s">
        <v>732</v>
      </c>
      <c r="R37" s="360" t="s">
        <v>732</v>
      </c>
      <c r="S37" s="361" t="s">
        <v>733</v>
      </c>
      <c r="T37" s="551"/>
      <c r="U37" s="359"/>
    </row>
    <row r="38" spans="1:21" ht="13.8" thickTop="1" x14ac:dyDescent="0.25">
      <c r="A38" s="726"/>
      <c r="B38" s="376"/>
      <c r="C38" s="365"/>
      <c r="D38" s="365"/>
      <c r="E38" s="365"/>
      <c r="F38" s="194"/>
      <c r="G38" s="194"/>
      <c r="H38" s="194"/>
      <c r="I38" s="194"/>
      <c r="J38" s="194"/>
      <c r="K38" s="194"/>
      <c r="L38" s="194"/>
      <c r="O38" s="366"/>
      <c r="P38" s="365"/>
      <c r="Q38" s="366"/>
      <c r="R38" s="365"/>
      <c r="S38" s="367"/>
      <c r="T38" s="553"/>
      <c r="U38" s="368"/>
    </row>
    <row r="39" spans="1:21" x14ac:dyDescent="0.25">
      <c r="A39" s="724">
        <v>5111</v>
      </c>
      <c r="B39" s="369" t="s">
        <v>738</v>
      </c>
      <c r="C39" s="375">
        <v>62644.4</v>
      </c>
      <c r="D39" s="375">
        <f>129+62937</f>
        <v>63066</v>
      </c>
      <c r="E39" s="375">
        <v>64970</v>
      </c>
      <c r="F39" s="194"/>
      <c r="G39" s="194"/>
      <c r="H39" s="194"/>
      <c r="I39" s="194"/>
      <c r="J39" s="194"/>
      <c r="K39" s="194"/>
      <c r="L39" s="194"/>
      <c r="O39" s="372">
        <f>+Q9</f>
        <v>80384</v>
      </c>
      <c r="P39" s="529">
        <f>+S9</f>
        <v>82394</v>
      </c>
      <c r="Q39" s="368">
        <f t="shared" ref="Q39:Q46" si="12">+P39-O39</f>
        <v>2010</v>
      </c>
      <c r="R39" s="374">
        <f t="shared" ref="R39:R46" si="13">IF(O39+P39&lt;&gt;0,IF(O39&lt;&gt;0,IF(Q39&lt;&gt;0,ROUND((+Q39/O39),4),""),1),"")</f>
        <v>2.5000000000000001E-2</v>
      </c>
      <c r="S39" s="367" t="s">
        <v>2291</v>
      </c>
      <c r="T39" s="553"/>
      <c r="U39" s="368"/>
    </row>
    <row r="40" spans="1:21" ht="13.8" hidden="1" thickBot="1" x14ac:dyDescent="0.3">
      <c r="A40" s="724">
        <v>5114</v>
      </c>
      <c r="B40" s="369" t="s">
        <v>739</v>
      </c>
      <c r="C40" s="371">
        <v>739.48</v>
      </c>
      <c r="D40" s="371">
        <v>1464.56</v>
      </c>
      <c r="E40" s="371">
        <v>1903.42</v>
      </c>
      <c r="F40" s="194"/>
      <c r="G40" s="194"/>
      <c r="H40" s="194"/>
      <c r="I40" s="194"/>
      <c r="J40" s="194"/>
      <c r="K40" s="194"/>
      <c r="L40" s="194"/>
      <c r="O40" s="372"/>
      <c r="P40" s="529">
        <f>+S10</f>
        <v>0</v>
      </c>
      <c r="Q40" s="368">
        <f t="shared" si="12"/>
        <v>0</v>
      </c>
      <c r="R40" s="374" t="str">
        <f t="shared" si="13"/>
        <v/>
      </c>
      <c r="S40" s="367"/>
      <c r="T40" s="553"/>
      <c r="U40" s="368"/>
    </row>
    <row r="41" spans="1:21" x14ac:dyDescent="0.25">
      <c r="A41" s="724">
        <v>5144</v>
      </c>
      <c r="B41" s="369" t="s">
        <v>27</v>
      </c>
      <c r="C41" s="375"/>
      <c r="D41" s="375"/>
      <c r="E41" s="375"/>
      <c r="F41" s="194"/>
      <c r="G41" s="194"/>
      <c r="H41" s="194"/>
      <c r="I41" s="194"/>
      <c r="J41" s="194"/>
      <c r="K41" s="194"/>
      <c r="L41" s="194"/>
      <c r="O41" s="366">
        <f>+Q11</f>
        <v>1000</v>
      </c>
      <c r="P41" s="529">
        <f>+S11</f>
        <v>1100</v>
      </c>
      <c r="Q41" s="368">
        <f t="shared" ref="Q41" si="14">+P41-O41</f>
        <v>100</v>
      </c>
      <c r="R41" s="374">
        <f t="shared" si="13"/>
        <v>0.1</v>
      </c>
      <c r="S41" s="367" t="s">
        <v>2290</v>
      </c>
      <c r="T41" s="553"/>
      <c r="U41" s="368"/>
    </row>
    <row r="42" spans="1:21" x14ac:dyDescent="0.25">
      <c r="A42" s="724">
        <v>5247</v>
      </c>
      <c r="B42" s="369" t="s">
        <v>786</v>
      </c>
      <c r="C42" s="373">
        <v>3734</v>
      </c>
      <c r="D42" s="373">
        <v>3809</v>
      </c>
      <c r="E42" s="373">
        <v>3885</v>
      </c>
      <c r="F42" s="194"/>
      <c r="G42" s="194"/>
      <c r="H42" s="194"/>
      <c r="I42" s="194"/>
      <c r="J42" s="194"/>
      <c r="K42" s="194"/>
      <c r="L42" s="194"/>
      <c r="O42" s="366">
        <f>+Q14</f>
        <v>5900</v>
      </c>
      <c r="P42" s="529">
        <f t="shared" ref="P42:P54" si="15">+S14</f>
        <v>6490</v>
      </c>
      <c r="Q42" s="368">
        <f t="shared" si="12"/>
        <v>590</v>
      </c>
      <c r="R42" s="374">
        <f t="shared" si="13"/>
        <v>0.1</v>
      </c>
      <c r="S42" s="367" t="s">
        <v>2289</v>
      </c>
      <c r="T42" s="553"/>
      <c r="U42" s="368"/>
    </row>
    <row r="43" spans="1:21" hidden="1" x14ac:dyDescent="0.25">
      <c r="A43" s="724">
        <v>5248</v>
      </c>
      <c r="B43" s="369" t="s">
        <v>787</v>
      </c>
      <c r="C43" s="373"/>
      <c r="D43" s="373">
        <v>0</v>
      </c>
      <c r="E43" s="373"/>
      <c r="F43" s="194"/>
      <c r="G43" s="194"/>
      <c r="H43" s="194"/>
      <c r="I43" s="194"/>
      <c r="J43" s="194"/>
      <c r="K43" s="194"/>
      <c r="L43" s="194"/>
      <c r="O43" s="366">
        <f>+O15</f>
        <v>0</v>
      </c>
      <c r="P43" s="529">
        <f t="shared" si="15"/>
        <v>0</v>
      </c>
      <c r="Q43" s="368">
        <f t="shared" si="12"/>
        <v>0</v>
      </c>
      <c r="R43" s="374" t="str">
        <f t="shared" si="13"/>
        <v/>
      </c>
      <c r="S43" s="367"/>
      <c r="T43" s="553"/>
      <c r="U43" s="368"/>
    </row>
    <row r="44" spans="1:21" x14ac:dyDescent="0.25">
      <c r="A44" s="724">
        <v>5250</v>
      </c>
      <c r="B44" s="369" t="s">
        <v>798</v>
      </c>
      <c r="C44" s="373"/>
      <c r="D44" s="373"/>
      <c r="E44" s="373"/>
      <c r="F44" s="194"/>
      <c r="G44" s="194"/>
      <c r="H44" s="194"/>
      <c r="I44" s="194"/>
      <c r="J44" s="194"/>
      <c r="K44" s="194"/>
      <c r="L44" s="194"/>
      <c r="O44" s="366">
        <f t="shared" ref="O44:O54" si="16">+Q16</f>
        <v>0</v>
      </c>
      <c r="P44" s="529">
        <f t="shared" si="15"/>
        <v>0</v>
      </c>
      <c r="Q44" s="368">
        <f t="shared" si="12"/>
        <v>0</v>
      </c>
      <c r="R44" s="374" t="str">
        <f t="shared" si="13"/>
        <v/>
      </c>
      <c r="S44" s="367"/>
      <c r="T44" s="553"/>
      <c r="U44" s="368"/>
    </row>
    <row r="45" spans="1:21" x14ac:dyDescent="0.25">
      <c r="A45" s="724">
        <v>5305</v>
      </c>
      <c r="B45" s="369" t="s">
        <v>779</v>
      </c>
      <c r="C45" s="373">
        <v>225</v>
      </c>
      <c r="D45" s="373">
        <v>134.18</v>
      </c>
      <c r="E45" s="373">
        <v>264.49</v>
      </c>
      <c r="F45" s="194"/>
      <c r="G45" s="194"/>
      <c r="H45" s="194"/>
      <c r="I45" s="194"/>
      <c r="J45" s="194"/>
      <c r="K45" s="194"/>
      <c r="L45" s="194"/>
      <c r="O45" s="366">
        <f t="shared" si="16"/>
        <v>200</v>
      </c>
      <c r="P45" s="529">
        <f t="shared" si="15"/>
        <v>200</v>
      </c>
      <c r="Q45" s="368">
        <f t="shared" si="12"/>
        <v>0</v>
      </c>
      <c r="R45" s="374" t="str">
        <f t="shared" si="13"/>
        <v/>
      </c>
      <c r="S45" s="367"/>
      <c r="T45" s="553"/>
      <c r="U45" s="368"/>
    </row>
    <row r="46" spans="1:21" ht="14.25" customHeight="1" x14ac:dyDescent="0.25">
      <c r="A46" s="724">
        <v>5314</v>
      </c>
      <c r="B46" s="369" t="s">
        <v>749</v>
      </c>
      <c r="C46" s="373">
        <v>290</v>
      </c>
      <c r="D46" s="373">
        <v>20</v>
      </c>
      <c r="E46" s="373">
        <v>340</v>
      </c>
      <c r="F46" s="194"/>
      <c r="G46" s="194"/>
      <c r="H46" s="194"/>
      <c r="I46" s="194"/>
      <c r="J46" s="194"/>
      <c r="K46" s="194"/>
      <c r="L46" s="194"/>
      <c r="O46" s="366">
        <f t="shared" si="16"/>
        <v>350</v>
      </c>
      <c r="P46" s="529">
        <f t="shared" si="15"/>
        <v>350</v>
      </c>
      <c r="Q46" s="368">
        <f t="shared" si="12"/>
        <v>0</v>
      </c>
      <c r="R46" s="374" t="str">
        <f t="shared" si="13"/>
        <v/>
      </c>
      <c r="S46" s="367"/>
      <c r="T46" s="553"/>
      <c r="U46" s="368"/>
    </row>
    <row r="47" spans="1:21" ht="14.25" customHeight="1" x14ac:dyDescent="0.25">
      <c r="A47" s="724">
        <v>5315</v>
      </c>
      <c r="B47" s="369" t="s">
        <v>789</v>
      </c>
      <c r="C47" s="373"/>
      <c r="D47" s="373"/>
      <c r="E47" s="373"/>
      <c r="F47" s="194"/>
      <c r="G47" s="194"/>
      <c r="H47" s="194"/>
      <c r="I47" s="194"/>
      <c r="J47" s="194"/>
      <c r="K47" s="194"/>
      <c r="L47" s="194"/>
      <c r="O47" s="366">
        <f t="shared" si="16"/>
        <v>0</v>
      </c>
      <c r="P47" s="529">
        <f t="shared" si="15"/>
        <v>0</v>
      </c>
      <c r="Q47" s="368"/>
      <c r="R47" s="374"/>
      <c r="S47" s="367"/>
      <c r="T47" s="553"/>
      <c r="U47" s="368"/>
    </row>
    <row r="48" spans="1:21" x14ac:dyDescent="0.25">
      <c r="A48" s="724">
        <v>5341</v>
      </c>
      <c r="B48" s="369" t="s">
        <v>751</v>
      </c>
      <c r="C48" s="373">
        <v>209.06</v>
      </c>
      <c r="D48" s="373">
        <v>204.61</v>
      </c>
      <c r="E48" s="373">
        <v>206.02</v>
      </c>
      <c r="F48" s="194"/>
      <c r="G48" s="194"/>
      <c r="H48" s="194"/>
      <c r="I48" s="194"/>
      <c r="J48" s="194"/>
      <c r="K48" s="194"/>
      <c r="L48" s="194"/>
      <c r="O48" s="366">
        <f t="shared" si="16"/>
        <v>0</v>
      </c>
      <c r="P48" s="529">
        <f t="shared" si="15"/>
        <v>0</v>
      </c>
      <c r="Q48" s="368">
        <f t="shared" ref="Q48:Q54" si="17">+P48-O48</f>
        <v>0</v>
      </c>
      <c r="R48" s="374" t="str">
        <f t="shared" ref="R48:R54" si="18">IF(O48+P48&lt;&gt;0,IF(O48&lt;&gt;0,IF(Q48&lt;&gt;0,ROUND((+Q48/O48),4),""),1),"")</f>
        <v/>
      </c>
      <c r="S48" s="367"/>
      <c r="T48" s="553"/>
      <c r="U48" s="368"/>
    </row>
    <row r="49" spans="1:22" x14ac:dyDescent="0.25">
      <c r="A49" s="724">
        <v>5344</v>
      </c>
      <c r="B49" s="369" t="s">
        <v>722</v>
      </c>
      <c r="C49" s="373">
        <v>53.02</v>
      </c>
      <c r="D49" s="373">
        <v>18.420000000000002</v>
      </c>
      <c r="E49" s="373">
        <v>29.4</v>
      </c>
      <c r="F49" s="194"/>
      <c r="G49" s="194"/>
      <c r="H49" s="194"/>
      <c r="I49" s="194"/>
      <c r="J49" s="194"/>
      <c r="K49" s="194"/>
      <c r="L49" s="194"/>
      <c r="O49" s="366">
        <f t="shared" si="16"/>
        <v>50</v>
      </c>
      <c r="P49" s="529">
        <f t="shared" si="15"/>
        <v>50</v>
      </c>
      <c r="Q49" s="368">
        <f t="shared" si="17"/>
        <v>0</v>
      </c>
      <c r="R49" s="374" t="str">
        <f t="shared" si="18"/>
        <v/>
      </c>
      <c r="S49" s="367"/>
      <c r="T49" s="553"/>
      <c r="U49" s="368"/>
    </row>
    <row r="50" spans="1:22" x14ac:dyDescent="0.25">
      <c r="A50" s="724">
        <v>5380</v>
      </c>
      <c r="B50" s="369" t="s">
        <v>790</v>
      </c>
      <c r="C50" s="365"/>
      <c r="D50" s="365"/>
      <c r="E50" s="365"/>
      <c r="F50" s="194"/>
      <c r="G50" s="194"/>
      <c r="H50" s="194"/>
      <c r="I50" s="194"/>
      <c r="J50" s="194"/>
      <c r="K50" s="194"/>
      <c r="L50" s="194"/>
      <c r="O50" s="366">
        <f t="shared" si="16"/>
        <v>0</v>
      </c>
      <c r="P50" s="529">
        <f t="shared" si="15"/>
        <v>0</v>
      </c>
      <c r="Q50" s="368">
        <f t="shared" si="17"/>
        <v>0</v>
      </c>
      <c r="R50" s="374" t="str">
        <f t="shared" si="18"/>
        <v/>
      </c>
      <c r="S50" s="367"/>
      <c r="T50" s="553"/>
      <c r="U50" s="368"/>
    </row>
    <row r="51" spans="1:22" x14ac:dyDescent="0.25">
      <c r="A51" s="724">
        <v>5420</v>
      </c>
      <c r="B51" s="369" t="s">
        <v>753</v>
      </c>
      <c r="C51" s="365">
        <v>1648.08</v>
      </c>
      <c r="D51" s="365">
        <v>811.68</v>
      </c>
      <c r="E51" s="365">
        <v>2170.5300000000002</v>
      </c>
      <c r="F51" s="194"/>
      <c r="G51" s="194"/>
      <c r="H51" s="194"/>
      <c r="I51" s="194"/>
      <c r="J51" s="194"/>
      <c r="K51" s="194"/>
      <c r="L51" s="194"/>
      <c r="O51" s="366">
        <f t="shared" si="16"/>
        <v>2300</v>
      </c>
      <c r="P51" s="529">
        <f t="shared" si="15"/>
        <v>2100</v>
      </c>
      <c r="Q51" s="368">
        <f t="shared" si="17"/>
        <v>-200</v>
      </c>
      <c r="R51" s="374">
        <f t="shared" si="18"/>
        <v>-8.6999999999999994E-2</v>
      </c>
      <c r="S51" s="367" t="s">
        <v>2292</v>
      </c>
      <c r="T51" s="553"/>
      <c r="U51" s="368"/>
    </row>
    <row r="52" spans="1:22" ht="12.75" customHeight="1" x14ac:dyDescent="0.25">
      <c r="A52" s="724">
        <v>5590</v>
      </c>
      <c r="B52" s="369" t="s">
        <v>791</v>
      </c>
      <c r="C52" s="365"/>
      <c r="D52" s="365"/>
      <c r="E52" s="365"/>
      <c r="F52" s="194"/>
      <c r="G52" s="194"/>
      <c r="H52" s="194"/>
      <c r="I52" s="194"/>
      <c r="J52" s="194"/>
      <c r="K52" s="194"/>
      <c r="L52" s="194"/>
      <c r="O52" s="366">
        <f t="shared" si="16"/>
        <v>0</v>
      </c>
      <c r="P52" s="529">
        <f t="shared" si="15"/>
        <v>0</v>
      </c>
      <c r="Q52" s="368">
        <f t="shared" si="17"/>
        <v>0</v>
      </c>
      <c r="R52" s="374" t="str">
        <f t="shared" si="18"/>
        <v/>
      </c>
      <c r="S52" s="367"/>
      <c r="T52" s="553"/>
      <c r="U52" s="368"/>
    </row>
    <row r="53" spans="1:22" x14ac:dyDescent="0.25">
      <c r="A53" s="724">
        <v>5710</v>
      </c>
      <c r="B53" s="369" t="s">
        <v>758</v>
      </c>
      <c r="C53" s="365">
        <v>85.52</v>
      </c>
      <c r="D53" s="365">
        <v>21.21</v>
      </c>
      <c r="E53" s="365">
        <v>117.08</v>
      </c>
      <c r="F53" s="194"/>
      <c r="G53" s="194"/>
      <c r="H53" s="194"/>
      <c r="I53" s="194"/>
      <c r="J53" s="194"/>
      <c r="K53" s="194"/>
      <c r="L53" s="194"/>
      <c r="O53" s="366">
        <f t="shared" si="16"/>
        <v>266</v>
      </c>
      <c r="P53" s="529">
        <f t="shared" si="15"/>
        <v>266</v>
      </c>
      <c r="Q53" s="368">
        <f t="shared" si="17"/>
        <v>0</v>
      </c>
      <c r="R53" s="374" t="str">
        <f t="shared" si="18"/>
        <v/>
      </c>
      <c r="S53" s="367"/>
      <c r="T53" s="553"/>
      <c r="U53" s="368"/>
    </row>
    <row r="54" spans="1:22" ht="13.8" thickBot="1" x14ac:dyDescent="0.3">
      <c r="A54" s="724">
        <v>5730</v>
      </c>
      <c r="B54" s="369" t="s">
        <v>759</v>
      </c>
      <c r="C54" s="371">
        <v>50</v>
      </c>
      <c r="D54" s="371">
        <v>50</v>
      </c>
      <c r="E54" s="371">
        <v>50</v>
      </c>
      <c r="F54" s="194"/>
      <c r="G54" s="194"/>
      <c r="H54" s="194"/>
      <c r="I54" s="194"/>
      <c r="J54" s="194"/>
      <c r="K54" s="194"/>
      <c r="L54" s="194"/>
      <c r="O54" s="366">
        <f t="shared" si="16"/>
        <v>50</v>
      </c>
      <c r="P54" s="393">
        <f t="shared" si="15"/>
        <v>50</v>
      </c>
      <c r="Q54" s="368">
        <f t="shared" si="17"/>
        <v>0</v>
      </c>
      <c r="R54" s="374" t="str">
        <f t="shared" si="18"/>
        <v/>
      </c>
      <c r="S54" s="367"/>
      <c r="T54" s="553"/>
      <c r="U54" s="368"/>
    </row>
    <row r="55" spans="1:22" x14ac:dyDescent="0.25">
      <c r="A55" s="703"/>
      <c r="B55" s="4"/>
      <c r="C55" s="24"/>
      <c r="D55" s="24"/>
      <c r="E55" s="24"/>
      <c r="F55" s="24"/>
      <c r="G55" s="24"/>
      <c r="H55" s="194"/>
      <c r="I55" s="194"/>
      <c r="J55" s="194"/>
      <c r="K55" s="194"/>
      <c r="L55" s="194"/>
      <c r="O55" s="24"/>
      <c r="P55" s="24"/>
      <c r="Q55" s="24"/>
      <c r="R55" s="24"/>
      <c r="S55" s="148"/>
      <c r="T55" s="148"/>
      <c r="U55" s="25"/>
    </row>
    <row r="56" spans="1:22" x14ac:dyDescent="0.25">
      <c r="A56" s="703"/>
      <c r="B56" s="4" t="s">
        <v>735</v>
      </c>
      <c r="C56" s="23"/>
      <c r="D56" s="23"/>
      <c r="E56" s="23"/>
      <c r="F56" s="23"/>
      <c r="G56" s="23"/>
      <c r="H56" s="194"/>
      <c r="I56" s="194"/>
      <c r="J56" s="194"/>
      <c r="K56" s="194"/>
      <c r="L56" s="194"/>
      <c r="O56" s="597">
        <f>SUM(O39:O55)</f>
        <v>90500</v>
      </c>
      <c r="P56" s="597">
        <f>SUM(P39:P55)</f>
        <v>93000</v>
      </c>
      <c r="Q56" s="25">
        <f>+P56-O56</f>
        <v>2500</v>
      </c>
      <c r="R56" s="598">
        <f>IF(O56+P56&lt;&gt;0,IF(O56&lt;&gt;0,IF(Q56&lt;&gt;0,ROUND((+Q56/O56),4),""),1),"")</f>
        <v>2.76E-2</v>
      </c>
      <c r="S56" s="148"/>
      <c r="T56" s="148"/>
      <c r="U56" s="25"/>
    </row>
    <row r="57" spans="1:22" x14ac:dyDescent="0.25">
      <c r="A57" s="703"/>
      <c r="B57" s="4"/>
      <c r="C57" s="24"/>
      <c r="D57" s="24"/>
      <c r="E57" s="24"/>
      <c r="F57" s="24"/>
      <c r="G57" s="24"/>
      <c r="H57" s="24"/>
      <c r="I57" s="24"/>
      <c r="J57" s="24"/>
      <c r="K57" s="24"/>
      <c r="L57" s="24"/>
      <c r="M57" s="24"/>
      <c r="N57" s="24"/>
      <c r="O57" s="24"/>
      <c r="P57" s="24"/>
      <c r="Q57" s="24"/>
      <c r="R57" s="24"/>
      <c r="S57" s="148"/>
      <c r="T57" s="148"/>
      <c r="U57" s="25"/>
    </row>
    <row r="58" spans="1:22" x14ac:dyDescent="0.25">
      <c r="A58" s="703"/>
      <c r="B58" s="4"/>
      <c r="C58" s="24"/>
      <c r="D58" s="24"/>
      <c r="E58" s="24"/>
      <c r="F58" s="24"/>
      <c r="G58" s="24"/>
      <c r="H58" s="24"/>
      <c r="I58" s="24"/>
      <c r="J58" s="24"/>
      <c r="K58" s="24"/>
      <c r="L58" s="24"/>
      <c r="M58" s="24"/>
      <c r="N58" s="24"/>
      <c r="O58" s="24"/>
      <c r="P58" s="24"/>
      <c r="Q58" s="24"/>
      <c r="R58" s="24"/>
      <c r="S58" s="148"/>
      <c r="T58" s="148"/>
      <c r="U58" s="25"/>
    </row>
    <row r="59" spans="1:22" x14ac:dyDescent="0.25">
      <c r="A59" s="703"/>
      <c r="B59" s="4"/>
      <c r="C59" s="24"/>
      <c r="D59" s="24"/>
      <c r="E59" s="24"/>
      <c r="F59" s="24"/>
      <c r="G59" s="24"/>
      <c r="H59" s="24"/>
      <c r="I59" s="24"/>
      <c r="J59" s="24"/>
      <c r="K59" s="24"/>
      <c r="L59" s="24"/>
      <c r="M59" s="24"/>
      <c r="N59" s="24"/>
      <c r="O59" s="24"/>
      <c r="P59" s="24"/>
      <c r="Q59" s="24"/>
      <c r="R59" s="24"/>
      <c r="S59" s="148"/>
      <c r="T59" s="148"/>
      <c r="U59" s="25"/>
    </row>
    <row r="60" spans="1:22" x14ac:dyDescent="0.25">
      <c r="A60" s="703"/>
      <c r="B60" s="4"/>
      <c r="C60" s="24"/>
      <c r="D60" s="24"/>
      <c r="E60" s="24"/>
      <c r="F60" s="24"/>
      <c r="G60" s="24"/>
      <c r="H60" s="24"/>
      <c r="I60" s="24"/>
      <c r="J60" s="24"/>
      <c r="K60" s="24"/>
      <c r="L60" s="24"/>
      <c r="M60" s="24"/>
      <c r="N60" s="24"/>
      <c r="O60" s="24"/>
      <c r="P60" s="24"/>
      <c r="Q60" s="24"/>
      <c r="R60" s="24"/>
      <c r="S60" s="148"/>
      <c r="T60" s="148"/>
      <c r="U60" s="25"/>
    </row>
    <row r="61" spans="1:22" x14ac:dyDescent="0.25">
      <c r="A61" s="703"/>
      <c r="B61" s="4"/>
      <c r="C61" s="24"/>
      <c r="D61" s="24"/>
      <c r="E61" s="24"/>
      <c r="F61" s="24"/>
      <c r="G61" s="24"/>
      <c r="H61" s="24"/>
      <c r="I61" s="24"/>
      <c r="J61" s="24"/>
      <c r="K61" s="24"/>
      <c r="L61" s="24"/>
      <c r="M61" s="24"/>
      <c r="N61" s="24"/>
      <c r="O61" s="24"/>
      <c r="P61" s="24"/>
      <c r="Q61" s="24"/>
      <c r="R61" s="24"/>
      <c r="S61" s="148"/>
      <c r="T61" s="148"/>
      <c r="U61" s="25"/>
    </row>
    <row r="62" spans="1:22" x14ac:dyDescent="0.25">
      <c r="A62" s="703"/>
      <c r="B62" s="4"/>
      <c r="C62" s="24"/>
      <c r="D62" s="24"/>
      <c r="E62" s="24"/>
      <c r="F62" s="24"/>
      <c r="G62" s="24"/>
      <c r="H62" s="24"/>
      <c r="I62" s="24"/>
      <c r="J62" s="24"/>
      <c r="K62" s="24"/>
      <c r="L62" s="24"/>
      <c r="M62" s="24"/>
      <c r="N62" s="24"/>
      <c r="O62" s="24"/>
      <c r="P62" s="24"/>
      <c r="Q62" s="24"/>
      <c r="R62" s="24"/>
      <c r="S62" s="148"/>
      <c r="T62" s="148"/>
      <c r="U62" s="25"/>
    </row>
    <row r="63" spans="1:22" x14ac:dyDescent="0.25">
      <c r="A63" s="703"/>
      <c r="B63" s="4" t="s">
        <v>799</v>
      </c>
      <c r="C63" s="24"/>
      <c r="D63" s="24"/>
      <c r="E63" s="24"/>
      <c r="F63" s="24"/>
      <c r="G63" s="24"/>
      <c r="H63" s="24"/>
      <c r="I63" s="24"/>
      <c r="J63" s="24"/>
      <c r="K63" s="24"/>
      <c r="L63" s="24"/>
      <c r="M63" s="24"/>
      <c r="N63" s="24"/>
      <c r="O63" s="24"/>
      <c r="P63" s="24"/>
      <c r="Q63" s="24"/>
      <c r="R63" s="24"/>
      <c r="S63" s="25"/>
      <c r="T63" s="25"/>
      <c r="U63" s="25"/>
      <c r="V63" s="148"/>
    </row>
    <row r="64" spans="1:22" x14ac:dyDescent="0.25">
      <c r="A64" s="703"/>
      <c r="B64" s="4" t="s">
        <v>800</v>
      </c>
      <c r="C64" s="24"/>
      <c r="D64" s="981"/>
      <c r="E64" s="981"/>
      <c r="F64" s="981"/>
      <c r="G64" s="981"/>
      <c r="H64" s="981"/>
      <c r="I64" s="981"/>
      <c r="J64" s="981"/>
      <c r="K64" s="981"/>
      <c r="L64" s="981"/>
      <c r="M64" s="981"/>
      <c r="N64" s="981"/>
      <c r="O64" s="981"/>
      <c r="P64" s="981"/>
      <c r="Q64" s="981"/>
      <c r="S64" s="119"/>
      <c r="T64" s="119"/>
      <c r="U64" s="119"/>
    </row>
    <row r="65" spans="1:23" x14ac:dyDescent="0.25">
      <c r="A65" s="703"/>
      <c r="B65" s="4" t="s">
        <v>801</v>
      </c>
      <c r="C65" s="24"/>
      <c r="D65" s="981"/>
      <c r="E65" s="981"/>
      <c r="F65" s="981"/>
      <c r="G65" s="981"/>
      <c r="H65" s="981"/>
      <c r="I65" s="981"/>
      <c r="J65" s="981"/>
      <c r="K65" s="981"/>
      <c r="L65" s="981"/>
      <c r="M65" s="981"/>
      <c r="N65" s="981"/>
      <c r="O65" s="981"/>
      <c r="P65" s="981"/>
      <c r="Q65" s="981"/>
      <c r="S65" s="119"/>
      <c r="T65" s="119"/>
      <c r="U65" s="119"/>
    </row>
    <row r="66" spans="1:23" x14ac:dyDescent="0.25">
      <c r="A66" s="703"/>
      <c r="B66" s="4"/>
      <c r="C66" s="24"/>
      <c r="D66" s="981"/>
      <c r="E66" s="981"/>
      <c r="F66" s="981"/>
      <c r="G66" s="981"/>
      <c r="H66" s="981"/>
      <c r="I66" s="981"/>
      <c r="J66" s="981"/>
      <c r="K66" s="981"/>
      <c r="L66" s="981"/>
      <c r="M66" s="981"/>
      <c r="N66" s="981"/>
      <c r="O66" s="981"/>
      <c r="P66" s="981"/>
      <c r="Q66" s="981"/>
      <c r="S66" s="119"/>
      <c r="T66" s="119"/>
      <c r="U66" s="119"/>
    </row>
    <row r="67" spans="1:23" x14ac:dyDescent="0.25">
      <c r="A67" s="703"/>
      <c r="B67" s="4" t="s">
        <v>802</v>
      </c>
      <c r="C67" s="24" t="s">
        <v>803</v>
      </c>
      <c r="D67" s="981"/>
      <c r="E67" s="981"/>
      <c r="F67" s="981"/>
      <c r="G67" s="981"/>
      <c r="H67" s="981"/>
      <c r="I67" s="981"/>
      <c r="J67" s="981"/>
      <c r="K67" s="981"/>
      <c r="L67" s="981"/>
      <c r="M67" s="981"/>
      <c r="N67" s="981"/>
      <c r="O67" s="981"/>
      <c r="P67" s="981"/>
      <c r="Q67" s="981"/>
      <c r="S67" s="119"/>
      <c r="T67" s="119"/>
      <c r="U67" s="119"/>
    </row>
    <row r="68" spans="1:23" x14ac:dyDescent="0.25">
      <c r="A68" s="703"/>
      <c r="B68" s="4" t="s">
        <v>804</v>
      </c>
      <c r="C68" s="24"/>
      <c r="D68" s="24" t="s">
        <v>805</v>
      </c>
      <c r="E68" s="24"/>
      <c r="F68" s="24"/>
      <c r="G68" s="24">
        <v>770</v>
      </c>
      <c r="H68" s="24"/>
      <c r="I68" s="24"/>
      <c r="J68" s="24"/>
      <c r="K68" s="24"/>
      <c r="L68" s="24"/>
      <c r="M68" s="24">
        <v>300</v>
      </c>
      <c r="N68" s="24"/>
      <c r="O68" s="24"/>
      <c r="P68" s="24"/>
      <c r="Q68" s="24"/>
      <c r="R68" s="25" t="s">
        <v>806</v>
      </c>
      <c r="S68" s="24"/>
      <c r="T68" s="24"/>
      <c r="U68" s="24"/>
      <c r="V68" s="25"/>
      <c r="W68" s="25"/>
    </row>
    <row r="69" spans="1:23" x14ac:dyDescent="0.25">
      <c r="A69" s="703"/>
      <c r="B69" s="4" t="s">
        <v>807</v>
      </c>
      <c r="C69" s="24">
        <v>200</v>
      </c>
      <c r="D69" s="24"/>
      <c r="E69" s="24"/>
      <c r="F69" s="24"/>
      <c r="G69" s="24">
        <v>250</v>
      </c>
      <c r="H69" s="24"/>
      <c r="I69" s="24"/>
      <c r="J69" s="24"/>
      <c r="K69" s="24"/>
      <c r="L69" s="24"/>
      <c r="M69" s="24">
        <v>1200</v>
      </c>
      <c r="N69" s="24"/>
      <c r="O69" s="24"/>
      <c r="P69" s="24"/>
      <c r="Q69" s="24"/>
      <c r="R69" s="25" t="s">
        <v>808</v>
      </c>
      <c r="S69" s="24">
        <v>4</v>
      </c>
      <c r="T69" s="24"/>
      <c r="U69" s="24"/>
      <c r="V69" s="25"/>
      <c r="W69" s="25"/>
    </row>
    <row r="70" spans="1:23" x14ac:dyDescent="0.25">
      <c r="A70" s="703"/>
      <c r="B70" s="4" t="s">
        <v>809</v>
      </c>
      <c r="C70" s="24">
        <v>750</v>
      </c>
      <c r="D70" s="24" t="s">
        <v>810</v>
      </c>
      <c r="E70" s="24"/>
      <c r="F70" s="24"/>
      <c r="G70" s="24">
        <v>600</v>
      </c>
      <c r="H70" s="24"/>
      <c r="I70" s="24"/>
      <c r="J70" s="24"/>
      <c r="K70" s="24"/>
      <c r="L70" s="24"/>
      <c r="M70" s="24">
        <v>120</v>
      </c>
      <c r="N70" s="24"/>
      <c r="O70" s="24"/>
      <c r="P70" s="24"/>
      <c r="Q70" s="24"/>
      <c r="R70" s="25" t="s">
        <v>811</v>
      </c>
      <c r="S70" s="23">
        <v>3</v>
      </c>
      <c r="T70" s="23"/>
      <c r="U70" s="23"/>
      <c r="V70" s="25"/>
      <c r="W70" s="25"/>
    </row>
    <row r="71" spans="1:23" x14ac:dyDescent="0.25">
      <c r="A71" s="703"/>
      <c r="B71" s="4" t="s">
        <v>812</v>
      </c>
      <c r="C71" s="24">
        <v>120</v>
      </c>
      <c r="D71" s="24"/>
      <c r="E71" s="24"/>
      <c r="F71" s="24"/>
      <c r="G71" s="24">
        <v>120</v>
      </c>
      <c r="H71" s="24"/>
      <c r="I71" s="24"/>
      <c r="J71" s="24"/>
      <c r="K71" s="24"/>
      <c r="L71" s="24"/>
      <c r="M71" s="24">
        <v>500</v>
      </c>
      <c r="N71" s="24"/>
      <c r="O71" s="24"/>
      <c r="P71" s="24"/>
      <c r="Q71" s="24"/>
      <c r="R71" s="25" t="s">
        <v>813</v>
      </c>
      <c r="S71" s="23">
        <v>1</v>
      </c>
      <c r="T71" s="23"/>
      <c r="U71" s="23"/>
      <c r="V71" s="25"/>
      <c r="W71" s="25"/>
    </row>
    <row r="72" spans="1:23" x14ac:dyDescent="0.25">
      <c r="A72" s="703"/>
      <c r="B72" s="4" t="s">
        <v>814</v>
      </c>
      <c r="C72" s="128">
        <v>230</v>
      </c>
      <c r="D72" s="24"/>
      <c r="E72" s="24"/>
      <c r="F72" s="24"/>
      <c r="G72" s="24">
        <v>160</v>
      </c>
      <c r="H72" s="24"/>
      <c r="I72" s="24"/>
      <c r="J72" s="24"/>
      <c r="K72" s="24"/>
      <c r="L72" s="24"/>
      <c r="M72" s="24">
        <v>180</v>
      </c>
      <c r="N72" s="24"/>
      <c r="O72" s="24"/>
      <c r="P72" s="24"/>
      <c r="Q72" s="24"/>
      <c r="R72" s="25" t="s">
        <v>815</v>
      </c>
      <c r="S72" s="23">
        <v>1</v>
      </c>
      <c r="T72" s="23"/>
      <c r="U72" s="23"/>
      <c r="V72" s="25"/>
      <c r="W72" s="25"/>
    </row>
    <row r="73" spans="1:23" x14ac:dyDescent="0.25">
      <c r="A73" s="703"/>
      <c r="B73" s="4"/>
      <c r="C73" s="24">
        <f>SUM(C68:C72)</f>
        <v>1300</v>
      </c>
      <c r="D73" s="24"/>
      <c r="E73" s="24"/>
      <c r="F73" s="24"/>
      <c r="G73" s="24">
        <f>SUM(G68:G72)</f>
        <v>1900</v>
      </c>
      <c r="H73" s="24"/>
      <c r="I73" s="24"/>
      <c r="J73" s="24"/>
      <c r="K73" s="24"/>
      <c r="L73" s="24"/>
      <c r="M73" s="24"/>
      <c r="N73" s="24"/>
      <c r="O73" s="24"/>
      <c r="P73" s="24"/>
      <c r="Q73" s="24"/>
      <c r="R73" s="25"/>
      <c r="S73" s="23"/>
      <c r="T73" s="23"/>
      <c r="U73" s="23"/>
      <c r="V73" s="25"/>
      <c r="W73" s="25"/>
    </row>
    <row r="74" spans="1:23" x14ac:dyDescent="0.25">
      <c r="A74" s="703"/>
      <c r="B74" s="4"/>
      <c r="C74" s="24"/>
      <c r="D74" s="24"/>
      <c r="E74" s="24"/>
      <c r="F74" s="24"/>
      <c r="G74" s="24"/>
      <c r="H74" s="24"/>
      <c r="I74" s="24"/>
      <c r="J74" s="24"/>
      <c r="K74" s="24"/>
      <c r="L74" s="24"/>
      <c r="M74" s="24">
        <f>SUM(M68:M73)</f>
        <v>2300</v>
      </c>
      <c r="N74" s="24"/>
      <c r="O74" s="24"/>
      <c r="P74" s="24"/>
      <c r="Q74" s="24"/>
      <c r="R74" s="23"/>
      <c r="S74" s="23"/>
      <c r="T74" s="23"/>
      <c r="U74" s="23"/>
      <c r="V74" s="23"/>
      <c r="W74" s="23"/>
    </row>
    <row r="75" spans="1:23" x14ac:dyDescent="0.25">
      <c r="A75" s="703"/>
      <c r="B75" s="4"/>
      <c r="C75" s="24"/>
      <c r="D75" s="24"/>
      <c r="E75" s="24"/>
      <c r="F75" s="24"/>
      <c r="G75" s="24"/>
      <c r="H75" s="24"/>
      <c r="I75" s="24"/>
      <c r="J75" s="24"/>
      <c r="K75" s="24"/>
      <c r="L75" s="24"/>
      <c r="M75" s="24"/>
      <c r="N75" s="24"/>
      <c r="O75" s="24"/>
      <c r="P75" s="24"/>
      <c r="Q75" s="24"/>
      <c r="R75" s="25"/>
      <c r="S75" s="23"/>
      <c r="T75" s="23"/>
      <c r="U75" s="23"/>
      <c r="V75" s="25"/>
      <c r="W75" s="25"/>
    </row>
    <row r="76" spans="1:23" x14ac:dyDescent="0.25">
      <c r="A76" s="703"/>
      <c r="B76" s="4"/>
      <c r="C76" s="23"/>
      <c r="D76" s="23"/>
      <c r="E76" s="23"/>
      <c r="F76" s="23"/>
      <c r="G76" s="23"/>
      <c r="H76" s="23"/>
      <c r="I76" s="23"/>
      <c r="J76" s="23"/>
      <c r="K76" s="23"/>
      <c r="L76" s="23"/>
      <c r="M76" s="23"/>
      <c r="N76" s="23"/>
      <c r="O76" s="23"/>
      <c r="P76" s="23"/>
      <c r="Q76" s="23"/>
      <c r="R76" s="25"/>
      <c r="S76" s="23"/>
      <c r="T76" s="23"/>
      <c r="U76" s="23"/>
      <c r="V76" s="25"/>
      <c r="W76" s="25"/>
    </row>
    <row r="77" spans="1:23" x14ac:dyDescent="0.25">
      <c r="A77" s="703"/>
      <c r="B77" s="4"/>
      <c r="C77" s="23"/>
      <c r="D77" s="23"/>
      <c r="E77" s="23"/>
      <c r="F77" s="23"/>
      <c r="G77" s="23"/>
      <c r="H77" s="23"/>
      <c r="I77" s="23"/>
      <c r="J77" s="23"/>
      <c r="K77" s="23"/>
      <c r="L77" s="23"/>
      <c r="M77" s="23"/>
      <c r="N77" s="23"/>
      <c r="O77" s="23"/>
      <c r="P77" s="23"/>
      <c r="Q77" s="23"/>
      <c r="R77" s="25"/>
      <c r="S77" s="23"/>
      <c r="T77" s="23"/>
      <c r="U77" s="23"/>
      <c r="V77" s="25"/>
      <c r="W77" s="25"/>
    </row>
    <row r="78" spans="1:23" ht="13.8" x14ac:dyDescent="0.25">
      <c r="A78" s="751"/>
      <c r="B78" s="4"/>
      <c r="C78" s="23"/>
      <c r="D78" s="23"/>
      <c r="E78" s="23"/>
      <c r="F78" s="23"/>
      <c r="G78" s="23"/>
      <c r="H78" s="23"/>
      <c r="I78" s="23"/>
      <c r="J78" s="23"/>
      <c r="K78" s="23"/>
      <c r="L78" s="23"/>
      <c r="M78" s="23"/>
      <c r="N78" s="23"/>
      <c r="O78" s="23"/>
      <c r="P78" s="23"/>
      <c r="Q78" s="23"/>
      <c r="R78" s="25"/>
      <c r="S78" s="23"/>
      <c r="T78" s="23"/>
      <c r="U78" s="23"/>
      <c r="V78" s="25"/>
      <c r="W78" s="25"/>
    </row>
    <row r="79" spans="1:23" x14ac:dyDescent="0.25">
      <c r="A79" s="703"/>
      <c r="B79" s="4"/>
      <c r="C79" s="23"/>
      <c r="D79" s="23"/>
      <c r="E79" s="23"/>
      <c r="F79" s="23"/>
      <c r="G79" s="23"/>
      <c r="H79" s="23"/>
      <c r="I79" s="23"/>
      <c r="J79" s="23"/>
      <c r="K79" s="23"/>
      <c r="L79" s="23"/>
      <c r="M79" s="23"/>
      <c r="N79" s="23"/>
      <c r="O79" s="23"/>
      <c r="P79" s="23"/>
      <c r="Q79" s="23"/>
      <c r="R79" s="25"/>
      <c r="S79" s="23"/>
      <c r="T79" s="23"/>
      <c r="U79" s="23"/>
      <c r="V79" s="25"/>
      <c r="W79" s="25"/>
    </row>
    <row r="80" spans="1:23" x14ac:dyDescent="0.25">
      <c r="A80" s="703"/>
      <c r="B80" s="4"/>
      <c r="C80" s="23"/>
      <c r="D80" s="23"/>
      <c r="E80" s="23"/>
      <c r="F80" s="23"/>
      <c r="G80" s="23"/>
      <c r="H80" s="23"/>
      <c r="I80" s="23"/>
      <c r="J80" s="23"/>
      <c r="K80" s="23"/>
      <c r="L80" s="23"/>
      <c r="M80" s="23"/>
      <c r="N80" s="23"/>
      <c r="O80" s="23"/>
      <c r="P80" s="23"/>
      <c r="Q80" s="23"/>
      <c r="R80" s="25"/>
      <c r="S80" s="23"/>
      <c r="T80" s="23"/>
      <c r="U80" s="23"/>
      <c r="V80" s="25"/>
      <c r="W80" s="25"/>
    </row>
    <row r="81" spans="1:23" x14ac:dyDescent="0.25">
      <c r="A81" s="703"/>
      <c r="B81" s="4"/>
      <c r="C81" s="23"/>
      <c r="D81" s="23"/>
      <c r="E81" s="23"/>
      <c r="F81" s="23"/>
      <c r="G81" s="23"/>
      <c r="H81" s="23"/>
      <c r="I81" s="23"/>
      <c r="J81" s="23"/>
      <c r="K81" s="23"/>
      <c r="L81" s="23"/>
      <c r="M81" s="23"/>
      <c r="N81" s="23"/>
      <c r="O81" s="23"/>
      <c r="P81" s="23"/>
      <c r="Q81" s="23"/>
      <c r="R81" s="25"/>
      <c r="S81" s="23"/>
      <c r="T81" s="23"/>
      <c r="U81" s="23"/>
      <c r="V81" s="25"/>
      <c r="W81" s="25"/>
    </row>
    <row r="82" spans="1:23" x14ac:dyDescent="0.25">
      <c r="A82" s="703"/>
      <c r="B82" s="4"/>
      <c r="C82" s="23"/>
      <c r="D82" s="23"/>
      <c r="E82" s="23"/>
      <c r="F82" s="23"/>
      <c r="G82" s="23"/>
      <c r="H82" s="23"/>
      <c r="I82" s="23"/>
      <c r="J82" s="23"/>
      <c r="K82" s="23"/>
      <c r="L82" s="23"/>
      <c r="M82" s="23"/>
      <c r="N82" s="23"/>
      <c r="O82" s="23"/>
      <c r="P82" s="23"/>
      <c r="Q82" s="23"/>
      <c r="R82" s="25"/>
      <c r="S82" s="23"/>
      <c r="T82" s="23"/>
      <c r="U82" s="23"/>
      <c r="V82" s="25"/>
      <c r="W82" s="25"/>
    </row>
    <row r="83" spans="1:23" x14ac:dyDescent="0.25">
      <c r="A83" s="703"/>
      <c r="B83" s="4"/>
      <c r="C83" s="23"/>
      <c r="D83" s="23"/>
      <c r="E83" s="23"/>
      <c r="F83" s="23"/>
      <c r="G83" s="23"/>
      <c r="H83" s="23"/>
      <c r="I83" s="23"/>
      <c r="J83" s="23"/>
      <c r="K83" s="23"/>
      <c r="L83" s="23"/>
      <c r="M83" s="23"/>
      <c r="N83" s="23"/>
      <c r="O83" s="23"/>
      <c r="P83" s="23"/>
      <c r="Q83" s="23"/>
      <c r="R83" s="25"/>
      <c r="S83" s="23"/>
      <c r="T83" s="23"/>
      <c r="U83" s="23"/>
      <c r="V83" s="25"/>
      <c r="W83" s="25"/>
    </row>
    <row r="84" spans="1:23" x14ac:dyDescent="0.25">
      <c r="A84" s="703"/>
      <c r="B84" s="4"/>
      <c r="C84" s="23"/>
      <c r="D84" s="23"/>
      <c r="E84" s="23"/>
      <c r="F84" s="23"/>
      <c r="G84" s="23"/>
      <c r="H84" s="23"/>
      <c r="I84" s="23"/>
      <c r="J84" s="23"/>
      <c r="K84" s="23"/>
      <c r="L84" s="23"/>
      <c r="M84" s="23"/>
      <c r="N84" s="23"/>
      <c r="O84" s="23"/>
      <c r="P84" s="23"/>
      <c r="Q84" s="23"/>
      <c r="R84" s="25"/>
      <c r="S84" s="23"/>
      <c r="T84" s="23"/>
      <c r="U84" s="23"/>
      <c r="V84" s="25"/>
      <c r="W84" s="25"/>
    </row>
    <row r="85" spans="1:23" x14ac:dyDescent="0.25">
      <c r="A85" s="703"/>
      <c r="B85" s="4"/>
      <c r="C85" s="23"/>
      <c r="D85" s="23"/>
      <c r="E85" s="23"/>
      <c r="F85" s="23"/>
      <c r="G85" s="23"/>
      <c r="H85" s="23"/>
      <c r="I85" s="23"/>
      <c r="J85" s="23"/>
      <c r="K85" s="23"/>
      <c r="L85" s="23"/>
      <c r="M85" s="23"/>
      <c r="N85" s="23"/>
      <c r="O85" s="23"/>
      <c r="P85" s="23"/>
      <c r="Q85" s="23"/>
      <c r="R85" s="25"/>
      <c r="S85" s="23"/>
      <c r="T85" s="23"/>
      <c r="U85" s="23"/>
      <c r="V85" s="25"/>
      <c r="W85" s="25"/>
    </row>
    <row r="86" spans="1:23" x14ac:dyDescent="0.25">
      <c r="A86" s="703"/>
      <c r="B86" s="4"/>
      <c r="C86" s="97"/>
      <c r="D86" s="97"/>
      <c r="E86" s="97"/>
      <c r="F86" s="97"/>
      <c r="G86" s="97"/>
      <c r="H86" s="97"/>
      <c r="I86" s="97"/>
      <c r="J86" s="97"/>
      <c r="K86" s="97"/>
      <c r="L86" s="97"/>
      <c r="M86" s="97"/>
      <c r="N86" s="97"/>
      <c r="O86" s="97"/>
      <c r="P86" s="97"/>
      <c r="Q86" s="97"/>
      <c r="R86" s="25"/>
      <c r="S86" s="97"/>
      <c r="T86" s="97"/>
      <c r="U86" s="97"/>
      <c r="V86" s="25"/>
      <c r="W86" s="25"/>
    </row>
    <row r="87" spans="1:23" x14ac:dyDescent="0.25">
      <c r="A87" s="703"/>
      <c r="B87" s="4"/>
      <c r="C87" s="97"/>
      <c r="D87" s="97"/>
      <c r="E87" s="97"/>
      <c r="F87" s="97"/>
      <c r="G87" s="97"/>
      <c r="H87" s="97"/>
      <c r="I87" s="97"/>
      <c r="J87" s="97"/>
      <c r="K87" s="97"/>
      <c r="L87" s="97"/>
      <c r="M87" s="97"/>
      <c r="N87" s="97"/>
      <c r="O87" s="97"/>
      <c r="P87" s="97"/>
      <c r="Q87" s="97"/>
      <c r="R87" s="25"/>
      <c r="S87" s="97"/>
      <c r="T87" s="97"/>
      <c r="U87" s="97"/>
      <c r="V87" s="25"/>
      <c r="W87" s="25"/>
    </row>
    <row r="88" spans="1:23" x14ac:dyDescent="0.25">
      <c r="A88" s="703"/>
      <c r="B88" s="4"/>
      <c r="C88" s="97"/>
      <c r="D88" s="97"/>
      <c r="E88" s="97"/>
      <c r="F88" s="97"/>
      <c r="G88" s="97"/>
      <c r="H88" s="97"/>
      <c r="I88" s="97"/>
      <c r="J88" s="97"/>
      <c r="K88" s="97"/>
      <c r="L88" s="97"/>
      <c r="M88" s="97"/>
      <c r="N88" s="97"/>
      <c r="O88" s="97"/>
      <c r="P88" s="97"/>
      <c r="Q88" s="97"/>
      <c r="R88" s="25"/>
      <c r="S88" s="97"/>
      <c r="T88" s="97"/>
      <c r="U88" s="97"/>
      <c r="V88" s="25"/>
      <c r="W88" s="25"/>
    </row>
    <row r="89" spans="1:23" x14ac:dyDescent="0.25">
      <c r="A89" s="703"/>
      <c r="B89" s="4"/>
      <c r="C89" s="97"/>
      <c r="D89" s="97"/>
      <c r="E89" s="97"/>
      <c r="F89" s="97"/>
      <c r="G89" s="97"/>
      <c r="H89" s="97"/>
      <c r="I89" s="97"/>
      <c r="J89" s="97"/>
      <c r="K89" s="97"/>
      <c r="L89" s="97"/>
      <c r="M89" s="97"/>
      <c r="N89" s="97"/>
      <c r="O89" s="97"/>
      <c r="P89" s="97"/>
      <c r="Q89" s="97"/>
      <c r="R89" s="25"/>
      <c r="S89" s="97"/>
      <c r="T89" s="97"/>
      <c r="U89" s="97"/>
      <c r="V89" s="25"/>
      <c r="W89" s="25"/>
    </row>
    <row r="90" spans="1:23" x14ac:dyDescent="0.25">
      <c r="A90" s="703"/>
      <c r="B90" s="4"/>
      <c r="C90" s="97"/>
      <c r="D90" s="97"/>
      <c r="E90" s="97"/>
      <c r="F90" s="97"/>
      <c r="G90" s="97"/>
      <c r="H90" s="97"/>
      <c r="I90" s="97"/>
      <c r="J90" s="97"/>
      <c r="K90" s="97"/>
      <c r="L90" s="97"/>
      <c r="M90" s="97"/>
      <c r="N90" s="97"/>
      <c r="O90" s="97"/>
      <c r="P90" s="97"/>
      <c r="Q90" s="97"/>
      <c r="R90" s="25"/>
      <c r="S90" s="97"/>
      <c r="T90" s="97"/>
      <c r="U90" s="97"/>
      <c r="V90" s="25"/>
      <c r="W90" s="25"/>
    </row>
    <row r="91" spans="1:23" x14ac:dyDescent="0.25">
      <c r="A91" s="703"/>
      <c r="B91" s="4"/>
      <c r="C91" s="97"/>
      <c r="D91" s="97"/>
      <c r="E91" s="97"/>
      <c r="F91" s="97"/>
      <c r="G91" s="97"/>
      <c r="H91" s="97"/>
      <c r="I91" s="97"/>
      <c r="J91" s="97"/>
      <c r="K91" s="97"/>
      <c r="L91" s="97"/>
      <c r="M91" s="97"/>
      <c r="N91" s="97"/>
      <c r="O91" s="97"/>
      <c r="P91" s="97"/>
      <c r="Q91" s="97"/>
      <c r="R91" s="25"/>
      <c r="S91" s="97"/>
      <c r="T91" s="97"/>
      <c r="U91" s="97"/>
      <c r="V91" s="25"/>
      <c r="W91" s="25"/>
    </row>
    <row r="92" spans="1:23" x14ac:dyDescent="0.25">
      <c r="A92" s="703"/>
      <c r="B92" s="4"/>
      <c r="C92" s="97"/>
      <c r="D92" s="97"/>
      <c r="E92" s="97"/>
      <c r="F92" s="97"/>
      <c r="G92" s="97"/>
      <c r="H92" s="97"/>
      <c r="I92" s="97"/>
      <c r="J92" s="97"/>
      <c r="K92" s="97"/>
      <c r="L92" s="97"/>
      <c r="M92" s="97"/>
      <c r="N92" s="97"/>
      <c r="O92" s="97"/>
      <c r="P92" s="97"/>
      <c r="Q92" s="97"/>
      <c r="R92" s="25"/>
      <c r="S92" s="97"/>
      <c r="T92" s="97"/>
      <c r="U92" s="97"/>
      <c r="V92" s="25"/>
      <c r="W92" s="25"/>
    </row>
    <row r="93" spans="1:23" x14ac:dyDescent="0.25">
      <c r="A93" s="703"/>
      <c r="B93" s="4"/>
      <c r="C93" s="97"/>
      <c r="D93" s="97"/>
      <c r="E93" s="97"/>
      <c r="F93" s="97"/>
      <c r="G93" s="97"/>
      <c r="H93" s="97"/>
      <c r="I93" s="97"/>
      <c r="J93" s="97"/>
      <c r="K93" s="97"/>
      <c r="L93" s="97"/>
      <c r="M93" s="97"/>
      <c r="N93" s="97"/>
      <c r="O93" s="97"/>
      <c r="P93" s="97"/>
      <c r="Q93" s="97"/>
      <c r="R93" s="25"/>
      <c r="S93" s="97"/>
      <c r="T93" s="97"/>
      <c r="U93" s="97"/>
      <c r="V93" s="25"/>
      <c r="W93" s="25"/>
    </row>
    <row r="94" spans="1:23" x14ac:dyDescent="0.25">
      <c r="A94" s="703"/>
      <c r="B94" s="4"/>
      <c r="C94" s="97"/>
      <c r="D94" s="97"/>
      <c r="E94" s="97"/>
      <c r="F94" s="97"/>
      <c r="G94" s="97"/>
      <c r="H94" s="97"/>
      <c r="I94" s="97"/>
      <c r="J94" s="97"/>
      <c r="K94" s="97"/>
      <c r="L94" s="97"/>
      <c r="M94" s="97"/>
      <c r="N94" s="97"/>
      <c r="O94" s="97"/>
      <c r="P94" s="97"/>
      <c r="Q94" s="97"/>
      <c r="R94" s="25"/>
      <c r="S94" s="97"/>
      <c r="T94" s="97"/>
      <c r="U94" s="97"/>
      <c r="V94" s="25"/>
      <c r="W94" s="25"/>
    </row>
    <row r="95" spans="1:23" x14ac:dyDescent="0.25">
      <c r="A95" s="703"/>
      <c r="B95" s="4"/>
      <c r="C95" s="97"/>
      <c r="D95" s="97"/>
      <c r="E95" s="97"/>
      <c r="F95" s="97"/>
      <c r="G95" s="97"/>
      <c r="H95" s="97"/>
      <c r="I95" s="97"/>
      <c r="J95" s="97"/>
      <c r="K95" s="97"/>
      <c r="L95" s="97"/>
      <c r="M95" s="97"/>
      <c r="N95" s="97"/>
      <c r="O95" s="97"/>
      <c r="P95" s="97"/>
      <c r="Q95" s="97"/>
      <c r="R95" s="25"/>
      <c r="S95" s="97"/>
      <c r="T95" s="97"/>
      <c r="U95" s="97"/>
      <c r="V95" s="25"/>
      <c r="W95" s="25"/>
    </row>
    <row r="96" spans="1:23" x14ac:dyDescent="0.25">
      <c r="A96" s="703"/>
      <c r="B96" s="4"/>
      <c r="C96" s="23"/>
      <c r="D96" s="23"/>
      <c r="E96" s="23"/>
      <c r="F96" s="23"/>
      <c r="G96" s="23"/>
      <c r="H96" s="23"/>
      <c r="I96" s="23"/>
      <c r="J96" s="23"/>
      <c r="K96" s="23"/>
      <c r="L96" s="23"/>
      <c r="M96" s="23"/>
      <c r="N96" s="23"/>
      <c r="O96" s="23"/>
      <c r="P96" s="23"/>
      <c r="Q96" s="23"/>
      <c r="R96" s="25"/>
      <c r="S96" s="23"/>
      <c r="T96" s="23"/>
      <c r="U96" s="23"/>
      <c r="V96" s="25"/>
      <c r="W96" s="25"/>
    </row>
    <row r="97" spans="1:23" x14ac:dyDescent="0.25">
      <c r="A97" s="703"/>
      <c r="B97" s="4"/>
      <c r="C97" s="23"/>
      <c r="D97" s="23"/>
      <c r="E97" s="23"/>
      <c r="F97" s="23"/>
      <c r="G97" s="23"/>
      <c r="H97" s="23"/>
      <c r="I97" s="23"/>
      <c r="J97" s="23"/>
      <c r="K97" s="23"/>
      <c r="L97" s="23"/>
      <c r="M97" s="23"/>
      <c r="N97" s="23"/>
      <c r="O97" s="23"/>
      <c r="P97" s="23"/>
      <c r="Q97" s="23"/>
      <c r="R97" s="25"/>
      <c r="S97" s="23"/>
      <c r="T97" s="23"/>
      <c r="U97" s="23"/>
      <c r="V97" s="25"/>
      <c r="W97" s="25"/>
    </row>
    <row r="98" spans="1:23" x14ac:dyDescent="0.25">
      <c r="A98" s="703"/>
      <c r="B98" s="4"/>
      <c r="C98" s="23"/>
      <c r="D98" s="23"/>
      <c r="E98" s="23"/>
      <c r="F98" s="23"/>
      <c r="G98" s="23"/>
      <c r="H98" s="23"/>
      <c r="I98" s="23"/>
      <c r="J98" s="23"/>
      <c r="K98" s="23"/>
      <c r="L98" s="23"/>
      <c r="M98" s="23"/>
      <c r="N98" s="23"/>
      <c r="O98" s="23"/>
      <c r="P98" s="23"/>
      <c r="Q98" s="23"/>
      <c r="R98" s="25"/>
      <c r="S98" s="23"/>
      <c r="T98" s="23"/>
      <c r="U98" s="23"/>
      <c r="V98" s="25"/>
      <c r="W98" s="25"/>
    </row>
    <row r="99" spans="1:23" x14ac:dyDescent="0.25">
      <c r="A99" s="703"/>
      <c r="B99" s="4"/>
      <c r="C99" s="23"/>
      <c r="D99" s="23"/>
      <c r="E99" s="23"/>
      <c r="F99" s="23"/>
      <c r="G99" s="23"/>
      <c r="H99" s="23"/>
      <c r="I99" s="23"/>
      <c r="J99" s="23"/>
      <c r="K99" s="23"/>
      <c r="L99" s="23"/>
      <c r="M99" s="23"/>
      <c r="N99" s="23"/>
      <c r="O99" s="23"/>
      <c r="P99" s="23"/>
      <c r="Q99" s="23"/>
      <c r="R99" s="25"/>
      <c r="S99" s="23"/>
      <c r="T99" s="23"/>
      <c r="U99" s="23"/>
      <c r="V99" s="25"/>
      <c r="W99" s="25"/>
    </row>
    <row r="100" spans="1:23" x14ac:dyDescent="0.25">
      <c r="A100" s="703"/>
      <c r="B100" s="4"/>
      <c r="C100" s="23"/>
      <c r="D100" s="23"/>
      <c r="E100" s="23"/>
      <c r="F100" s="23"/>
      <c r="G100" s="23"/>
      <c r="H100" s="23"/>
      <c r="I100" s="23"/>
      <c r="J100" s="23"/>
      <c r="K100" s="23"/>
      <c r="L100" s="23"/>
      <c r="M100" s="23"/>
      <c r="N100" s="23"/>
      <c r="O100" s="23"/>
      <c r="P100" s="23"/>
      <c r="Q100" s="23"/>
      <c r="R100" s="25"/>
      <c r="S100" s="23"/>
      <c r="T100" s="23"/>
      <c r="U100" s="23"/>
      <c r="V100" s="25"/>
      <c r="W100" s="25"/>
    </row>
    <row r="101" spans="1:23" x14ac:dyDescent="0.25">
      <c r="A101" s="703"/>
      <c r="B101" s="4"/>
      <c r="C101" s="23"/>
      <c r="D101" s="23"/>
      <c r="E101" s="23"/>
      <c r="F101" s="23"/>
      <c r="G101" s="23"/>
      <c r="H101" s="23"/>
      <c r="I101" s="23"/>
      <c r="J101" s="23"/>
      <c r="K101" s="23"/>
      <c r="L101" s="23"/>
      <c r="M101" s="23"/>
      <c r="N101" s="23"/>
      <c r="O101" s="23"/>
      <c r="P101" s="23"/>
      <c r="Q101" s="23"/>
      <c r="R101" s="25"/>
      <c r="S101" s="23"/>
      <c r="T101" s="23"/>
      <c r="U101" s="23"/>
      <c r="V101" s="25"/>
      <c r="W101" s="25"/>
    </row>
    <row r="102" spans="1:23" x14ac:dyDescent="0.25">
      <c r="A102" s="703"/>
      <c r="B102" s="4"/>
      <c r="C102" s="23"/>
      <c r="D102" s="23"/>
      <c r="E102" s="23"/>
      <c r="F102" s="23"/>
      <c r="G102" s="23"/>
      <c r="H102" s="23"/>
      <c r="I102" s="23"/>
      <c r="J102" s="23"/>
      <c r="K102" s="23"/>
      <c r="L102" s="23"/>
      <c r="M102" s="23"/>
      <c r="N102" s="23"/>
      <c r="O102" s="23"/>
      <c r="P102" s="23"/>
      <c r="Q102" s="23"/>
      <c r="R102" s="25"/>
      <c r="S102" s="23"/>
      <c r="T102" s="23"/>
      <c r="U102" s="23"/>
      <c r="V102" s="25"/>
      <c r="W102" s="25"/>
    </row>
    <row r="103" spans="1:23" x14ac:dyDescent="0.25">
      <c r="A103" s="703"/>
      <c r="B103" s="4"/>
      <c r="C103" s="23"/>
      <c r="D103" s="23"/>
      <c r="E103" s="23"/>
      <c r="F103" s="23"/>
      <c r="G103" s="23"/>
      <c r="H103" s="23"/>
      <c r="I103" s="23"/>
      <c r="J103" s="23"/>
      <c r="K103" s="23"/>
      <c r="L103" s="23"/>
      <c r="M103" s="23"/>
      <c r="N103" s="23"/>
      <c r="O103" s="23"/>
      <c r="P103" s="23"/>
      <c r="Q103" s="23"/>
      <c r="R103" s="25"/>
      <c r="S103" s="23"/>
      <c r="T103" s="23"/>
      <c r="U103" s="23"/>
      <c r="V103" s="25"/>
      <c r="W103" s="25"/>
    </row>
    <row r="104" spans="1:23" x14ac:dyDescent="0.25">
      <c r="A104" s="703"/>
      <c r="B104" s="4"/>
      <c r="C104" s="23"/>
      <c r="D104" s="23"/>
      <c r="E104" s="23"/>
      <c r="F104" s="23"/>
      <c r="G104" s="23"/>
      <c r="H104" s="23"/>
      <c r="I104" s="23"/>
      <c r="J104" s="23"/>
      <c r="K104" s="23"/>
      <c r="L104" s="23"/>
      <c r="M104" s="23"/>
      <c r="N104" s="23"/>
      <c r="O104" s="23"/>
      <c r="P104" s="23"/>
      <c r="Q104" s="23"/>
      <c r="R104" s="25"/>
      <c r="S104" s="23"/>
      <c r="T104" s="23"/>
      <c r="U104" s="23"/>
      <c r="V104" s="25"/>
      <c r="W104" s="25"/>
    </row>
    <row r="105" spans="1:23" x14ac:dyDescent="0.25">
      <c r="A105" s="703"/>
      <c r="B105" s="4"/>
      <c r="C105" s="23"/>
      <c r="D105" s="23"/>
      <c r="E105" s="23"/>
      <c r="F105" s="23"/>
      <c r="G105" s="23"/>
      <c r="H105" s="23"/>
      <c r="I105" s="23"/>
      <c r="J105" s="23"/>
      <c r="K105" s="23"/>
      <c r="L105" s="23"/>
      <c r="M105" s="23"/>
      <c r="N105" s="23"/>
      <c r="O105" s="23"/>
      <c r="P105" s="23"/>
      <c r="Q105" s="23"/>
      <c r="R105" s="25"/>
      <c r="S105" s="23"/>
      <c r="T105" s="23"/>
      <c r="U105" s="23"/>
      <c r="V105" s="25"/>
      <c r="W105" s="25"/>
    </row>
    <row r="106" spans="1:23" x14ac:dyDescent="0.25">
      <c r="A106" s="703"/>
      <c r="B106" s="4"/>
      <c r="C106" s="23"/>
      <c r="D106" s="23"/>
      <c r="E106" s="23"/>
      <c r="F106" s="23"/>
      <c r="G106" s="23"/>
      <c r="H106" s="23"/>
      <c r="I106" s="23"/>
      <c r="J106" s="23"/>
      <c r="K106" s="23"/>
      <c r="L106" s="23"/>
      <c r="M106" s="23"/>
      <c r="N106" s="23"/>
      <c r="O106" s="23"/>
      <c r="P106" s="23"/>
      <c r="Q106" s="23"/>
      <c r="R106" s="25"/>
      <c r="S106" s="23"/>
      <c r="T106" s="23"/>
      <c r="U106" s="23"/>
      <c r="V106" s="25"/>
      <c r="W106" s="25"/>
    </row>
    <row r="107" spans="1:23" x14ac:dyDescent="0.25">
      <c r="A107" s="703"/>
      <c r="B107" s="4"/>
      <c r="C107" s="23"/>
      <c r="D107" s="23"/>
      <c r="E107" s="23"/>
      <c r="F107" s="23"/>
      <c r="G107" s="23"/>
      <c r="H107" s="23"/>
      <c r="I107" s="23"/>
      <c r="J107" s="23"/>
      <c r="K107" s="23"/>
      <c r="L107" s="23"/>
      <c r="M107" s="23"/>
      <c r="N107" s="23"/>
      <c r="O107" s="23"/>
      <c r="P107" s="23"/>
      <c r="Q107" s="23"/>
      <c r="R107" s="25"/>
      <c r="S107" s="23"/>
      <c r="T107" s="23"/>
      <c r="U107" s="23"/>
      <c r="V107" s="25"/>
      <c r="W107" s="25"/>
    </row>
    <row r="108" spans="1:23" x14ac:dyDescent="0.25">
      <c r="A108" s="703"/>
      <c r="B108" s="4"/>
      <c r="C108" s="23"/>
      <c r="D108" s="23"/>
      <c r="E108" s="23"/>
      <c r="F108" s="23"/>
      <c r="G108" s="23"/>
      <c r="H108" s="23"/>
      <c r="I108" s="23"/>
      <c r="J108" s="23"/>
      <c r="K108" s="23"/>
      <c r="L108" s="23"/>
      <c r="M108" s="23"/>
      <c r="N108" s="23"/>
      <c r="O108" s="23"/>
      <c r="P108" s="23"/>
      <c r="Q108" s="23"/>
      <c r="R108" s="25"/>
      <c r="S108" s="23"/>
      <c r="T108" s="23"/>
      <c r="U108" s="23"/>
      <c r="V108" s="25"/>
      <c r="W108" s="25"/>
    </row>
    <row r="109" spans="1:23" x14ac:dyDescent="0.25">
      <c r="A109" s="703"/>
      <c r="B109" s="4"/>
      <c r="C109" s="23"/>
      <c r="D109" s="23"/>
      <c r="E109" s="23"/>
      <c r="F109" s="23"/>
      <c r="G109" s="23"/>
      <c r="H109" s="23"/>
      <c r="I109" s="23"/>
      <c r="J109" s="23"/>
      <c r="K109" s="23"/>
      <c r="L109" s="23"/>
      <c r="M109" s="23"/>
      <c r="N109" s="23"/>
      <c r="O109" s="23"/>
      <c r="P109" s="23"/>
      <c r="Q109" s="23"/>
      <c r="R109" s="25"/>
      <c r="S109" s="23"/>
      <c r="T109" s="23"/>
      <c r="U109" s="23"/>
      <c r="V109" s="25"/>
      <c r="W109" s="25"/>
    </row>
    <row r="110" spans="1:23" x14ac:dyDescent="0.25">
      <c r="A110" s="703"/>
      <c r="B110" s="4"/>
      <c r="C110" s="23"/>
      <c r="D110" s="23"/>
      <c r="E110" s="23"/>
      <c r="F110" s="23"/>
      <c r="G110" s="23"/>
      <c r="H110" s="23"/>
      <c r="I110" s="23"/>
      <c r="J110" s="23"/>
      <c r="K110" s="23"/>
      <c r="L110" s="23"/>
      <c r="M110" s="23"/>
      <c r="N110" s="23"/>
      <c r="O110" s="23"/>
      <c r="P110" s="23"/>
      <c r="Q110" s="23"/>
      <c r="R110" s="25"/>
      <c r="S110" s="23"/>
      <c r="T110" s="23"/>
      <c r="U110" s="23"/>
      <c r="V110" s="25"/>
      <c r="W110" s="25"/>
    </row>
    <row r="111" spans="1:23" x14ac:dyDescent="0.25">
      <c r="A111" s="703"/>
      <c r="B111" s="4"/>
      <c r="C111" s="23"/>
      <c r="D111" s="23"/>
      <c r="E111" s="23"/>
      <c r="F111" s="23"/>
      <c r="G111" s="23"/>
      <c r="H111" s="23"/>
      <c r="I111" s="23"/>
      <c r="J111" s="23"/>
      <c r="K111" s="23"/>
      <c r="L111" s="23"/>
      <c r="M111" s="23"/>
      <c r="N111" s="23"/>
      <c r="O111" s="23"/>
      <c r="P111" s="23"/>
      <c r="Q111" s="23"/>
      <c r="R111" s="25"/>
      <c r="S111" s="23"/>
      <c r="T111" s="23"/>
      <c r="U111" s="23"/>
      <c r="V111" s="25"/>
      <c r="W111" s="25"/>
    </row>
    <row r="112" spans="1:23" x14ac:dyDescent="0.25">
      <c r="A112" s="703"/>
      <c r="B112" s="4"/>
      <c r="C112" s="23"/>
      <c r="D112" s="23"/>
      <c r="E112" s="23"/>
      <c r="F112" s="23"/>
      <c r="G112" s="23"/>
      <c r="H112" s="23"/>
      <c r="I112" s="23"/>
      <c r="J112" s="23"/>
      <c r="K112" s="23"/>
      <c r="L112" s="23"/>
      <c r="M112" s="23"/>
      <c r="N112" s="23"/>
      <c r="O112" s="23"/>
      <c r="P112" s="23"/>
      <c r="Q112" s="23"/>
      <c r="R112" s="25"/>
      <c r="S112" s="23"/>
      <c r="T112" s="23"/>
      <c r="U112" s="23"/>
      <c r="V112" s="25"/>
      <c r="W112" s="25"/>
    </row>
    <row r="113" spans="1:23" x14ac:dyDescent="0.25">
      <c r="A113" s="703"/>
      <c r="B113" s="4"/>
      <c r="C113" s="23"/>
      <c r="D113" s="23"/>
      <c r="E113" s="23"/>
      <c r="F113" s="23"/>
      <c r="G113" s="23"/>
      <c r="H113" s="23"/>
      <c r="I113" s="23"/>
      <c r="J113" s="23"/>
      <c r="K113" s="23"/>
      <c r="L113" s="23"/>
      <c r="M113" s="23"/>
      <c r="N113" s="23"/>
      <c r="O113" s="23"/>
      <c r="P113" s="23"/>
      <c r="Q113" s="23"/>
      <c r="R113" s="25"/>
      <c r="S113" s="23"/>
      <c r="T113" s="23"/>
      <c r="U113" s="23"/>
      <c r="V113" s="25"/>
      <c r="W113" s="25"/>
    </row>
    <row r="114" spans="1:23" x14ac:dyDescent="0.25">
      <c r="A114" s="703"/>
      <c r="B114" s="4"/>
      <c r="C114" s="23"/>
      <c r="D114" s="23"/>
      <c r="E114" s="23"/>
      <c r="F114" s="23"/>
      <c r="G114" s="23"/>
      <c r="H114" s="23"/>
      <c r="I114" s="23"/>
      <c r="J114" s="23"/>
      <c r="K114" s="23"/>
      <c r="L114" s="23"/>
      <c r="M114" s="23"/>
      <c r="N114" s="23"/>
      <c r="O114" s="23"/>
      <c r="P114" s="23"/>
      <c r="Q114" s="23"/>
      <c r="R114" s="25"/>
      <c r="S114" s="23"/>
      <c r="T114" s="23"/>
      <c r="U114" s="23"/>
      <c r="V114" s="25"/>
      <c r="W114" s="25"/>
    </row>
    <row r="115" spans="1:23" x14ac:dyDescent="0.25">
      <c r="A115" s="703"/>
      <c r="B115" s="4"/>
      <c r="C115" s="23"/>
      <c r="D115" s="23"/>
      <c r="E115" s="23"/>
      <c r="F115" s="23"/>
      <c r="G115" s="23"/>
      <c r="H115" s="23"/>
      <c r="I115" s="23"/>
      <c r="J115" s="23"/>
      <c r="K115" s="23"/>
      <c r="L115" s="23"/>
      <c r="M115" s="23"/>
      <c r="N115" s="23"/>
      <c r="O115" s="23"/>
      <c r="P115" s="23"/>
      <c r="Q115" s="23"/>
      <c r="R115" s="25"/>
      <c r="S115" s="23"/>
      <c r="T115" s="23"/>
      <c r="U115" s="23"/>
      <c r="V115" s="25"/>
      <c r="W115" s="25"/>
    </row>
    <row r="116" spans="1:23" x14ac:dyDescent="0.25">
      <c r="A116" s="703"/>
      <c r="B116" s="4"/>
      <c r="C116" s="23"/>
      <c r="D116" s="23"/>
      <c r="E116" s="23"/>
      <c r="F116" s="23"/>
      <c r="G116" s="23"/>
      <c r="H116" s="23"/>
      <c r="I116" s="23"/>
      <c r="J116" s="23"/>
      <c r="K116" s="23"/>
      <c r="L116" s="23"/>
      <c r="M116" s="23"/>
      <c r="N116" s="23"/>
      <c r="O116" s="23"/>
      <c r="P116" s="23"/>
      <c r="Q116" s="23"/>
      <c r="R116" s="25"/>
      <c r="S116" s="23"/>
      <c r="T116" s="23"/>
      <c r="U116" s="23"/>
      <c r="V116" s="25"/>
      <c r="W116" s="25"/>
    </row>
    <row r="117" spans="1:23" x14ac:dyDescent="0.25">
      <c r="A117" s="703"/>
      <c r="B117" s="4"/>
      <c r="C117" s="23"/>
      <c r="D117" s="23"/>
      <c r="E117" s="23"/>
      <c r="F117" s="23"/>
      <c r="G117" s="23"/>
      <c r="H117" s="23"/>
      <c r="I117" s="23"/>
      <c r="J117" s="23"/>
      <c r="K117" s="23"/>
      <c r="L117" s="23"/>
      <c r="M117" s="23"/>
      <c r="N117" s="23"/>
      <c r="O117" s="23"/>
      <c r="P117" s="23"/>
      <c r="Q117" s="23"/>
      <c r="R117" s="25"/>
      <c r="S117" s="23"/>
      <c r="T117" s="23"/>
      <c r="U117" s="23"/>
      <c r="V117" s="25"/>
      <c r="W117" s="25"/>
    </row>
    <row r="118" spans="1:23"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row>
    <row r="119" spans="1:23"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row>
    <row r="120" spans="1:23"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row>
    <row r="121" spans="1:23"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row>
    <row r="122" spans="1:23"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row>
    <row r="123" spans="1:23"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c r="W123" s="4"/>
    </row>
    <row r="124" spans="1:23" x14ac:dyDescent="0.25">
      <c r="A124" s="703"/>
      <c r="B124" s="4"/>
      <c r="C124" s="23"/>
      <c r="D124" s="23"/>
      <c r="E124" s="23"/>
      <c r="F124" s="23"/>
      <c r="G124" s="23"/>
      <c r="H124" s="23"/>
      <c r="I124" s="23"/>
      <c r="J124" s="23"/>
      <c r="K124" s="23"/>
      <c r="L124" s="23"/>
      <c r="M124" s="23"/>
      <c r="N124" s="23"/>
      <c r="O124" s="23"/>
      <c r="P124" s="23"/>
      <c r="Q124" s="23"/>
      <c r="R124" s="4"/>
      <c r="S124" s="23"/>
      <c r="T124" s="23"/>
      <c r="U124" s="23"/>
      <c r="V124" s="4"/>
      <c r="W124" s="4"/>
    </row>
    <row r="125" spans="1:23" x14ac:dyDescent="0.25">
      <c r="A125" s="703"/>
      <c r="B125" s="4"/>
      <c r="C125" s="23"/>
      <c r="D125" s="23"/>
      <c r="E125" s="23"/>
      <c r="F125" s="23"/>
      <c r="G125" s="23"/>
      <c r="H125" s="23"/>
      <c r="I125" s="23"/>
      <c r="J125" s="23"/>
      <c r="K125" s="23"/>
      <c r="L125" s="23"/>
      <c r="M125" s="23"/>
      <c r="N125" s="23"/>
      <c r="O125" s="23"/>
      <c r="P125" s="23"/>
      <c r="Q125" s="23"/>
      <c r="R125" s="4"/>
      <c r="S125" s="23"/>
      <c r="T125" s="23"/>
      <c r="U125" s="23"/>
      <c r="V125" s="4"/>
      <c r="W125" s="4"/>
    </row>
    <row r="126" spans="1:23" x14ac:dyDescent="0.25">
      <c r="A126" s="703"/>
      <c r="B126" s="4"/>
      <c r="C126" s="23"/>
      <c r="D126" s="23"/>
      <c r="E126" s="23"/>
      <c r="F126" s="23"/>
      <c r="G126" s="23"/>
      <c r="H126" s="23"/>
      <c r="I126" s="23"/>
      <c r="J126" s="23"/>
      <c r="K126" s="23"/>
      <c r="L126" s="23"/>
      <c r="M126" s="23"/>
      <c r="N126" s="23"/>
      <c r="O126" s="23"/>
      <c r="P126" s="23"/>
      <c r="Q126" s="23"/>
      <c r="R126" s="4"/>
      <c r="S126" s="23"/>
      <c r="T126" s="23"/>
      <c r="U126" s="23"/>
      <c r="V126" s="4"/>
      <c r="W126" s="4"/>
    </row>
    <row r="127" spans="1:23" x14ac:dyDescent="0.25">
      <c r="A127" s="703"/>
      <c r="B127" s="4"/>
      <c r="C127" s="23"/>
      <c r="D127" s="23"/>
      <c r="E127" s="23"/>
      <c r="F127" s="23"/>
      <c r="G127" s="23"/>
      <c r="H127" s="23"/>
      <c r="I127" s="23"/>
      <c r="J127" s="23"/>
      <c r="K127" s="23"/>
      <c r="L127" s="23"/>
      <c r="M127" s="23"/>
      <c r="N127" s="23"/>
      <c r="O127" s="23"/>
      <c r="P127" s="23"/>
      <c r="Q127" s="23"/>
      <c r="R127" s="4"/>
      <c r="S127" s="23"/>
      <c r="T127" s="23"/>
      <c r="U127" s="23"/>
      <c r="V127" s="4"/>
      <c r="W127" s="4"/>
    </row>
    <row r="128" spans="1:23" x14ac:dyDescent="0.25">
      <c r="A128" s="703"/>
      <c r="B128" s="4"/>
      <c r="C128" s="23"/>
      <c r="D128" s="23"/>
      <c r="E128" s="23"/>
      <c r="F128" s="23"/>
      <c r="G128" s="23"/>
      <c r="H128" s="23"/>
      <c r="I128" s="23"/>
      <c r="J128" s="23"/>
      <c r="K128" s="23"/>
      <c r="L128" s="23"/>
      <c r="M128" s="23"/>
      <c r="N128" s="23"/>
      <c r="O128" s="23"/>
      <c r="P128" s="23"/>
      <c r="Q128" s="23"/>
      <c r="R128" s="4"/>
      <c r="S128" s="23"/>
      <c r="T128" s="23"/>
      <c r="U128" s="23"/>
      <c r="V128" s="4"/>
      <c r="W128" s="4"/>
    </row>
    <row r="129" spans="1:23" x14ac:dyDescent="0.25">
      <c r="A129" s="703"/>
      <c r="B129" s="4"/>
      <c r="C129" s="23"/>
      <c r="D129" s="23"/>
      <c r="E129" s="23"/>
      <c r="F129" s="23"/>
      <c r="G129" s="23"/>
      <c r="H129" s="23"/>
      <c r="I129" s="23"/>
      <c r="J129" s="23"/>
      <c r="K129" s="23"/>
      <c r="L129" s="23"/>
      <c r="M129" s="23"/>
      <c r="N129" s="23"/>
      <c r="O129" s="23"/>
      <c r="P129" s="23"/>
      <c r="Q129" s="23"/>
      <c r="R129" s="4"/>
      <c r="S129" s="23"/>
      <c r="T129" s="23"/>
      <c r="U129" s="23"/>
      <c r="V129" s="4"/>
      <c r="W129" s="4"/>
    </row>
    <row r="130" spans="1:23" x14ac:dyDescent="0.25">
      <c r="A130" s="703"/>
      <c r="B130" s="4"/>
      <c r="C130" s="23"/>
      <c r="D130" s="23"/>
      <c r="E130" s="23"/>
      <c r="F130" s="23"/>
      <c r="G130" s="23"/>
      <c r="H130" s="23"/>
      <c r="I130" s="23"/>
      <c r="J130" s="23"/>
      <c r="K130" s="23"/>
      <c r="L130" s="23"/>
      <c r="M130" s="23"/>
      <c r="N130" s="23"/>
      <c r="O130" s="23"/>
      <c r="P130" s="23"/>
      <c r="Q130" s="23"/>
      <c r="R130" s="4"/>
      <c r="S130" s="23"/>
      <c r="T130" s="23"/>
      <c r="U130" s="23"/>
      <c r="V130" s="4"/>
      <c r="W130" s="4"/>
    </row>
    <row r="131" spans="1:23" x14ac:dyDescent="0.25">
      <c r="A131" s="703"/>
      <c r="B131" s="4"/>
      <c r="C131" s="23"/>
      <c r="D131" s="23"/>
      <c r="E131" s="23"/>
      <c r="F131" s="23"/>
      <c r="G131" s="23"/>
      <c r="H131" s="23"/>
      <c r="I131" s="23"/>
      <c r="J131" s="23"/>
      <c r="K131" s="23"/>
      <c r="L131" s="23"/>
      <c r="M131" s="23"/>
      <c r="N131" s="23"/>
      <c r="O131" s="23"/>
      <c r="P131" s="23"/>
      <c r="Q131" s="23"/>
      <c r="R131" s="4"/>
      <c r="S131" s="23"/>
      <c r="T131" s="23"/>
      <c r="U131" s="23"/>
      <c r="V131" s="4"/>
      <c r="W131" s="4"/>
    </row>
    <row r="132" spans="1:23" x14ac:dyDescent="0.25">
      <c r="A132" s="703"/>
      <c r="B132" s="4"/>
      <c r="C132" s="23"/>
      <c r="D132" s="23"/>
      <c r="E132" s="23"/>
      <c r="F132" s="23"/>
      <c r="G132" s="23"/>
      <c r="H132" s="23"/>
      <c r="I132" s="23"/>
      <c r="J132" s="23"/>
      <c r="K132" s="23"/>
      <c r="L132" s="23"/>
      <c r="M132" s="23"/>
      <c r="N132" s="23"/>
      <c r="O132" s="23"/>
      <c r="P132" s="23"/>
      <c r="Q132" s="23"/>
      <c r="R132" s="4"/>
      <c r="S132" s="23"/>
      <c r="T132" s="23"/>
      <c r="U132" s="23"/>
      <c r="V132" s="4"/>
      <c r="W132" s="4"/>
    </row>
    <row r="133" spans="1:23" x14ac:dyDescent="0.25">
      <c r="A133" s="703"/>
      <c r="B133" s="4"/>
      <c r="C133" s="23"/>
      <c r="D133" s="23"/>
      <c r="E133" s="23"/>
      <c r="F133" s="23"/>
      <c r="G133" s="23"/>
      <c r="H133" s="23"/>
      <c r="I133" s="23"/>
      <c r="J133" s="23"/>
      <c r="K133" s="23"/>
      <c r="L133" s="23"/>
      <c r="M133" s="23"/>
      <c r="N133" s="23"/>
      <c r="O133" s="23"/>
      <c r="P133" s="23"/>
      <c r="Q133" s="23"/>
      <c r="R133" s="4"/>
      <c r="S133" s="23"/>
      <c r="T133" s="23"/>
      <c r="U133" s="23"/>
      <c r="V133" s="4"/>
      <c r="W133" s="4"/>
    </row>
    <row r="134" spans="1:23" x14ac:dyDescent="0.25">
      <c r="A134" s="703"/>
      <c r="B134" s="4"/>
      <c r="C134" s="23"/>
      <c r="D134" s="23"/>
      <c r="E134" s="23"/>
      <c r="F134" s="23"/>
      <c r="G134" s="23"/>
      <c r="H134" s="23"/>
      <c r="I134" s="23"/>
      <c r="J134" s="23"/>
      <c r="K134" s="23"/>
      <c r="L134" s="23"/>
      <c r="M134" s="23"/>
      <c r="N134" s="23"/>
      <c r="O134" s="23"/>
      <c r="P134" s="23"/>
      <c r="Q134" s="23"/>
      <c r="R134" s="4"/>
      <c r="S134" s="23"/>
      <c r="T134" s="23"/>
      <c r="U134" s="23"/>
      <c r="V134" s="4"/>
      <c r="W134" s="4"/>
    </row>
    <row r="135" spans="1:23" x14ac:dyDescent="0.25">
      <c r="A135" s="703"/>
      <c r="B135" s="4"/>
      <c r="C135" s="23"/>
      <c r="D135" s="23"/>
      <c r="E135" s="23"/>
      <c r="F135" s="23"/>
      <c r="G135" s="23"/>
      <c r="H135" s="23"/>
      <c r="I135" s="23"/>
      <c r="J135" s="23"/>
      <c r="K135" s="23"/>
      <c r="L135" s="23"/>
      <c r="M135" s="23"/>
      <c r="N135" s="23"/>
      <c r="O135" s="23"/>
      <c r="P135" s="23"/>
      <c r="Q135" s="23"/>
      <c r="R135" s="4"/>
      <c r="S135" s="23"/>
      <c r="T135" s="23"/>
      <c r="U135" s="23"/>
      <c r="V135" s="4"/>
      <c r="W135" s="4"/>
    </row>
    <row r="136" spans="1:23" x14ac:dyDescent="0.25">
      <c r="A136" s="703"/>
      <c r="B136" s="4"/>
      <c r="C136" s="23"/>
      <c r="D136" s="23"/>
      <c r="E136" s="23"/>
      <c r="F136" s="23"/>
      <c r="G136" s="23"/>
      <c r="H136" s="23"/>
      <c r="I136" s="23"/>
      <c r="J136" s="23"/>
      <c r="K136" s="23"/>
      <c r="L136" s="23"/>
      <c r="M136" s="23"/>
      <c r="N136" s="23"/>
      <c r="O136" s="23"/>
      <c r="P136" s="23"/>
      <c r="Q136" s="23"/>
      <c r="R136" s="4"/>
      <c r="S136" s="23"/>
      <c r="T136" s="23"/>
      <c r="U136" s="23"/>
      <c r="V136" s="4"/>
      <c r="W136" s="4"/>
    </row>
    <row r="137" spans="1:23" x14ac:dyDescent="0.25">
      <c r="A137" s="703"/>
      <c r="B137" s="4"/>
      <c r="C137" s="23"/>
      <c r="D137" s="23"/>
      <c r="E137" s="23"/>
      <c r="F137" s="23"/>
      <c r="G137" s="23"/>
      <c r="H137" s="23"/>
      <c r="I137" s="23"/>
      <c r="J137" s="23"/>
      <c r="K137" s="23"/>
      <c r="L137" s="23"/>
      <c r="M137" s="23"/>
      <c r="N137" s="23"/>
      <c r="O137" s="23"/>
      <c r="P137" s="23"/>
      <c r="Q137" s="23"/>
      <c r="R137" s="4"/>
      <c r="S137" s="23"/>
      <c r="T137" s="23"/>
      <c r="U137" s="23"/>
      <c r="V137" s="4"/>
      <c r="W137" s="4"/>
    </row>
    <row r="138" spans="1:23" x14ac:dyDescent="0.25">
      <c r="A138" s="703"/>
      <c r="B138" s="4"/>
      <c r="C138" s="23"/>
      <c r="D138" s="23"/>
      <c r="E138" s="23"/>
      <c r="F138" s="23"/>
      <c r="G138" s="23"/>
      <c r="H138" s="23"/>
      <c r="I138" s="23"/>
      <c r="J138" s="23"/>
      <c r="K138" s="23"/>
      <c r="L138" s="23"/>
      <c r="M138" s="23"/>
      <c r="N138" s="23"/>
      <c r="O138" s="23"/>
      <c r="P138" s="23"/>
      <c r="Q138" s="23"/>
      <c r="R138" s="4"/>
      <c r="S138" s="23"/>
      <c r="T138" s="23"/>
      <c r="U138" s="23"/>
      <c r="V138" s="4"/>
      <c r="W138" s="4"/>
    </row>
    <row r="139" spans="1:23" x14ac:dyDescent="0.25">
      <c r="A139" s="703"/>
      <c r="B139" s="4"/>
      <c r="C139" s="23"/>
      <c r="D139" s="23"/>
      <c r="E139" s="23"/>
      <c r="F139" s="23"/>
      <c r="G139" s="23"/>
      <c r="H139" s="23"/>
      <c r="I139" s="23"/>
      <c r="J139" s="23"/>
      <c r="K139" s="23"/>
      <c r="L139" s="23"/>
      <c r="M139" s="23"/>
      <c r="N139" s="23"/>
      <c r="O139" s="23"/>
      <c r="P139" s="23"/>
      <c r="Q139" s="23"/>
      <c r="R139" s="4"/>
      <c r="S139" s="23"/>
      <c r="T139" s="23"/>
      <c r="U139" s="23"/>
      <c r="V139" s="4"/>
      <c r="W139" s="4"/>
    </row>
    <row r="140" spans="1:23" x14ac:dyDescent="0.25">
      <c r="A140" s="703"/>
      <c r="B140" s="4"/>
      <c r="C140" s="23"/>
      <c r="D140" s="23"/>
      <c r="E140" s="23"/>
      <c r="F140" s="23"/>
      <c r="G140" s="23"/>
      <c r="H140" s="23"/>
      <c r="I140" s="23"/>
      <c r="J140" s="23"/>
      <c r="K140" s="23"/>
      <c r="L140" s="23"/>
      <c r="M140" s="23"/>
      <c r="N140" s="23"/>
      <c r="O140" s="23"/>
      <c r="P140" s="23"/>
      <c r="Q140" s="23"/>
      <c r="R140" s="4"/>
      <c r="S140" s="23"/>
      <c r="T140" s="23"/>
      <c r="U140" s="23"/>
      <c r="V140" s="4"/>
      <c r="W140" s="4"/>
    </row>
    <row r="141" spans="1:23" x14ac:dyDescent="0.25">
      <c r="A141" s="703"/>
      <c r="B141" s="4"/>
      <c r="C141" s="23"/>
      <c r="D141" s="23"/>
      <c r="E141" s="23"/>
      <c r="F141" s="23"/>
      <c r="G141" s="23"/>
      <c r="H141" s="23"/>
      <c r="I141" s="23"/>
      <c r="J141" s="23"/>
      <c r="K141" s="23"/>
      <c r="L141" s="23"/>
      <c r="M141" s="23"/>
      <c r="N141" s="23"/>
      <c r="O141" s="23"/>
      <c r="P141" s="23"/>
      <c r="Q141" s="23"/>
      <c r="R141" s="4"/>
      <c r="S141" s="23"/>
      <c r="T141" s="23"/>
      <c r="U141" s="23"/>
      <c r="V141" s="4"/>
      <c r="W141" s="4"/>
    </row>
    <row r="142" spans="1:23" x14ac:dyDescent="0.25">
      <c r="A142" s="703"/>
      <c r="B142" s="4"/>
      <c r="C142" s="23"/>
      <c r="D142" s="23"/>
      <c r="E142" s="23"/>
      <c r="F142" s="23"/>
      <c r="G142" s="23"/>
      <c r="H142" s="23"/>
      <c r="I142" s="23"/>
      <c r="J142" s="23"/>
      <c r="K142" s="23"/>
      <c r="L142" s="23"/>
      <c r="M142" s="23"/>
      <c r="N142" s="23"/>
      <c r="O142" s="23"/>
      <c r="P142" s="23"/>
      <c r="Q142" s="23"/>
      <c r="R142" s="4"/>
      <c r="S142" s="23"/>
      <c r="T142" s="23"/>
      <c r="U142" s="23"/>
      <c r="V142" s="4"/>
      <c r="W142" s="4"/>
    </row>
    <row r="143" spans="1:23" x14ac:dyDescent="0.25">
      <c r="A143" s="703"/>
      <c r="B143" s="4"/>
      <c r="C143" s="23"/>
      <c r="D143" s="23"/>
      <c r="E143" s="23"/>
      <c r="F143" s="23"/>
      <c r="G143" s="23"/>
      <c r="H143" s="23"/>
      <c r="I143" s="23"/>
      <c r="J143" s="23"/>
      <c r="K143" s="23"/>
      <c r="L143" s="23"/>
      <c r="M143" s="23"/>
      <c r="N143" s="23"/>
      <c r="O143" s="23"/>
      <c r="P143" s="23"/>
      <c r="Q143" s="23"/>
      <c r="R143" s="4"/>
      <c r="S143" s="23"/>
      <c r="T143" s="23"/>
      <c r="U143" s="23"/>
      <c r="V143" s="4"/>
      <c r="W143" s="4"/>
    </row>
    <row r="144" spans="1:23" x14ac:dyDescent="0.25">
      <c r="A144" s="703"/>
      <c r="B144" s="4"/>
      <c r="C144" s="23"/>
      <c r="D144" s="23"/>
      <c r="E144" s="23"/>
      <c r="F144" s="23"/>
      <c r="G144" s="23"/>
      <c r="H144" s="23"/>
      <c r="I144" s="23"/>
      <c r="J144" s="23"/>
      <c r="K144" s="23"/>
      <c r="L144" s="23"/>
      <c r="M144" s="23"/>
      <c r="N144" s="23"/>
      <c r="O144" s="23"/>
      <c r="P144" s="23"/>
      <c r="Q144" s="23"/>
      <c r="R144" s="4"/>
      <c r="S144" s="23"/>
      <c r="T144" s="23"/>
      <c r="U144" s="23"/>
      <c r="V144" s="4"/>
      <c r="W144" s="4"/>
    </row>
    <row r="145" spans="1:23" x14ac:dyDescent="0.25">
      <c r="A145" s="703"/>
      <c r="B145" s="4"/>
      <c r="C145" s="23"/>
      <c r="D145" s="23"/>
      <c r="E145" s="23"/>
      <c r="F145" s="23"/>
      <c r="G145" s="23"/>
      <c r="H145" s="23"/>
      <c r="I145" s="23"/>
      <c r="J145" s="23"/>
      <c r="K145" s="23"/>
      <c r="L145" s="23"/>
      <c r="M145" s="23"/>
      <c r="N145" s="23"/>
      <c r="O145" s="23"/>
      <c r="P145" s="23"/>
      <c r="Q145" s="23"/>
      <c r="R145" s="4"/>
      <c r="S145" s="23"/>
      <c r="T145" s="23"/>
      <c r="U145" s="23"/>
      <c r="V145" s="4"/>
      <c r="W145" s="4"/>
    </row>
    <row r="146" spans="1:23" x14ac:dyDescent="0.25">
      <c r="A146" s="703"/>
      <c r="B146" s="4"/>
      <c r="C146" s="23"/>
      <c r="D146" s="23"/>
      <c r="E146" s="23"/>
      <c r="F146" s="23"/>
      <c r="G146" s="23"/>
      <c r="H146" s="23"/>
      <c r="I146" s="23"/>
      <c r="J146" s="23"/>
      <c r="K146" s="23"/>
      <c r="L146" s="23"/>
      <c r="M146" s="23"/>
      <c r="N146" s="23"/>
      <c r="O146" s="23"/>
      <c r="P146" s="23"/>
      <c r="Q146" s="23"/>
      <c r="R146" s="4"/>
      <c r="S146" s="23"/>
      <c r="T146" s="23"/>
      <c r="U146" s="23"/>
      <c r="V146" s="4"/>
      <c r="W146" s="4"/>
    </row>
    <row r="147" spans="1:23" x14ac:dyDescent="0.25">
      <c r="A147" s="703"/>
      <c r="B147" s="4"/>
      <c r="C147" s="23"/>
      <c r="D147" s="23"/>
      <c r="E147" s="23"/>
      <c r="F147" s="23"/>
      <c r="G147" s="23"/>
      <c r="H147" s="23"/>
      <c r="I147" s="23"/>
      <c r="J147" s="23"/>
      <c r="K147" s="23"/>
      <c r="L147" s="23"/>
      <c r="M147" s="23"/>
      <c r="N147" s="23"/>
      <c r="O147" s="23"/>
      <c r="P147" s="23"/>
      <c r="Q147" s="23"/>
      <c r="R147" s="4"/>
      <c r="S147" s="23"/>
      <c r="T147" s="23"/>
      <c r="U147" s="23"/>
      <c r="V147" s="4"/>
      <c r="W147" s="4"/>
    </row>
    <row r="148" spans="1:23" x14ac:dyDescent="0.25">
      <c r="A148" s="703"/>
      <c r="B148" s="4"/>
      <c r="C148" s="23"/>
      <c r="D148" s="23"/>
      <c r="E148" s="23"/>
      <c r="F148" s="23"/>
      <c r="G148" s="23"/>
      <c r="H148" s="23"/>
      <c r="I148" s="23"/>
      <c r="J148" s="23"/>
      <c r="K148" s="23"/>
      <c r="L148" s="23"/>
      <c r="M148" s="23"/>
      <c r="N148" s="23"/>
      <c r="O148" s="23"/>
      <c r="P148" s="23"/>
      <c r="Q148" s="23"/>
      <c r="R148" s="4"/>
      <c r="S148" s="23"/>
      <c r="T148" s="23"/>
      <c r="U148" s="23"/>
      <c r="V148" s="4"/>
      <c r="W148" s="4"/>
    </row>
    <row r="149" spans="1:23" x14ac:dyDescent="0.25">
      <c r="A149" s="703"/>
      <c r="B149" s="4"/>
      <c r="C149" s="23"/>
      <c r="D149" s="23"/>
      <c r="E149" s="23"/>
      <c r="F149" s="23"/>
      <c r="G149" s="23"/>
      <c r="H149" s="23"/>
      <c r="I149" s="23"/>
      <c r="J149" s="23"/>
      <c r="K149" s="23"/>
      <c r="L149" s="23"/>
      <c r="M149" s="23"/>
      <c r="N149" s="23"/>
      <c r="O149" s="23"/>
      <c r="P149" s="23"/>
      <c r="Q149" s="23"/>
      <c r="R149" s="4"/>
      <c r="S149" s="23"/>
      <c r="T149" s="23"/>
      <c r="U149" s="23"/>
      <c r="V149" s="4"/>
      <c r="W149" s="4"/>
    </row>
    <row r="150" spans="1:23" x14ac:dyDescent="0.25">
      <c r="A150" s="703"/>
      <c r="B150" s="4"/>
      <c r="C150" s="23"/>
      <c r="D150" s="23"/>
      <c r="E150" s="23"/>
      <c r="F150" s="23"/>
      <c r="G150" s="23"/>
      <c r="H150" s="23"/>
      <c r="I150" s="23"/>
      <c r="J150" s="23"/>
      <c r="K150" s="23"/>
      <c r="L150" s="23"/>
      <c r="M150" s="23"/>
      <c r="N150" s="23"/>
      <c r="O150" s="23"/>
      <c r="P150" s="23"/>
      <c r="Q150" s="23"/>
      <c r="R150" s="4"/>
      <c r="S150" s="23"/>
      <c r="T150" s="23"/>
      <c r="U150" s="23"/>
      <c r="V150" s="4"/>
      <c r="W150" s="4"/>
    </row>
    <row r="151" spans="1:23" x14ac:dyDescent="0.25">
      <c r="A151" s="703"/>
      <c r="B151" s="4"/>
      <c r="C151" s="23"/>
      <c r="D151" s="23"/>
      <c r="E151" s="23"/>
      <c r="F151" s="23"/>
      <c r="G151" s="23"/>
      <c r="H151" s="23"/>
      <c r="I151" s="23"/>
      <c r="J151" s="23"/>
      <c r="K151" s="23"/>
      <c r="L151" s="23"/>
      <c r="M151" s="23"/>
      <c r="N151" s="23"/>
      <c r="O151" s="23"/>
      <c r="P151" s="23"/>
      <c r="Q151" s="23"/>
      <c r="R151" s="4"/>
      <c r="S151" s="23"/>
      <c r="T151" s="23"/>
      <c r="U151" s="23"/>
      <c r="V151" s="4"/>
      <c r="W151" s="4"/>
    </row>
    <row r="152" spans="1:23" x14ac:dyDescent="0.25">
      <c r="A152" s="703"/>
      <c r="B152" s="4"/>
      <c r="C152" s="23"/>
      <c r="D152" s="23"/>
      <c r="E152" s="23"/>
      <c r="F152" s="23"/>
      <c r="G152" s="23"/>
      <c r="H152" s="23"/>
      <c r="I152" s="23"/>
      <c r="J152" s="23"/>
      <c r="K152" s="23"/>
      <c r="L152" s="23"/>
      <c r="M152" s="23"/>
      <c r="N152" s="23"/>
      <c r="O152" s="23"/>
      <c r="P152" s="23"/>
      <c r="Q152" s="23"/>
      <c r="R152" s="4"/>
      <c r="S152" s="23"/>
      <c r="T152" s="23"/>
      <c r="U152" s="23"/>
      <c r="V152" s="4"/>
      <c r="W152" s="4"/>
    </row>
    <row r="153" spans="1:23" x14ac:dyDescent="0.25">
      <c r="A153" s="703"/>
      <c r="B153" s="4"/>
      <c r="C153" s="23"/>
      <c r="D153" s="23"/>
      <c r="E153" s="23"/>
      <c r="F153" s="23"/>
      <c r="G153" s="23"/>
      <c r="H153" s="23"/>
      <c r="I153" s="23"/>
      <c r="J153" s="23"/>
      <c r="K153" s="23"/>
      <c r="L153" s="23"/>
      <c r="M153" s="23"/>
      <c r="N153" s="23"/>
      <c r="O153" s="23"/>
      <c r="P153" s="23"/>
      <c r="Q153" s="23"/>
      <c r="R153" s="4"/>
      <c r="S153" s="23"/>
      <c r="T153" s="23"/>
      <c r="U153" s="23"/>
      <c r="V153" s="4"/>
      <c r="W153" s="4"/>
    </row>
    <row r="154" spans="1:23" x14ac:dyDescent="0.25">
      <c r="A154" s="703"/>
      <c r="B154" s="4"/>
      <c r="C154" s="23"/>
      <c r="D154" s="23"/>
      <c r="E154" s="23"/>
      <c r="F154" s="23"/>
      <c r="G154" s="23"/>
      <c r="H154" s="23"/>
      <c r="I154" s="23"/>
      <c r="J154" s="23"/>
      <c r="K154" s="23"/>
      <c r="L154" s="23"/>
      <c r="M154" s="23"/>
      <c r="N154" s="23"/>
      <c r="O154" s="23"/>
      <c r="P154" s="23"/>
      <c r="Q154" s="23"/>
      <c r="R154" s="4"/>
      <c r="S154" s="23"/>
      <c r="T154" s="23"/>
      <c r="U154" s="23"/>
      <c r="V154" s="4"/>
      <c r="W154" s="4"/>
    </row>
    <row r="155" spans="1:23" x14ac:dyDescent="0.25">
      <c r="A155" s="703"/>
      <c r="B155" s="4"/>
      <c r="C155" s="23"/>
      <c r="D155" s="23"/>
      <c r="E155" s="23"/>
      <c r="F155" s="23"/>
      <c r="G155" s="23"/>
      <c r="H155" s="23"/>
      <c r="I155" s="23"/>
      <c r="J155" s="23"/>
      <c r="K155" s="23"/>
      <c r="L155" s="23"/>
      <c r="M155" s="23"/>
      <c r="N155" s="23"/>
      <c r="O155" s="23"/>
      <c r="P155" s="23"/>
      <c r="Q155" s="23"/>
      <c r="R155" s="4"/>
      <c r="S155" s="23"/>
      <c r="T155" s="23"/>
      <c r="U155" s="23"/>
      <c r="V155" s="4"/>
      <c r="W155" s="4"/>
    </row>
    <row r="156" spans="1:23" x14ac:dyDescent="0.25">
      <c r="A156" s="703"/>
      <c r="B156" s="4"/>
      <c r="C156" s="23"/>
      <c r="D156" s="23"/>
      <c r="E156" s="23"/>
      <c r="F156" s="23"/>
      <c r="G156" s="23"/>
      <c r="H156" s="23"/>
      <c r="I156" s="23"/>
      <c r="J156" s="23"/>
      <c r="K156" s="23"/>
      <c r="L156" s="23"/>
      <c r="M156" s="23"/>
      <c r="N156" s="23"/>
      <c r="O156" s="23"/>
      <c r="P156" s="23"/>
      <c r="Q156" s="23"/>
      <c r="R156" s="4"/>
      <c r="S156" s="23"/>
      <c r="T156" s="23"/>
      <c r="U156" s="23"/>
      <c r="V156" s="4"/>
      <c r="W156" s="4"/>
    </row>
    <row r="157" spans="1:23" x14ac:dyDescent="0.25">
      <c r="A157" s="703"/>
      <c r="B157" s="4"/>
      <c r="C157" s="23"/>
      <c r="D157" s="23"/>
      <c r="E157" s="23"/>
      <c r="F157" s="23"/>
      <c r="G157" s="23"/>
      <c r="H157" s="23"/>
      <c r="I157" s="23"/>
      <c r="J157" s="23"/>
      <c r="K157" s="23"/>
      <c r="L157" s="23"/>
      <c r="M157" s="23"/>
      <c r="N157" s="23"/>
      <c r="O157" s="23"/>
      <c r="P157" s="23"/>
      <c r="Q157" s="23"/>
      <c r="R157" s="4"/>
      <c r="S157" s="23"/>
      <c r="T157" s="23"/>
      <c r="U157" s="23"/>
      <c r="V157" s="4"/>
      <c r="W157" s="4"/>
    </row>
    <row r="158" spans="1:23" x14ac:dyDescent="0.25">
      <c r="A158" s="703"/>
      <c r="B158" s="4"/>
      <c r="C158" s="23"/>
      <c r="D158" s="23"/>
      <c r="E158" s="23"/>
      <c r="F158" s="23"/>
      <c r="G158" s="23"/>
      <c r="H158" s="23"/>
      <c r="I158" s="23"/>
      <c r="J158" s="23"/>
      <c r="K158" s="23"/>
      <c r="L158" s="23"/>
      <c r="M158" s="23"/>
      <c r="N158" s="23"/>
      <c r="O158" s="23"/>
      <c r="P158" s="23"/>
      <c r="Q158" s="23"/>
      <c r="R158" s="4"/>
      <c r="S158" s="23"/>
      <c r="T158" s="23"/>
      <c r="U158" s="23"/>
      <c r="V158" s="4"/>
      <c r="W158" s="4"/>
    </row>
    <row r="159" spans="1:23" x14ac:dyDescent="0.25">
      <c r="A159" s="703"/>
      <c r="B159" s="4"/>
      <c r="C159" s="23"/>
      <c r="D159" s="23"/>
      <c r="E159" s="23"/>
      <c r="F159" s="23"/>
      <c r="G159" s="23"/>
      <c r="H159" s="23"/>
      <c r="I159" s="23"/>
      <c r="J159" s="23"/>
      <c r="K159" s="23"/>
      <c r="L159" s="23"/>
      <c r="M159" s="23"/>
      <c r="N159" s="23"/>
      <c r="O159" s="23"/>
      <c r="P159" s="23"/>
      <c r="Q159" s="23"/>
      <c r="R159" s="4"/>
      <c r="S159" s="23"/>
      <c r="T159" s="23"/>
      <c r="U159" s="23"/>
      <c r="V159" s="4"/>
      <c r="W159" s="4"/>
    </row>
    <row r="160" spans="1:23" x14ac:dyDescent="0.25">
      <c r="A160" s="703"/>
      <c r="B160" s="4"/>
      <c r="C160" s="23"/>
      <c r="D160" s="23"/>
      <c r="E160" s="23"/>
      <c r="F160" s="23"/>
      <c r="G160" s="23"/>
      <c r="H160" s="23"/>
      <c r="I160" s="23"/>
      <c r="J160" s="23"/>
      <c r="K160" s="23"/>
      <c r="L160" s="23"/>
      <c r="M160" s="23"/>
      <c r="N160" s="23"/>
      <c r="O160" s="23"/>
      <c r="P160" s="23"/>
      <c r="Q160" s="23"/>
      <c r="R160" s="4"/>
      <c r="S160" s="23"/>
      <c r="T160" s="23"/>
      <c r="U160" s="23"/>
      <c r="V160" s="4"/>
      <c r="W160" s="4"/>
    </row>
    <row r="161" spans="1:23" x14ac:dyDescent="0.25">
      <c r="A161" s="703"/>
      <c r="B161" s="4"/>
      <c r="C161" s="23"/>
      <c r="D161" s="23"/>
      <c r="E161" s="23"/>
      <c r="F161" s="23"/>
      <c r="G161" s="23"/>
      <c r="H161" s="23"/>
      <c r="I161" s="23"/>
      <c r="J161" s="23"/>
      <c r="K161" s="23"/>
      <c r="L161" s="23"/>
      <c r="M161" s="23"/>
      <c r="N161" s="23"/>
      <c r="O161" s="23"/>
      <c r="P161" s="23"/>
      <c r="Q161" s="23"/>
      <c r="R161" s="4"/>
      <c r="S161" s="23"/>
      <c r="T161" s="23"/>
      <c r="U161" s="23"/>
      <c r="V161" s="4"/>
      <c r="W161" s="4"/>
    </row>
    <row r="162" spans="1:23" x14ac:dyDescent="0.25">
      <c r="A162" s="703"/>
      <c r="B162" s="4"/>
      <c r="C162" s="23"/>
      <c r="D162" s="23"/>
      <c r="E162" s="23"/>
      <c r="F162" s="23"/>
      <c r="G162" s="23"/>
      <c r="H162" s="23"/>
      <c r="I162" s="23"/>
      <c r="J162" s="23"/>
      <c r="K162" s="23"/>
      <c r="L162" s="23"/>
      <c r="M162" s="23"/>
      <c r="N162" s="23"/>
      <c r="O162" s="23"/>
      <c r="P162" s="23"/>
      <c r="Q162" s="23"/>
      <c r="R162" s="4"/>
      <c r="S162" s="23"/>
      <c r="T162" s="23"/>
      <c r="U162" s="23"/>
      <c r="V162" s="4"/>
      <c r="W162" s="4"/>
    </row>
    <row r="163" spans="1:23" x14ac:dyDescent="0.25">
      <c r="A163" s="703"/>
      <c r="B163" s="4"/>
      <c r="C163" s="23"/>
      <c r="D163" s="23"/>
      <c r="E163" s="23"/>
      <c r="F163" s="23"/>
      <c r="G163" s="23"/>
      <c r="H163" s="23"/>
      <c r="I163" s="23"/>
      <c r="J163" s="23"/>
      <c r="K163" s="23"/>
      <c r="L163" s="23"/>
      <c r="M163" s="23"/>
      <c r="N163" s="23"/>
      <c r="O163" s="23"/>
      <c r="P163" s="23"/>
      <c r="Q163" s="23"/>
      <c r="R163" s="4"/>
      <c r="S163" s="23"/>
      <c r="T163" s="23"/>
      <c r="U163" s="23"/>
      <c r="V163" s="4"/>
      <c r="W163" s="4"/>
    </row>
    <row r="164" spans="1:23" x14ac:dyDescent="0.25">
      <c r="A164" s="703"/>
      <c r="B164" s="4"/>
      <c r="C164" s="23"/>
      <c r="D164" s="23"/>
      <c r="E164" s="23"/>
      <c r="F164" s="23"/>
      <c r="G164" s="23"/>
      <c r="H164" s="23"/>
      <c r="I164" s="23"/>
      <c r="J164" s="23"/>
      <c r="K164" s="23"/>
      <c r="L164" s="23"/>
      <c r="M164" s="23"/>
      <c r="N164" s="23"/>
      <c r="O164" s="23"/>
      <c r="P164" s="23"/>
      <c r="Q164" s="23"/>
      <c r="R164" s="4"/>
      <c r="S164" s="23"/>
      <c r="T164" s="23"/>
      <c r="U164" s="23"/>
      <c r="V164" s="4"/>
      <c r="W164" s="4"/>
    </row>
    <row r="165" spans="1:23" x14ac:dyDescent="0.25">
      <c r="A165" s="703"/>
      <c r="B165" s="4"/>
      <c r="C165" s="23"/>
      <c r="D165" s="23"/>
      <c r="E165" s="23"/>
      <c r="F165" s="23"/>
      <c r="G165" s="23"/>
      <c r="H165" s="23"/>
      <c r="I165" s="23"/>
      <c r="J165" s="23"/>
      <c r="K165" s="23"/>
      <c r="L165" s="23"/>
      <c r="M165" s="23"/>
      <c r="N165" s="23"/>
      <c r="O165" s="23"/>
      <c r="P165" s="23"/>
      <c r="Q165" s="23"/>
      <c r="R165" s="4"/>
      <c r="S165" s="23"/>
      <c r="T165" s="23"/>
      <c r="U165" s="23"/>
      <c r="V165" s="4"/>
      <c r="W165" s="4"/>
    </row>
    <row r="166" spans="1:23" x14ac:dyDescent="0.25">
      <c r="A166" s="703"/>
      <c r="B166" s="4"/>
      <c r="C166" s="23"/>
      <c r="D166" s="23"/>
      <c r="E166" s="23"/>
      <c r="F166" s="23"/>
      <c r="G166" s="23"/>
      <c r="H166" s="23"/>
      <c r="I166" s="23"/>
      <c r="J166" s="23"/>
      <c r="K166" s="23"/>
      <c r="L166" s="23"/>
      <c r="M166" s="23"/>
      <c r="N166" s="23"/>
      <c r="O166" s="23"/>
      <c r="P166" s="23"/>
      <c r="Q166" s="23"/>
      <c r="R166" s="4"/>
      <c r="S166" s="23"/>
      <c r="T166" s="23"/>
      <c r="U166" s="23"/>
      <c r="V166" s="4"/>
      <c r="W166" s="4"/>
    </row>
    <row r="167" spans="1:23" x14ac:dyDescent="0.25">
      <c r="A167" s="703"/>
      <c r="B167" s="4"/>
      <c r="C167" s="23"/>
      <c r="D167" s="23"/>
      <c r="E167" s="23"/>
      <c r="F167" s="23"/>
      <c r="G167" s="23"/>
      <c r="H167" s="23"/>
      <c r="I167" s="23"/>
      <c r="J167" s="23"/>
      <c r="K167" s="23"/>
      <c r="L167" s="23"/>
      <c r="M167" s="23"/>
      <c r="N167" s="23"/>
      <c r="O167" s="23"/>
      <c r="P167" s="23"/>
      <c r="Q167" s="23"/>
      <c r="R167" s="4"/>
      <c r="S167" s="23"/>
      <c r="T167" s="23"/>
      <c r="U167" s="23"/>
      <c r="V167" s="4"/>
      <c r="W167" s="4"/>
    </row>
    <row r="168" spans="1:23" x14ac:dyDescent="0.25">
      <c r="A168" s="703"/>
      <c r="B168" s="4"/>
      <c r="C168" s="23"/>
      <c r="D168" s="23"/>
      <c r="E168" s="23"/>
      <c r="F168" s="23"/>
      <c r="G168" s="23"/>
      <c r="H168" s="23"/>
      <c r="I168" s="23"/>
      <c r="J168" s="23"/>
      <c r="K168" s="23"/>
      <c r="L168" s="23"/>
      <c r="M168" s="23"/>
      <c r="N168" s="23"/>
      <c r="O168" s="23"/>
      <c r="P168" s="23"/>
      <c r="Q168" s="23"/>
      <c r="R168" s="4"/>
      <c r="S168" s="23"/>
      <c r="T168" s="23"/>
      <c r="U168" s="23"/>
      <c r="V168" s="4"/>
      <c r="W168" s="4"/>
    </row>
    <row r="169" spans="1:23" x14ac:dyDescent="0.25">
      <c r="A169" s="703"/>
      <c r="B169" s="4"/>
      <c r="C169" s="23"/>
      <c r="D169" s="23"/>
      <c r="E169" s="23"/>
      <c r="F169" s="23"/>
      <c r="G169" s="23"/>
      <c r="H169" s="23"/>
      <c r="I169" s="23"/>
      <c r="J169" s="23"/>
      <c r="K169" s="23"/>
      <c r="L169" s="23"/>
      <c r="M169" s="23"/>
      <c r="N169" s="23"/>
      <c r="O169" s="23"/>
      <c r="P169" s="23"/>
      <c r="Q169" s="23"/>
      <c r="R169" s="4"/>
      <c r="S169" s="23"/>
      <c r="T169" s="23"/>
      <c r="U169" s="23"/>
      <c r="V169" s="4"/>
      <c r="W169" s="4"/>
    </row>
    <row r="170" spans="1:23" x14ac:dyDescent="0.25">
      <c r="A170" s="703"/>
      <c r="B170" s="4"/>
      <c r="C170" s="23"/>
      <c r="D170" s="23"/>
      <c r="E170" s="23"/>
      <c r="F170" s="23"/>
      <c r="G170" s="23"/>
      <c r="H170" s="23"/>
      <c r="I170" s="23"/>
      <c r="J170" s="23"/>
      <c r="K170" s="23"/>
      <c r="L170" s="23"/>
      <c r="M170" s="23"/>
      <c r="N170" s="23"/>
      <c r="O170" s="23"/>
      <c r="P170" s="23"/>
      <c r="Q170" s="23"/>
      <c r="R170" s="4"/>
      <c r="S170" s="23"/>
      <c r="T170" s="23"/>
      <c r="U170" s="23"/>
      <c r="V170" s="4"/>
      <c r="W170" s="4"/>
    </row>
    <row r="171" spans="1:23" x14ac:dyDescent="0.25">
      <c r="A171" s="703"/>
      <c r="B171" s="4"/>
      <c r="C171" s="23"/>
      <c r="D171" s="23"/>
      <c r="E171" s="23"/>
      <c r="F171" s="23"/>
      <c r="G171" s="23"/>
      <c r="H171" s="23"/>
      <c r="I171" s="23"/>
      <c r="J171" s="23"/>
      <c r="K171" s="23"/>
      <c r="L171" s="23"/>
      <c r="M171" s="23"/>
      <c r="N171" s="23"/>
      <c r="O171" s="23"/>
      <c r="P171" s="23"/>
      <c r="Q171" s="23"/>
      <c r="R171" s="4"/>
      <c r="S171" s="23"/>
      <c r="T171" s="23"/>
      <c r="U171" s="23"/>
      <c r="V171" s="4"/>
      <c r="W171" s="4"/>
    </row>
    <row r="172" spans="1:23" x14ac:dyDescent="0.25">
      <c r="A172" s="703"/>
      <c r="B172" s="4"/>
      <c r="C172" s="23"/>
      <c r="D172" s="23"/>
      <c r="E172" s="23"/>
      <c r="F172" s="23"/>
      <c r="G172" s="23"/>
      <c r="H172" s="23"/>
      <c r="I172" s="23"/>
      <c r="J172" s="23"/>
      <c r="K172" s="23"/>
      <c r="L172" s="23"/>
      <c r="M172" s="23"/>
      <c r="N172" s="23"/>
      <c r="O172" s="23"/>
      <c r="P172" s="23"/>
      <c r="Q172" s="23"/>
      <c r="R172" s="4"/>
      <c r="S172" s="23"/>
      <c r="T172" s="23"/>
      <c r="U172" s="23"/>
      <c r="V172" s="4"/>
      <c r="W172" s="4"/>
    </row>
    <row r="173" spans="1:23" x14ac:dyDescent="0.25">
      <c r="A173" s="703"/>
      <c r="B173" s="4"/>
      <c r="C173" s="23"/>
      <c r="D173" s="23"/>
      <c r="E173" s="23"/>
      <c r="F173" s="23"/>
      <c r="G173" s="23"/>
      <c r="H173" s="23"/>
      <c r="I173" s="23"/>
      <c r="J173" s="23"/>
      <c r="K173" s="23"/>
      <c r="L173" s="23"/>
      <c r="M173" s="23"/>
      <c r="N173" s="23"/>
      <c r="O173" s="23"/>
      <c r="P173" s="23"/>
      <c r="Q173" s="23"/>
      <c r="R173" s="4"/>
      <c r="S173" s="23"/>
      <c r="T173" s="23"/>
      <c r="U173" s="23"/>
      <c r="V173" s="4"/>
      <c r="W173" s="4"/>
    </row>
    <row r="174" spans="1:23" x14ac:dyDescent="0.25">
      <c r="A174" s="703"/>
      <c r="B174" s="4"/>
      <c r="C174" s="23"/>
      <c r="D174" s="23"/>
      <c r="E174" s="23"/>
      <c r="F174" s="23"/>
      <c r="G174" s="23"/>
      <c r="H174" s="23"/>
      <c r="I174" s="23"/>
      <c r="J174" s="23"/>
      <c r="K174" s="23"/>
      <c r="L174" s="23"/>
      <c r="M174" s="23"/>
      <c r="N174" s="23"/>
      <c r="O174" s="23"/>
      <c r="P174" s="23"/>
      <c r="Q174" s="23"/>
      <c r="R174" s="4"/>
      <c r="S174" s="23"/>
      <c r="T174" s="23"/>
      <c r="U174" s="23"/>
      <c r="V174" s="4"/>
      <c r="W174" s="4"/>
    </row>
    <row r="175" spans="1:23" x14ac:dyDescent="0.25">
      <c r="A175" s="703"/>
      <c r="B175" s="4"/>
      <c r="C175" s="23"/>
      <c r="D175" s="23"/>
      <c r="E175" s="23"/>
      <c r="F175" s="23"/>
      <c r="G175" s="23"/>
      <c r="H175" s="23"/>
      <c r="I175" s="23"/>
      <c r="J175" s="23"/>
      <c r="K175" s="23"/>
      <c r="L175" s="23"/>
      <c r="M175" s="23"/>
      <c r="N175" s="23"/>
      <c r="O175" s="23"/>
      <c r="P175" s="23"/>
      <c r="Q175" s="23"/>
      <c r="R175" s="4"/>
      <c r="S175" s="23"/>
      <c r="T175" s="23"/>
      <c r="U175" s="23"/>
      <c r="V175" s="4"/>
      <c r="W175" s="4"/>
    </row>
    <row r="176" spans="1:23" x14ac:dyDescent="0.25">
      <c r="A176" s="703"/>
      <c r="B176" s="4"/>
      <c r="C176" s="23"/>
      <c r="D176" s="23"/>
      <c r="E176" s="23"/>
      <c r="F176" s="23"/>
      <c r="G176" s="23"/>
      <c r="H176" s="23"/>
      <c r="I176" s="23"/>
      <c r="J176" s="23"/>
      <c r="K176" s="23"/>
      <c r="L176" s="23"/>
      <c r="M176" s="23"/>
      <c r="N176" s="23"/>
      <c r="O176" s="23"/>
      <c r="P176" s="23"/>
      <c r="Q176" s="23"/>
      <c r="R176" s="4"/>
      <c r="S176" s="23"/>
      <c r="T176" s="23"/>
      <c r="U176" s="23"/>
      <c r="V176" s="4"/>
      <c r="W176" s="4"/>
    </row>
    <row r="177" spans="1:23" x14ac:dyDescent="0.25">
      <c r="A177" s="703"/>
      <c r="B177" s="4"/>
      <c r="C177" s="23"/>
      <c r="D177" s="23"/>
      <c r="E177" s="23"/>
      <c r="F177" s="23"/>
      <c r="G177" s="23"/>
      <c r="H177" s="23"/>
      <c r="I177" s="23"/>
      <c r="J177" s="23"/>
      <c r="K177" s="23"/>
      <c r="L177" s="23"/>
      <c r="M177" s="23"/>
      <c r="N177" s="23"/>
      <c r="O177" s="23"/>
      <c r="P177" s="23"/>
      <c r="Q177" s="23"/>
      <c r="R177" s="4"/>
      <c r="S177" s="23"/>
      <c r="T177" s="23"/>
      <c r="U177" s="23"/>
      <c r="V177" s="4"/>
      <c r="W177" s="4"/>
    </row>
    <row r="178" spans="1:23" x14ac:dyDescent="0.25">
      <c r="A178" s="703"/>
      <c r="B178" s="4"/>
      <c r="C178" s="23"/>
      <c r="D178" s="23"/>
      <c r="E178" s="23"/>
      <c r="F178" s="23"/>
      <c r="G178" s="23"/>
      <c r="H178" s="23"/>
      <c r="I178" s="23"/>
      <c r="J178" s="23"/>
      <c r="K178" s="23"/>
      <c r="L178" s="23"/>
      <c r="M178" s="23"/>
      <c r="N178" s="23"/>
      <c r="O178" s="23"/>
      <c r="P178" s="23"/>
      <c r="Q178" s="23"/>
      <c r="R178" s="4"/>
      <c r="S178" s="23"/>
      <c r="T178" s="23"/>
      <c r="U178" s="23"/>
      <c r="V178" s="4"/>
      <c r="W178" s="4"/>
    </row>
    <row r="179" spans="1:23" x14ac:dyDescent="0.25">
      <c r="A179" s="703"/>
      <c r="B179" s="4"/>
      <c r="C179" s="23"/>
      <c r="D179" s="23"/>
      <c r="E179" s="23"/>
      <c r="F179" s="23"/>
      <c r="G179" s="23"/>
      <c r="H179" s="23"/>
      <c r="I179" s="23"/>
      <c r="J179" s="23"/>
      <c r="K179" s="23"/>
      <c r="L179" s="23"/>
      <c r="M179" s="23"/>
      <c r="N179" s="23"/>
      <c r="O179" s="23"/>
      <c r="P179" s="23"/>
      <c r="Q179" s="23"/>
      <c r="R179" s="4"/>
      <c r="S179" s="23"/>
      <c r="T179" s="23"/>
      <c r="U179" s="23"/>
      <c r="V179" s="4"/>
      <c r="W179" s="4"/>
    </row>
    <row r="180" spans="1:23" x14ac:dyDescent="0.25">
      <c r="C180" s="194"/>
      <c r="D180" s="194"/>
      <c r="E180" s="194"/>
      <c r="F180" s="194"/>
      <c r="G180" s="194"/>
      <c r="H180" s="194"/>
      <c r="I180" s="194"/>
      <c r="J180" s="194"/>
      <c r="K180" s="194"/>
      <c r="L180" s="194"/>
      <c r="M180" s="194"/>
      <c r="N180" s="194"/>
      <c r="O180" s="194"/>
      <c r="P180" s="194"/>
      <c r="Q180" s="194"/>
    </row>
    <row r="181" spans="1:23" x14ac:dyDescent="0.25">
      <c r="C181" s="194"/>
      <c r="D181" s="194"/>
      <c r="E181" s="194"/>
      <c r="F181" s="194"/>
      <c r="G181" s="194"/>
      <c r="H181" s="194"/>
      <c r="I181" s="194"/>
      <c r="J181" s="194"/>
      <c r="K181" s="194"/>
      <c r="L181" s="194"/>
      <c r="M181" s="194"/>
      <c r="N181" s="194"/>
      <c r="O181" s="194"/>
      <c r="P181" s="194"/>
      <c r="Q181" s="194"/>
    </row>
    <row r="182" spans="1:23" x14ac:dyDescent="0.25">
      <c r="C182" s="194"/>
      <c r="D182" s="194"/>
      <c r="E182" s="194"/>
      <c r="F182" s="194"/>
      <c r="G182" s="194"/>
      <c r="H182" s="194"/>
      <c r="I182" s="194"/>
      <c r="J182" s="194"/>
      <c r="K182" s="194"/>
      <c r="L182" s="194"/>
      <c r="M182" s="194"/>
      <c r="N182" s="194"/>
      <c r="O182" s="194"/>
      <c r="P182" s="194"/>
      <c r="Q182" s="194"/>
    </row>
    <row r="183" spans="1:23" x14ac:dyDescent="0.25">
      <c r="C183" s="194"/>
      <c r="D183" s="194"/>
      <c r="E183" s="194"/>
      <c r="F183" s="194"/>
      <c r="G183" s="194"/>
      <c r="H183" s="194"/>
      <c r="I183" s="194"/>
      <c r="J183" s="194"/>
      <c r="K183" s="194"/>
      <c r="L183" s="194"/>
      <c r="M183" s="194"/>
      <c r="N183" s="194"/>
      <c r="O183" s="194"/>
      <c r="P183" s="194"/>
      <c r="Q183" s="194"/>
    </row>
    <row r="184" spans="1:23" x14ac:dyDescent="0.25">
      <c r="C184" s="194"/>
      <c r="D184" s="194"/>
      <c r="E184" s="194"/>
      <c r="F184" s="194"/>
      <c r="G184" s="194"/>
      <c r="H184" s="194"/>
      <c r="I184" s="194"/>
      <c r="J184" s="194"/>
      <c r="K184" s="194"/>
      <c r="L184" s="194"/>
      <c r="M184" s="194"/>
      <c r="N184" s="194"/>
      <c r="O184" s="194"/>
      <c r="P184" s="194"/>
      <c r="Q184" s="194"/>
    </row>
    <row r="185" spans="1:23" x14ac:dyDescent="0.25">
      <c r="C185" s="194"/>
      <c r="D185" s="194"/>
      <c r="E185" s="194"/>
      <c r="F185" s="194"/>
      <c r="G185" s="194"/>
      <c r="H185" s="194"/>
      <c r="I185" s="194"/>
      <c r="J185" s="194"/>
      <c r="K185" s="194"/>
      <c r="L185" s="194"/>
      <c r="M185" s="194"/>
      <c r="N185" s="194"/>
      <c r="O185" s="194"/>
      <c r="P185" s="194"/>
      <c r="Q185" s="194"/>
    </row>
    <row r="186" spans="1:23" x14ac:dyDescent="0.25">
      <c r="C186" s="194"/>
      <c r="D186" s="194"/>
      <c r="E186" s="194"/>
      <c r="F186" s="194"/>
      <c r="G186" s="194"/>
      <c r="H186" s="194"/>
      <c r="I186" s="194"/>
      <c r="J186" s="194"/>
      <c r="K186" s="194"/>
      <c r="L186" s="194"/>
      <c r="M186" s="194"/>
      <c r="N186" s="194"/>
      <c r="O186" s="194"/>
      <c r="P186" s="194"/>
      <c r="Q186" s="194"/>
    </row>
    <row r="187" spans="1:23" x14ac:dyDescent="0.25">
      <c r="C187" s="194"/>
      <c r="D187" s="194"/>
      <c r="E187" s="194"/>
      <c r="F187" s="194"/>
      <c r="G187" s="194"/>
      <c r="H187" s="194"/>
      <c r="I187" s="194"/>
      <c r="J187" s="194"/>
      <c r="K187" s="194"/>
      <c r="L187" s="194"/>
      <c r="M187" s="194"/>
      <c r="N187" s="194"/>
      <c r="O187" s="194"/>
      <c r="P187" s="194"/>
      <c r="Q187" s="194"/>
    </row>
    <row r="188" spans="1:23" x14ac:dyDescent="0.25">
      <c r="C188" s="194"/>
      <c r="D188" s="194"/>
      <c r="E188" s="194"/>
      <c r="F188" s="194"/>
      <c r="G188" s="194"/>
      <c r="H188" s="194"/>
      <c r="I188" s="194"/>
      <c r="J188" s="194"/>
      <c r="K188" s="194"/>
      <c r="L188" s="194"/>
      <c r="M188" s="194"/>
      <c r="N188" s="194"/>
      <c r="O188" s="194"/>
      <c r="P188" s="194"/>
      <c r="Q188" s="194"/>
    </row>
    <row r="189" spans="1:23" x14ac:dyDescent="0.25">
      <c r="C189" s="194"/>
      <c r="D189" s="194"/>
      <c r="E189" s="194"/>
      <c r="F189" s="194"/>
      <c r="G189" s="194"/>
      <c r="H189" s="194"/>
      <c r="I189" s="194"/>
      <c r="J189" s="194"/>
      <c r="K189" s="194"/>
      <c r="L189" s="194"/>
      <c r="M189" s="194"/>
      <c r="N189" s="194"/>
      <c r="O189" s="194"/>
      <c r="P189" s="194"/>
      <c r="Q189" s="194"/>
    </row>
    <row r="190" spans="1:23" x14ac:dyDescent="0.25">
      <c r="C190" s="194"/>
      <c r="D190" s="194"/>
      <c r="E190" s="194"/>
      <c r="F190" s="194"/>
      <c r="G190" s="194"/>
      <c r="H190" s="194"/>
      <c r="I190" s="194"/>
      <c r="J190" s="194"/>
      <c r="K190" s="194"/>
      <c r="L190" s="194"/>
      <c r="M190" s="194"/>
      <c r="N190" s="194"/>
      <c r="O190" s="194"/>
      <c r="P190" s="194"/>
      <c r="Q190" s="194"/>
    </row>
    <row r="191" spans="1:23" x14ac:dyDescent="0.25">
      <c r="C191" s="194"/>
      <c r="D191" s="194"/>
      <c r="E191" s="194"/>
      <c r="F191" s="194"/>
      <c r="G191" s="194"/>
      <c r="H191" s="194"/>
      <c r="I191" s="194"/>
      <c r="J191" s="194"/>
      <c r="K191" s="194"/>
      <c r="L191" s="194"/>
      <c r="M191" s="194"/>
      <c r="N191" s="194"/>
      <c r="O191" s="194"/>
      <c r="P191" s="194"/>
      <c r="Q191" s="194"/>
    </row>
    <row r="192" spans="1:23" x14ac:dyDescent="0.25">
      <c r="C192" s="194"/>
      <c r="D192" s="194"/>
      <c r="E192" s="194"/>
      <c r="F192" s="194"/>
      <c r="G192" s="194"/>
      <c r="H192" s="194"/>
      <c r="I192" s="194"/>
      <c r="J192" s="194"/>
      <c r="K192" s="194"/>
      <c r="L192" s="194"/>
      <c r="M192" s="194"/>
      <c r="N192" s="194"/>
      <c r="O192" s="194"/>
      <c r="P192" s="194"/>
      <c r="Q192" s="194"/>
    </row>
    <row r="193" spans="3:17" x14ac:dyDescent="0.25">
      <c r="C193" s="194"/>
      <c r="D193" s="194"/>
      <c r="E193" s="194"/>
      <c r="F193" s="194"/>
      <c r="G193" s="194"/>
      <c r="H193" s="194"/>
      <c r="I193" s="194"/>
      <c r="J193" s="194"/>
      <c r="K193" s="194"/>
      <c r="L193" s="194"/>
      <c r="M193" s="194"/>
      <c r="N193" s="194"/>
      <c r="O193" s="194"/>
      <c r="P193" s="194"/>
      <c r="Q193" s="194"/>
    </row>
    <row r="194" spans="3:17" x14ac:dyDescent="0.25">
      <c r="C194" s="194"/>
      <c r="D194" s="194"/>
      <c r="E194" s="194"/>
      <c r="F194" s="194"/>
      <c r="G194" s="194"/>
      <c r="H194" s="194"/>
      <c r="I194" s="194"/>
      <c r="J194" s="194"/>
      <c r="K194" s="194"/>
      <c r="L194" s="194"/>
      <c r="M194" s="194"/>
      <c r="N194" s="194"/>
      <c r="O194" s="194"/>
      <c r="P194" s="194"/>
      <c r="Q194" s="194"/>
    </row>
    <row r="195" spans="3:17" x14ac:dyDescent="0.25">
      <c r="C195" s="194"/>
    </row>
    <row r="196" spans="3:17" x14ac:dyDescent="0.25">
      <c r="C196" s="194"/>
    </row>
    <row r="197" spans="3:17" x14ac:dyDescent="0.25">
      <c r="C197" s="194"/>
    </row>
    <row r="198" spans="3:17" x14ac:dyDescent="0.25">
      <c r="C198" s="194"/>
    </row>
    <row r="199" spans="3:17" x14ac:dyDescent="0.25">
      <c r="C199" s="194"/>
    </row>
    <row r="200" spans="3:17" x14ac:dyDescent="0.25">
      <c r="C200" s="194"/>
    </row>
    <row r="201" spans="3:17" x14ac:dyDescent="0.25">
      <c r="C201" s="194"/>
    </row>
    <row r="202" spans="3:17" x14ac:dyDescent="0.25">
      <c r="C202" s="194"/>
    </row>
    <row r="203" spans="3:17" x14ac:dyDescent="0.25">
      <c r="C203" s="194"/>
    </row>
    <row r="204" spans="3:17" x14ac:dyDescent="0.25">
      <c r="C204" s="194"/>
    </row>
    <row r="205" spans="3:17" x14ac:dyDescent="0.25">
      <c r="C205" s="194"/>
    </row>
    <row r="206" spans="3:17" x14ac:dyDescent="0.25">
      <c r="C206" s="194"/>
    </row>
    <row r="207" spans="3:17" x14ac:dyDescent="0.25">
      <c r="C207" s="194"/>
    </row>
    <row r="208" spans="3:17" x14ac:dyDescent="0.25">
      <c r="C208" s="194"/>
    </row>
    <row r="209" spans="3:3" x14ac:dyDescent="0.25">
      <c r="C209" s="194"/>
    </row>
    <row r="210" spans="3:3" x14ac:dyDescent="0.25">
      <c r="C210" s="194"/>
    </row>
    <row r="211" spans="3:3" x14ac:dyDescent="0.25">
      <c r="C211" s="194"/>
    </row>
    <row r="212" spans="3:3" x14ac:dyDescent="0.25">
      <c r="C212" s="194"/>
    </row>
    <row r="213" spans="3:3" x14ac:dyDescent="0.25">
      <c r="C213" s="194"/>
    </row>
    <row r="214" spans="3:3" x14ac:dyDescent="0.25">
      <c r="C214" s="194"/>
    </row>
    <row r="215" spans="3:3" x14ac:dyDescent="0.25">
      <c r="C215" s="194"/>
    </row>
    <row r="216" spans="3:3" x14ac:dyDescent="0.25">
      <c r="C216" s="194"/>
    </row>
    <row r="217" spans="3:3" x14ac:dyDescent="0.25">
      <c r="C217" s="194"/>
    </row>
  </sheetData>
  <phoneticPr fontId="0" type="noConversion"/>
  <hyperlinks>
    <hyperlink ref="A1" location="'Working Budget with funding det'!A1" display="Main " xr:uid="{00000000-0004-0000-0E00-000000000000}"/>
    <hyperlink ref="B1" location="'Table of Contents'!A1" display="TOC" xr:uid="{00000000-0004-0000-0E00-000001000000}"/>
  </hyperlinks>
  <pageMargins left="0.75" right="0.75" top="1" bottom="1" header="0.5" footer="0.5"/>
  <pageSetup scale="74" orientation="landscape" r:id="rId1"/>
  <headerFooter alignWithMargins="0">
    <oddFooter>&amp;L&amp;D     &amp;T&amp;C &amp;F&amp;R&amp;A</oddFooter>
  </headerFooter>
  <rowBreaks count="1" manualBreakCount="1">
    <brk id="3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W164"/>
  <sheetViews>
    <sheetView zoomScaleNormal="100" workbookViewId="0">
      <pane ySplit="7" topLeftCell="A22" activePane="bottomLeft" state="frozen"/>
      <selection activeCell="S36" sqref="S36"/>
      <selection pane="bottomLeft" activeCell="R42" sqref="R42"/>
    </sheetView>
  </sheetViews>
  <sheetFormatPr defaultRowHeight="13.2" x14ac:dyDescent="0.25"/>
  <cols>
    <col min="1" max="1" width="12.3320312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 min="23" max="23" width="14.44140625" customWidth="1"/>
    <col min="24" max="24" width="12" bestFit="1" customWidth="1"/>
  </cols>
  <sheetData>
    <row r="1" spans="1:22" x14ac:dyDescent="0.25">
      <c r="A1" s="701" t="s">
        <v>736</v>
      </c>
      <c r="B1" s="290" t="s">
        <v>194</v>
      </c>
      <c r="D1" s="194"/>
      <c r="E1" s="194"/>
      <c r="F1" s="194"/>
      <c r="G1" s="194"/>
      <c r="H1" s="194"/>
      <c r="I1" s="194"/>
      <c r="J1" s="194"/>
      <c r="K1" s="194"/>
      <c r="L1" s="194"/>
      <c r="M1" s="194"/>
      <c r="N1" s="194"/>
      <c r="O1" s="194"/>
      <c r="P1" s="194"/>
      <c r="Q1" s="194"/>
      <c r="V1" s="119"/>
    </row>
    <row r="2" spans="1:22" ht="13.8" x14ac:dyDescent="0.25">
      <c r="A2" s="702" t="s">
        <v>705</v>
      </c>
      <c r="B2" s="43"/>
      <c r="D2" s="194"/>
      <c r="E2" s="125"/>
      <c r="F2" s="194"/>
      <c r="G2" s="194"/>
      <c r="H2" s="194"/>
      <c r="I2" s="125" t="s">
        <v>706</v>
      </c>
      <c r="J2" s="125"/>
      <c r="K2" s="125"/>
      <c r="L2" s="125"/>
      <c r="M2" s="125"/>
      <c r="N2" s="125"/>
      <c r="O2" s="125"/>
      <c r="P2" s="125"/>
      <c r="Q2" s="125"/>
      <c r="R2" s="58" t="s">
        <v>518</v>
      </c>
      <c r="U2" s="44" t="s">
        <v>816</v>
      </c>
    </row>
    <row r="3" spans="1:22" ht="13.8" thickBot="1" x14ac:dyDescent="0.3">
      <c r="A3" s="703"/>
      <c r="B3" s="4"/>
      <c r="C3" s="23"/>
      <c r="D3" s="23"/>
      <c r="E3" s="23"/>
      <c r="F3" s="23"/>
      <c r="G3" s="23"/>
      <c r="H3" s="23"/>
      <c r="I3" s="23"/>
      <c r="J3" s="23"/>
      <c r="K3" s="23"/>
      <c r="L3" s="23"/>
      <c r="M3" s="23"/>
      <c r="N3" s="23"/>
      <c r="O3" s="23"/>
      <c r="P3" s="23"/>
      <c r="Q3" s="23"/>
      <c r="R3" s="4"/>
      <c r="S3" s="23"/>
      <c r="T3" s="23"/>
      <c r="U3" s="4"/>
      <c r="V3" s="4"/>
    </row>
    <row r="4" spans="1:22"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2" ht="12.75" customHeight="1"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2" ht="12.75" customHeight="1"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2"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2" ht="13.8" thickTop="1" x14ac:dyDescent="0.25">
      <c r="A8" s="725">
        <v>5111</v>
      </c>
      <c r="B8" s="185" t="s">
        <v>738</v>
      </c>
      <c r="C8" s="117">
        <v>105657.64</v>
      </c>
      <c r="D8" s="18">
        <v>117593.25</v>
      </c>
      <c r="E8" s="18">
        <v>109813.74</v>
      </c>
      <c r="F8" s="18">
        <v>119779.13</v>
      </c>
      <c r="G8" s="18">
        <v>130150.2</v>
      </c>
      <c r="H8" s="18">
        <v>135093.79999999999</v>
      </c>
      <c r="I8" s="18">
        <v>140705.20000000001</v>
      </c>
      <c r="J8" s="18">
        <v>145876.41</v>
      </c>
      <c r="K8" s="19">
        <v>150622</v>
      </c>
      <c r="L8" s="18">
        <v>127173.93</v>
      </c>
      <c r="M8" s="19">
        <v>117035</v>
      </c>
      <c r="N8" s="18">
        <v>102814.06</v>
      </c>
      <c r="O8" s="19">
        <f>3362+111921</f>
        <v>115283</v>
      </c>
      <c r="P8" s="18">
        <v>115278</v>
      </c>
      <c r="Q8" s="19">
        <v>119096</v>
      </c>
      <c r="R8" s="18">
        <v>57257.3</v>
      </c>
      <c r="S8" s="19">
        <f>ROUND((+R51),0)+1</f>
        <v>123299</v>
      </c>
      <c r="T8" s="19"/>
      <c r="U8" s="122"/>
    </row>
    <row r="9" spans="1:22" x14ac:dyDescent="0.25">
      <c r="A9" s="708">
        <v>5115</v>
      </c>
      <c r="B9" s="60" t="s">
        <v>817</v>
      </c>
      <c r="C9" s="117">
        <v>1000</v>
      </c>
      <c r="D9" s="18">
        <v>1500</v>
      </c>
      <c r="E9" s="18">
        <v>1500</v>
      </c>
      <c r="F9" s="18">
        <v>1500</v>
      </c>
      <c r="G9" s="18">
        <v>1500</v>
      </c>
      <c r="H9" s="18">
        <v>1500</v>
      </c>
      <c r="I9" s="18">
        <v>1500</v>
      </c>
      <c r="J9" s="18">
        <v>1765</v>
      </c>
      <c r="K9" s="19">
        <v>1765</v>
      </c>
      <c r="L9" s="18">
        <v>1765</v>
      </c>
      <c r="M9" s="19">
        <v>1765</v>
      </c>
      <c r="N9" s="18">
        <v>1765</v>
      </c>
      <c r="O9" s="19">
        <v>1765</v>
      </c>
      <c r="P9" s="18">
        <v>1765</v>
      </c>
      <c r="Q9" s="19">
        <v>1765</v>
      </c>
      <c r="R9" s="18">
        <v>882.52</v>
      </c>
      <c r="S9" s="19">
        <v>1980</v>
      </c>
      <c r="T9" s="19"/>
      <c r="U9" s="14"/>
    </row>
    <row r="10" spans="1:22" x14ac:dyDescent="0.25">
      <c r="A10" s="708">
        <v>5115</v>
      </c>
      <c r="B10" s="60" t="s">
        <v>741</v>
      </c>
      <c r="C10" s="115">
        <v>1000</v>
      </c>
      <c r="D10" s="13">
        <v>1500</v>
      </c>
      <c r="E10" s="13">
        <v>1500</v>
      </c>
      <c r="F10" s="13">
        <v>1500</v>
      </c>
      <c r="G10" s="13">
        <v>1500</v>
      </c>
      <c r="H10" s="13">
        <v>1500</v>
      </c>
      <c r="I10" s="13">
        <v>1500</v>
      </c>
      <c r="J10" s="13">
        <v>1605</v>
      </c>
      <c r="K10" s="14">
        <v>1605</v>
      </c>
      <c r="L10" s="13">
        <v>1605</v>
      </c>
      <c r="M10" s="14">
        <v>1605</v>
      </c>
      <c r="N10" s="13">
        <v>1605</v>
      </c>
      <c r="O10" s="14">
        <v>1605</v>
      </c>
      <c r="P10" s="13">
        <v>1605</v>
      </c>
      <c r="Q10" s="14">
        <v>1605</v>
      </c>
      <c r="R10" s="13">
        <v>802.5</v>
      </c>
      <c r="S10" s="14">
        <v>1800</v>
      </c>
      <c r="T10" s="14"/>
      <c r="U10" s="14"/>
    </row>
    <row r="11" spans="1:22" x14ac:dyDescent="0.25">
      <c r="A11" s="708">
        <v>5115</v>
      </c>
      <c r="B11" s="60" t="s">
        <v>742</v>
      </c>
      <c r="C11" s="115">
        <v>1000</v>
      </c>
      <c r="D11" s="13">
        <v>1500</v>
      </c>
      <c r="E11" s="13">
        <v>1500</v>
      </c>
      <c r="F11" s="13">
        <f>1500-125</f>
        <v>1375</v>
      </c>
      <c r="G11" s="13">
        <v>1500</v>
      </c>
      <c r="H11" s="13">
        <v>1500</v>
      </c>
      <c r="I11" s="13">
        <v>1500</v>
      </c>
      <c r="J11" s="13">
        <v>1203.75</v>
      </c>
      <c r="K11" s="14">
        <v>1605</v>
      </c>
      <c r="L11" s="13">
        <v>1337.5</v>
      </c>
      <c r="M11" s="14">
        <v>1605</v>
      </c>
      <c r="N11" s="13">
        <v>1511.25</v>
      </c>
      <c r="O11" s="14">
        <v>1605</v>
      </c>
      <c r="P11" s="13">
        <v>1436.69</v>
      </c>
      <c r="Q11" s="14">
        <v>1605</v>
      </c>
      <c r="R11" s="13">
        <v>802.5</v>
      </c>
      <c r="S11" s="14">
        <v>1800</v>
      </c>
      <c r="T11" s="14"/>
      <c r="U11" s="14"/>
    </row>
    <row r="12" spans="1:22" x14ac:dyDescent="0.25">
      <c r="A12" s="708">
        <v>5124</v>
      </c>
      <c r="B12" s="60" t="s">
        <v>818</v>
      </c>
      <c r="C12" s="210">
        <v>3759.75</v>
      </c>
      <c r="D12" s="35"/>
      <c r="E12" s="35">
        <v>10668.63</v>
      </c>
      <c r="F12" s="35">
        <v>6926.31</v>
      </c>
      <c r="G12" s="35"/>
      <c r="H12" s="35"/>
      <c r="I12" s="35"/>
      <c r="J12" s="35"/>
      <c r="K12" s="36"/>
      <c r="L12" s="35">
        <v>1443.96</v>
      </c>
      <c r="M12" s="36"/>
      <c r="N12" s="35"/>
      <c r="O12" s="36"/>
      <c r="P12" s="35"/>
      <c r="Q12" s="36"/>
      <c r="R12" s="35"/>
      <c r="S12" s="36"/>
      <c r="T12" s="36"/>
      <c r="U12" s="36"/>
    </row>
    <row r="13" spans="1:22" ht="13.8" thickBot="1" x14ac:dyDescent="0.3">
      <c r="A13" s="708">
        <v>5144</v>
      </c>
      <c r="B13" s="60" t="s">
        <v>27</v>
      </c>
      <c r="C13" s="210">
        <v>150</v>
      </c>
      <c r="D13" s="35"/>
      <c r="E13" s="35"/>
      <c r="F13" s="15">
        <v>150</v>
      </c>
      <c r="G13" s="15">
        <v>500</v>
      </c>
      <c r="H13" s="15">
        <v>800</v>
      </c>
      <c r="I13" s="13">
        <v>800</v>
      </c>
      <c r="J13" s="13">
        <v>800</v>
      </c>
      <c r="K13" s="14">
        <v>1400</v>
      </c>
      <c r="L13" s="13">
        <v>1100</v>
      </c>
      <c r="M13" s="14">
        <v>1100</v>
      </c>
      <c r="N13" s="13">
        <v>300</v>
      </c>
      <c r="O13" s="14">
        <v>300</v>
      </c>
      <c r="P13" s="13">
        <v>300</v>
      </c>
      <c r="Q13" s="14">
        <v>300</v>
      </c>
      <c r="R13" s="13">
        <v>300</v>
      </c>
      <c r="S13" s="14">
        <f>+V52</f>
        <v>300</v>
      </c>
      <c r="T13" s="14"/>
      <c r="U13" s="14"/>
    </row>
    <row r="14" spans="1:22" x14ac:dyDescent="0.25">
      <c r="A14" s="708">
        <v>5193</v>
      </c>
      <c r="B14" s="60" t="s">
        <v>819</v>
      </c>
      <c r="C14" s="210">
        <v>3000</v>
      </c>
      <c r="D14" s="35"/>
      <c r="E14" s="35"/>
      <c r="F14" s="28"/>
      <c r="G14" s="28"/>
      <c r="H14" s="28"/>
      <c r="I14" s="28"/>
      <c r="J14" s="28"/>
      <c r="K14" s="29"/>
      <c r="L14" s="28">
        <v>2066.4899999999998</v>
      </c>
      <c r="M14" s="29"/>
      <c r="N14" s="28"/>
      <c r="O14" s="29"/>
      <c r="P14" s="28"/>
      <c r="Q14" s="29"/>
      <c r="R14" s="28"/>
      <c r="S14" s="29"/>
      <c r="T14" s="29"/>
      <c r="U14" s="29"/>
    </row>
    <row r="15" spans="1:22" ht="13.8" thickBot="1" x14ac:dyDescent="0.3">
      <c r="A15" s="708">
        <v>5194</v>
      </c>
      <c r="B15" s="60" t="s">
        <v>820</v>
      </c>
      <c r="C15" s="116">
        <v>2500</v>
      </c>
      <c r="D15" s="15"/>
      <c r="E15" s="15"/>
      <c r="F15" s="15"/>
      <c r="G15" s="15"/>
      <c r="H15" s="15"/>
      <c r="I15" s="15"/>
      <c r="J15" s="15"/>
      <c r="K15" s="16"/>
      <c r="L15" s="15">
        <v>2282.5</v>
      </c>
      <c r="M15" s="16"/>
      <c r="N15" s="15"/>
      <c r="O15" s="16"/>
      <c r="P15" s="15"/>
      <c r="Q15" s="16"/>
      <c r="R15" s="15"/>
      <c r="S15" s="16"/>
      <c r="T15" s="16"/>
      <c r="U15" s="16"/>
    </row>
    <row r="16" spans="1:22" x14ac:dyDescent="0.25">
      <c r="A16" s="708"/>
      <c r="B16" s="61" t="s">
        <v>718</v>
      </c>
      <c r="C16" s="117">
        <f t="shared" ref="C16:H16" si="0">SUM(C8:C15)</f>
        <v>118067.39</v>
      </c>
      <c r="D16" s="18">
        <f t="shared" si="0"/>
        <v>122093.25</v>
      </c>
      <c r="E16" s="18">
        <f t="shared" si="0"/>
        <v>124982.37000000001</v>
      </c>
      <c r="F16" s="18">
        <f t="shared" si="0"/>
        <v>131230.44</v>
      </c>
      <c r="G16" s="18">
        <f t="shared" si="0"/>
        <v>135150.20000000001</v>
      </c>
      <c r="H16" s="18">
        <f t="shared" si="0"/>
        <v>140393.79999999999</v>
      </c>
      <c r="I16" s="18">
        <f>SUM(I8:I13)</f>
        <v>146005.20000000001</v>
      </c>
      <c r="J16" s="18">
        <f>SUM(J8:J13)</f>
        <v>151250.16</v>
      </c>
      <c r="K16" s="19">
        <f>SUM(K8:K13)</f>
        <v>156997</v>
      </c>
      <c r="L16" s="18">
        <f>SUM(L8:L15)</f>
        <v>138774.37999999998</v>
      </c>
      <c r="M16" s="19">
        <f t="shared" ref="M16" si="1">SUM(M8:M13)</f>
        <v>123110</v>
      </c>
      <c r="N16" s="18">
        <f>SUM(N8:N15)</f>
        <v>107995.31</v>
      </c>
      <c r="O16" s="19">
        <f t="shared" ref="O16:P16" si="2">SUM(O8:O13)</f>
        <v>120558</v>
      </c>
      <c r="P16" s="18">
        <f t="shared" si="2"/>
        <v>120384.69</v>
      </c>
      <c r="Q16" s="19">
        <f>SUM(Q8:Q13)</f>
        <v>124371</v>
      </c>
      <c r="R16" s="18">
        <f>SUM(R8:R15)</f>
        <v>60044.82</v>
      </c>
      <c r="S16" s="19">
        <f>SUM(S8:S13)</f>
        <v>129179</v>
      </c>
      <c r="T16" s="19"/>
      <c r="U16" s="19"/>
    </row>
    <row r="17" spans="1:21" x14ac:dyDescent="0.25">
      <c r="A17" s="708"/>
      <c r="B17" s="60"/>
      <c r="C17" s="115"/>
      <c r="D17" s="13"/>
      <c r="E17" s="13"/>
      <c r="F17" s="13"/>
      <c r="G17" s="13"/>
      <c r="H17" s="13"/>
      <c r="I17" s="13"/>
      <c r="J17" s="13"/>
      <c r="K17" s="14"/>
      <c r="L17" s="13"/>
      <c r="M17" s="14"/>
      <c r="N17" s="13"/>
      <c r="O17" s="14"/>
      <c r="P17" s="13"/>
      <c r="Q17" s="14"/>
      <c r="R17" s="13"/>
      <c r="S17" s="14"/>
      <c r="T17" s="14"/>
      <c r="U17" s="14"/>
    </row>
    <row r="18" spans="1:21" x14ac:dyDescent="0.25">
      <c r="A18" s="708">
        <v>5248</v>
      </c>
      <c r="B18" s="60" t="s">
        <v>787</v>
      </c>
      <c r="C18" s="115"/>
      <c r="D18" s="13">
        <v>180.98</v>
      </c>
      <c r="E18" s="13">
        <v>152.24</v>
      </c>
      <c r="F18" s="13">
        <v>300</v>
      </c>
      <c r="G18" s="13"/>
      <c r="H18" s="13"/>
      <c r="I18" s="127">
        <v>0</v>
      </c>
      <c r="J18" s="127"/>
      <c r="K18" s="14">
        <v>600</v>
      </c>
      <c r="L18" s="127">
        <v>1734.75</v>
      </c>
      <c r="M18" s="14">
        <v>500</v>
      </c>
      <c r="N18" s="127"/>
      <c r="O18" s="14">
        <v>800</v>
      </c>
      <c r="P18" s="13"/>
      <c r="Q18" s="14">
        <v>1000</v>
      </c>
      <c r="R18" s="13"/>
      <c r="S18" s="14"/>
      <c r="T18" s="14"/>
      <c r="U18" s="14"/>
    </row>
    <row r="19" spans="1:21" x14ac:dyDescent="0.25">
      <c r="A19" s="708">
        <v>5302</v>
      </c>
      <c r="B19" s="12" t="s">
        <v>94</v>
      </c>
      <c r="C19" s="13">
        <v>391</v>
      </c>
      <c r="D19" s="13">
        <v>1202.5</v>
      </c>
      <c r="E19" s="13">
        <v>630</v>
      </c>
      <c r="F19" s="13"/>
      <c r="G19" s="13">
        <v>5159.54</v>
      </c>
      <c r="H19" s="13">
        <v>9350.2000000000007</v>
      </c>
      <c r="I19" s="127">
        <v>130</v>
      </c>
      <c r="J19" s="127">
        <v>4457.2</v>
      </c>
      <c r="K19" s="14">
        <v>10500</v>
      </c>
      <c r="L19" s="127">
        <v>2130</v>
      </c>
      <c r="M19" s="14">
        <v>10500</v>
      </c>
      <c r="N19" s="127">
        <v>6191.59</v>
      </c>
      <c r="O19" s="14">
        <v>10500</v>
      </c>
      <c r="P19" s="13">
        <v>25583.82</v>
      </c>
      <c r="Q19" s="14">
        <v>10500</v>
      </c>
      <c r="R19" s="13">
        <v>260</v>
      </c>
      <c r="S19" s="14">
        <v>10500</v>
      </c>
      <c r="T19" s="14"/>
      <c r="U19" s="14"/>
    </row>
    <row r="20" spans="1:21" x14ac:dyDescent="0.25">
      <c r="A20" s="708">
        <v>5305</v>
      </c>
      <c r="B20" s="12" t="s">
        <v>779</v>
      </c>
      <c r="C20" s="13"/>
      <c r="D20" s="13">
        <v>0</v>
      </c>
      <c r="E20" s="13">
        <v>178.01</v>
      </c>
      <c r="F20" s="13">
        <v>354.12</v>
      </c>
      <c r="G20" s="13">
        <v>211.78</v>
      </c>
      <c r="H20" s="13">
        <v>200.08</v>
      </c>
      <c r="I20" s="127">
        <v>181.46</v>
      </c>
      <c r="J20" s="127">
        <v>221.2</v>
      </c>
      <c r="K20" s="14">
        <v>350</v>
      </c>
      <c r="L20" s="127">
        <v>118.01</v>
      </c>
      <c r="M20" s="14">
        <v>300</v>
      </c>
      <c r="N20" s="127"/>
      <c r="O20" s="14">
        <v>300</v>
      </c>
      <c r="P20" s="13">
        <v>145.69</v>
      </c>
      <c r="Q20" s="14">
        <v>300</v>
      </c>
      <c r="R20" s="13"/>
      <c r="S20" s="14">
        <v>300</v>
      </c>
      <c r="T20" s="14"/>
      <c r="U20" s="14"/>
    </row>
    <row r="21" spans="1:21" x14ac:dyDescent="0.25">
      <c r="A21" s="708">
        <v>5306</v>
      </c>
      <c r="B21" s="12" t="s">
        <v>821</v>
      </c>
      <c r="C21" s="13">
        <f>2000+4725</f>
        <v>6725</v>
      </c>
      <c r="D21" s="13">
        <f>2000+4955</f>
        <v>6955</v>
      </c>
      <c r="E21" s="13">
        <f>2000+4955</f>
        <v>6955</v>
      </c>
      <c r="F21" s="13">
        <v>4955</v>
      </c>
      <c r="G21" s="13">
        <v>7200</v>
      </c>
      <c r="H21" s="13">
        <v>7460</v>
      </c>
      <c r="I21" s="127">
        <v>7760</v>
      </c>
      <c r="J21" s="127">
        <v>8060</v>
      </c>
      <c r="K21" s="14">
        <v>8050</v>
      </c>
      <c r="L21" s="127">
        <v>8360</v>
      </c>
      <c r="M21" s="14">
        <v>8600</v>
      </c>
      <c r="N21" s="127">
        <v>9260</v>
      </c>
      <c r="O21" s="14">
        <v>9160</v>
      </c>
      <c r="P21" s="13">
        <v>8660</v>
      </c>
      <c r="Q21" s="14">
        <v>9500</v>
      </c>
      <c r="R21" s="13">
        <v>8660</v>
      </c>
      <c r="S21" s="14">
        <v>9000</v>
      </c>
      <c r="T21" s="14"/>
      <c r="U21" s="14"/>
    </row>
    <row r="22" spans="1:21" x14ac:dyDescent="0.25">
      <c r="A22" s="708">
        <v>5307</v>
      </c>
      <c r="B22" s="12" t="s">
        <v>822</v>
      </c>
      <c r="C22" s="13"/>
      <c r="D22" s="13"/>
      <c r="E22" s="13"/>
      <c r="F22" s="13">
        <v>1808</v>
      </c>
      <c r="G22" s="13">
        <v>1808</v>
      </c>
      <c r="H22" s="13">
        <v>1808</v>
      </c>
      <c r="I22" s="127">
        <v>1888</v>
      </c>
      <c r="J22" s="127">
        <v>600</v>
      </c>
      <c r="K22" s="14">
        <v>1900</v>
      </c>
      <c r="L22" s="127">
        <v>600</v>
      </c>
      <c r="M22" s="14">
        <v>1900</v>
      </c>
      <c r="N22" s="127"/>
      <c r="O22" s="14">
        <v>1900</v>
      </c>
      <c r="P22" s="13">
        <v>600</v>
      </c>
      <c r="Q22" s="14">
        <v>600</v>
      </c>
      <c r="R22" s="13">
        <v>600</v>
      </c>
      <c r="S22" s="14">
        <v>600</v>
      </c>
      <c r="T22" s="14"/>
      <c r="U22" s="14"/>
    </row>
    <row r="23" spans="1:21" x14ac:dyDescent="0.25">
      <c r="A23" s="708">
        <v>5308</v>
      </c>
      <c r="B23" s="12" t="s">
        <v>823</v>
      </c>
      <c r="C23" s="13">
        <f>2000+4900</f>
        <v>6900</v>
      </c>
      <c r="D23" s="13">
        <v>6900</v>
      </c>
      <c r="E23" s="13">
        <v>6900</v>
      </c>
      <c r="F23" s="13">
        <f>4900+2000</f>
        <v>6900</v>
      </c>
      <c r="G23" s="13">
        <v>6090</v>
      </c>
      <c r="H23" s="13">
        <v>4900</v>
      </c>
      <c r="I23" s="127">
        <v>4900</v>
      </c>
      <c r="J23" s="127">
        <v>4960.93</v>
      </c>
      <c r="K23" s="14">
        <v>5500</v>
      </c>
      <c r="L23" s="127">
        <v>5245</v>
      </c>
      <c r="M23" s="14">
        <v>5800</v>
      </c>
      <c r="N23" s="127">
        <v>5745</v>
      </c>
      <c r="O23" s="14">
        <v>5800</v>
      </c>
      <c r="P23" s="13">
        <v>11728.6</v>
      </c>
      <c r="Q23" s="14">
        <v>6000</v>
      </c>
      <c r="R23" s="13">
        <v>6461.64</v>
      </c>
      <c r="S23" s="14">
        <v>6500</v>
      </c>
      <c r="T23" s="14"/>
      <c r="U23" s="14"/>
    </row>
    <row r="24" spans="1:21" x14ac:dyDescent="0.25">
      <c r="A24" s="708">
        <v>5311</v>
      </c>
      <c r="B24" s="12" t="s">
        <v>824</v>
      </c>
      <c r="C24" s="13">
        <v>86</v>
      </c>
      <c r="D24" s="13">
        <v>94</v>
      </c>
      <c r="E24" s="13">
        <v>17</v>
      </c>
      <c r="F24" s="13">
        <v>9</v>
      </c>
      <c r="G24" s="13">
        <v>83</v>
      </c>
      <c r="H24" s="13">
        <v>14</v>
      </c>
      <c r="I24" s="127">
        <v>7</v>
      </c>
      <c r="J24" s="127">
        <v>19</v>
      </c>
      <c r="K24" s="14">
        <v>150</v>
      </c>
      <c r="L24" s="127">
        <v>10</v>
      </c>
      <c r="M24" s="14">
        <v>100</v>
      </c>
      <c r="N24" s="127">
        <v>13</v>
      </c>
      <c r="O24" s="14">
        <v>100</v>
      </c>
      <c r="P24" s="13">
        <v>13</v>
      </c>
      <c r="Q24" s="14">
        <v>50</v>
      </c>
      <c r="R24" s="13"/>
      <c r="S24" s="14">
        <v>50</v>
      </c>
      <c r="T24" s="14"/>
      <c r="U24" s="14"/>
    </row>
    <row r="25" spans="1:21" x14ac:dyDescent="0.25">
      <c r="A25" s="708">
        <v>5314</v>
      </c>
      <c r="B25" s="12" t="s">
        <v>749</v>
      </c>
      <c r="C25" s="13">
        <v>2071</v>
      </c>
      <c r="D25" s="13">
        <v>1328.75</v>
      </c>
      <c r="E25" s="13">
        <v>724.97</v>
      </c>
      <c r="F25" s="13">
        <v>754.1</v>
      </c>
      <c r="G25" s="13">
        <v>1927.05</v>
      </c>
      <c r="H25" s="13">
        <v>1198.5999999999999</v>
      </c>
      <c r="I25" s="127">
        <v>1610.75</v>
      </c>
      <c r="J25" s="127">
        <v>5707.25</v>
      </c>
      <c r="K25" s="14">
        <v>2200</v>
      </c>
      <c r="L25" s="127">
        <v>729</v>
      </c>
      <c r="M25" s="14">
        <v>2200</v>
      </c>
      <c r="N25" s="127">
        <v>795</v>
      </c>
      <c r="O25" s="14">
        <v>3500</v>
      </c>
      <c r="P25" s="13">
        <v>2649</v>
      </c>
      <c r="Q25" s="14">
        <v>3000</v>
      </c>
      <c r="R25" s="13">
        <v>1222.67</v>
      </c>
      <c r="S25" s="14">
        <v>3000</v>
      </c>
      <c r="T25" s="14"/>
      <c r="U25" s="14"/>
    </row>
    <row r="26" spans="1:21" x14ac:dyDescent="0.25">
      <c r="A26" s="708">
        <v>5315</v>
      </c>
      <c r="B26" s="12" t="s">
        <v>825</v>
      </c>
      <c r="C26" s="13">
        <v>2356.9</v>
      </c>
      <c r="D26" s="13"/>
      <c r="E26" s="13"/>
      <c r="F26" s="13"/>
      <c r="G26" s="13"/>
      <c r="H26" s="13"/>
      <c r="I26" s="127"/>
      <c r="J26" s="127"/>
      <c r="K26" s="14"/>
      <c r="L26" s="127">
        <v>900</v>
      </c>
      <c r="M26" s="14">
        <v>15776</v>
      </c>
      <c r="N26" s="127">
        <v>2000</v>
      </c>
      <c r="O26" s="14">
        <v>15800</v>
      </c>
      <c r="P26" s="13">
        <v>10145.31</v>
      </c>
      <c r="Q26" s="14">
        <v>15000</v>
      </c>
      <c r="R26" s="13">
        <v>3800</v>
      </c>
      <c r="S26" s="14">
        <v>10000</v>
      </c>
      <c r="T26" s="14"/>
      <c r="U26" s="14"/>
    </row>
    <row r="27" spans="1:21" hidden="1" x14ac:dyDescent="0.25">
      <c r="A27" s="708">
        <v>5341</v>
      </c>
      <c r="B27" s="12" t="s">
        <v>751</v>
      </c>
      <c r="C27" s="13">
        <v>537.27</v>
      </c>
      <c r="D27" s="13">
        <v>473.76</v>
      </c>
      <c r="E27" s="13">
        <v>473.24</v>
      </c>
      <c r="F27" s="13">
        <v>503.56</v>
      </c>
      <c r="G27" s="13">
        <v>569.35</v>
      </c>
      <c r="H27" s="13"/>
      <c r="I27" s="127"/>
      <c r="J27" s="127"/>
      <c r="K27" s="14"/>
      <c r="L27" s="127"/>
      <c r="M27" s="14"/>
      <c r="N27" s="127"/>
      <c r="O27" s="14"/>
      <c r="P27" s="13"/>
      <c r="Q27" s="14"/>
      <c r="R27" s="13"/>
      <c r="S27" s="14"/>
      <c r="T27" s="14"/>
      <c r="U27" s="14"/>
    </row>
    <row r="28" spans="1:21" x14ac:dyDescent="0.25">
      <c r="A28" s="708">
        <v>5316</v>
      </c>
      <c r="B28" s="12" t="s">
        <v>826</v>
      </c>
      <c r="C28" s="13"/>
      <c r="D28" s="13"/>
      <c r="E28" s="13"/>
      <c r="F28" s="13"/>
      <c r="G28" s="13"/>
      <c r="H28" s="13"/>
      <c r="I28" s="127"/>
      <c r="J28" s="127"/>
      <c r="K28" s="14"/>
      <c r="L28" s="127"/>
      <c r="M28" s="14"/>
      <c r="N28" s="127"/>
      <c r="O28" s="14">
        <v>11130</v>
      </c>
      <c r="P28" s="13">
        <v>11130</v>
      </c>
      <c r="Q28" s="14">
        <v>11130</v>
      </c>
      <c r="R28" s="13">
        <v>11130</v>
      </c>
      <c r="S28" s="14">
        <v>11130</v>
      </c>
      <c r="T28" s="14"/>
      <c r="U28" s="14"/>
    </row>
    <row r="29" spans="1:21" x14ac:dyDescent="0.25">
      <c r="A29" s="708">
        <v>5344</v>
      </c>
      <c r="B29" s="12" t="s">
        <v>722</v>
      </c>
      <c r="C29" s="13">
        <v>759.81</v>
      </c>
      <c r="D29" s="13">
        <v>509.12</v>
      </c>
      <c r="E29" s="13">
        <v>515.99</v>
      </c>
      <c r="F29" s="13">
        <v>760.05</v>
      </c>
      <c r="G29" s="13">
        <v>606.5</v>
      </c>
      <c r="H29" s="13">
        <v>958.18</v>
      </c>
      <c r="I29" s="127">
        <v>840.86</v>
      </c>
      <c r="J29" s="127">
        <v>846.45</v>
      </c>
      <c r="K29" s="14">
        <v>900</v>
      </c>
      <c r="L29" s="127">
        <v>828.98</v>
      </c>
      <c r="M29" s="14">
        <v>900</v>
      </c>
      <c r="N29" s="127">
        <v>779.97</v>
      </c>
      <c r="O29" s="14">
        <v>900</v>
      </c>
      <c r="P29" s="13">
        <v>730.64</v>
      </c>
      <c r="Q29" s="14">
        <v>900</v>
      </c>
      <c r="R29" s="13">
        <v>339.35</v>
      </c>
      <c r="S29" s="14">
        <v>1000</v>
      </c>
      <c r="T29" s="14"/>
      <c r="U29" s="14"/>
    </row>
    <row r="30" spans="1:21" x14ac:dyDescent="0.25">
      <c r="A30" s="708">
        <v>5345</v>
      </c>
      <c r="B30" s="12" t="s">
        <v>752</v>
      </c>
      <c r="C30" s="18">
        <v>178.85</v>
      </c>
      <c r="D30" s="18"/>
      <c r="E30" s="18">
        <v>6257.19</v>
      </c>
      <c r="F30" s="18">
        <v>59.14</v>
      </c>
      <c r="G30" s="18">
        <v>109.09</v>
      </c>
      <c r="H30" s="18">
        <v>93.64</v>
      </c>
      <c r="I30" s="111">
        <v>231.47</v>
      </c>
      <c r="J30" s="111">
        <v>101.56</v>
      </c>
      <c r="K30" s="19">
        <v>150</v>
      </c>
      <c r="L30" s="111">
        <v>0</v>
      </c>
      <c r="M30" s="19">
        <v>400</v>
      </c>
      <c r="N30" s="111">
        <v>459</v>
      </c>
      <c r="O30" s="19">
        <v>400</v>
      </c>
      <c r="P30" s="18"/>
      <c r="Q30" s="19">
        <v>400</v>
      </c>
      <c r="R30" s="18"/>
      <c r="S30" s="19"/>
      <c r="T30" s="19"/>
      <c r="U30" s="19"/>
    </row>
    <row r="31" spans="1:21" x14ac:dyDescent="0.25">
      <c r="A31" s="708">
        <v>5350</v>
      </c>
      <c r="B31" s="12" t="s">
        <v>2044</v>
      </c>
      <c r="C31" s="18"/>
      <c r="D31" s="18"/>
      <c r="E31" s="18"/>
      <c r="F31" s="18"/>
      <c r="G31" s="18"/>
      <c r="H31" s="18"/>
      <c r="I31" s="111"/>
      <c r="J31" s="111">
        <v>1500</v>
      </c>
      <c r="K31" s="19">
        <v>1500</v>
      </c>
      <c r="L31" s="111">
        <v>1500</v>
      </c>
      <c r="M31" s="19">
        <v>1500</v>
      </c>
      <c r="N31" s="111">
        <v>1500</v>
      </c>
      <c r="O31" s="19">
        <v>1500</v>
      </c>
      <c r="P31" s="18">
        <v>1500</v>
      </c>
      <c r="Q31" s="19">
        <v>1500</v>
      </c>
      <c r="R31" s="18"/>
      <c r="S31" s="961"/>
      <c r="T31" s="19"/>
      <c r="U31" s="19"/>
    </row>
    <row r="32" spans="1:21" x14ac:dyDescent="0.25">
      <c r="A32" s="708">
        <v>5380</v>
      </c>
      <c r="B32" s="12" t="s">
        <v>827</v>
      </c>
      <c r="C32" s="13"/>
      <c r="D32" s="13">
        <v>906.15</v>
      </c>
      <c r="E32" s="13">
        <v>1125.5</v>
      </c>
      <c r="F32" s="13">
        <v>2127.7199999999998</v>
      </c>
      <c r="G32" s="13">
        <v>349.2</v>
      </c>
      <c r="H32" s="13">
        <v>278.37</v>
      </c>
      <c r="I32" s="127">
        <v>3875.16</v>
      </c>
      <c r="J32" s="127">
        <v>3525.78</v>
      </c>
      <c r="K32" s="14">
        <v>2800</v>
      </c>
      <c r="L32" s="127">
        <v>3279.33</v>
      </c>
      <c r="M32" s="14">
        <v>4500</v>
      </c>
      <c r="N32" s="127">
        <v>8140</v>
      </c>
      <c r="O32" s="14">
        <v>4500</v>
      </c>
      <c r="P32" s="13">
        <v>2800</v>
      </c>
      <c r="Q32" s="14">
        <v>3000</v>
      </c>
      <c r="R32" s="13">
        <v>1565</v>
      </c>
      <c r="S32" s="14">
        <v>2500</v>
      </c>
      <c r="T32" s="14"/>
      <c r="U32" s="14"/>
    </row>
    <row r="33" spans="1:23" x14ac:dyDescent="0.25">
      <c r="A33" s="708">
        <v>5420</v>
      </c>
      <c r="B33" s="12" t="s">
        <v>753</v>
      </c>
      <c r="C33" s="18">
        <v>1160.76</v>
      </c>
      <c r="D33" s="18">
        <v>1173.71</v>
      </c>
      <c r="E33" s="18">
        <v>1294.46</v>
      </c>
      <c r="F33" s="18">
        <v>2323.9499999999998</v>
      </c>
      <c r="G33" s="18">
        <v>1624.24</v>
      </c>
      <c r="H33" s="18">
        <v>1639.75</v>
      </c>
      <c r="I33" s="111">
        <v>1112.48</v>
      </c>
      <c r="J33" s="111">
        <v>1660.68</v>
      </c>
      <c r="K33" s="19">
        <v>1000</v>
      </c>
      <c r="L33" s="111">
        <v>3372.86</v>
      </c>
      <c r="M33" s="19">
        <v>1000</v>
      </c>
      <c r="N33" s="111">
        <v>2215.87</v>
      </c>
      <c r="O33" s="19">
        <v>1000</v>
      </c>
      <c r="P33" s="18">
        <v>1377.5</v>
      </c>
      <c r="Q33" s="19">
        <v>1500</v>
      </c>
      <c r="R33" s="18">
        <v>320.70999999999998</v>
      </c>
      <c r="S33" s="19">
        <v>1500</v>
      </c>
      <c r="T33" s="19"/>
      <c r="U33" s="19"/>
    </row>
    <row r="34" spans="1:23" x14ac:dyDescent="0.25">
      <c r="A34" s="708">
        <v>5581</v>
      </c>
      <c r="B34" s="12" t="s">
        <v>755</v>
      </c>
      <c r="C34" s="13">
        <v>591.6</v>
      </c>
      <c r="D34" s="13">
        <v>721</v>
      </c>
      <c r="E34" s="13">
        <v>771</v>
      </c>
      <c r="F34" s="13">
        <v>817</v>
      </c>
      <c r="G34" s="13">
        <v>846.4</v>
      </c>
      <c r="H34" s="13">
        <v>851.4</v>
      </c>
      <c r="I34" s="127">
        <v>232.8</v>
      </c>
      <c r="J34" s="127">
        <v>418.69</v>
      </c>
      <c r="K34" s="14">
        <v>500</v>
      </c>
      <c r="L34" s="127">
        <v>69.83</v>
      </c>
      <c r="M34" s="14">
        <v>250</v>
      </c>
      <c r="N34" s="127">
        <v>90</v>
      </c>
      <c r="O34" s="14">
        <v>150</v>
      </c>
      <c r="P34" s="13">
        <v>40</v>
      </c>
      <c r="Q34" s="14">
        <v>100</v>
      </c>
      <c r="R34" s="13"/>
      <c r="S34" s="14">
        <v>100</v>
      </c>
      <c r="T34" s="14"/>
      <c r="U34" s="14"/>
    </row>
    <row r="35" spans="1:23" x14ac:dyDescent="0.25">
      <c r="A35" s="708">
        <v>5710</v>
      </c>
      <c r="B35" s="12" t="s">
        <v>758</v>
      </c>
      <c r="C35" s="18">
        <v>1600.96</v>
      </c>
      <c r="D35" s="18">
        <v>2086.83</v>
      </c>
      <c r="E35" s="18">
        <v>455.03</v>
      </c>
      <c r="F35" s="18">
        <v>1983.21</v>
      </c>
      <c r="G35" s="18">
        <v>1308.01</v>
      </c>
      <c r="H35" s="18">
        <v>3384.6</v>
      </c>
      <c r="I35" s="111">
        <v>3463.65</v>
      </c>
      <c r="J35" s="111">
        <v>1094.54</v>
      </c>
      <c r="K35" s="19">
        <v>1900</v>
      </c>
      <c r="L35" s="111">
        <v>1141.5999999999999</v>
      </c>
      <c r="M35" s="19">
        <v>2000</v>
      </c>
      <c r="N35" s="111">
        <v>1840.24</v>
      </c>
      <c r="O35" s="19">
        <v>2200</v>
      </c>
      <c r="P35" s="18">
        <v>1646.97</v>
      </c>
      <c r="Q35" s="19">
        <v>500</v>
      </c>
      <c r="R35" s="18">
        <v>1071.74</v>
      </c>
      <c r="S35" s="19">
        <v>250</v>
      </c>
      <c r="T35" s="19"/>
      <c r="U35" s="19"/>
    </row>
    <row r="36" spans="1:23" ht="13.8" thickBot="1" x14ac:dyDescent="0.3">
      <c r="A36" s="708">
        <v>5730</v>
      </c>
      <c r="B36" s="12" t="s">
        <v>759</v>
      </c>
      <c r="C36" s="15">
        <v>225</v>
      </c>
      <c r="D36" s="15">
        <v>360</v>
      </c>
      <c r="E36" s="15">
        <v>325</v>
      </c>
      <c r="F36" s="15">
        <v>425</v>
      </c>
      <c r="G36" s="15">
        <v>360</v>
      </c>
      <c r="H36" s="15">
        <v>275</v>
      </c>
      <c r="I36" s="252">
        <v>460</v>
      </c>
      <c r="J36" s="252">
        <v>505</v>
      </c>
      <c r="K36" s="16">
        <v>425</v>
      </c>
      <c r="L36" s="252">
        <v>455.59</v>
      </c>
      <c r="M36" s="16">
        <v>425</v>
      </c>
      <c r="N36" s="252">
        <v>430</v>
      </c>
      <c r="O36" s="16">
        <v>425</v>
      </c>
      <c r="P36" s="15">
        <v>470</v>
      </c>
      <c r="Q36" s="16">
        <v>450</v>
      </c>
      <c r="R36" s="15">
        <v>460</v>
      </c>
      <c r="S36" s="16">
        <v>450</v>
      </c>
      <c r="T36" s="16"/>
      <c r="U36" s="16"/>
    </row>
    <row r="37" spans="1:23" x14ac:dyDescent="0.25">
      <c r="A37" s="708"/>
      <c r="B37" s="17" t="s">
        <v>728</v>
      </c>
      <c r="C37" s="18">
        <f t="shared" ref="C37:U37" si="3">SUM(C18:C36)</f>
        <v>23584.149999999998</v>
      </c>
      <c r="D37" s="18">
        <f t="shared" si="3"/>
        <v>22891.799999999996</v>
      </c>
      <c r="E37" s="18">
        <f t="shared" si="3"/>
        <v>26774.629999999997</v>
      </c>
      <c r="F37" s="18">
        <f t="shared" si="3"/>
        <v>24079.85</v>
      </c>
      <c r="G37" s="18">
        <f t="shared" si="3"/>
        <v>28252.16</v>
      </c>
      <c r="H37" s="18">
        <f t="shared" si="3"/>
        <v>32411.819999999996</v>
      </c>
      <c r="I37" s="18">
        <f t="shared" si="3"/>
        <v>26693.63</v>
      </c>
      <c r="J37" s="18">
        <f t="shared" si="3"/>
        <v>33678.28</v>
      </c>
      <c r="K37" s="19">
        <f t="shared" si="3"/>
        <v>38425</v>
      </c>
      <c r="L37" s="18">
        <f t="shared" ref="L37:O37" si="4">SUM(L18:L36)</f>
        <v>30474.95</v>
      </c>
      <c r="M37" s="19">
        <f t="shared" si="4"/>
        <v>56651</v>
      </c>
      <c r="N37" s="18">
        <f t="shared" ref="N37" si="5">SUM(N18:N36)</f>
        <v>39459.67</v>
      </c>
      <c r="O37" s="19">
        <f t="shared" si="4"/>
        <v>70065</v>
      </c>
      <c r="P37" s="18">
        <f t="shared" ref="P37" si="6">SUM(P18:P36)</f>
        <v>79220.529999999984</v>
      </c>
      <c r="Q37" s="19">
        <f t="shared" ref="Q37" si="7">SUM(Q18:Q36)</f>
        <v>65430</v>
      </c>
      <c r="R37" s="18">
        <f t="shared" si="3"/>
        <v>35891.109999999993</v>
      </c>
      <c r="S37" s="19">
        <f t="shared" si="3"/>
        <v>56880</v>
      </c>
      <c r="T37" s="19"/>
      <c r="U37" s="19">
        <f t="shared" si="3"/>
        <v>0</v>
      </c>
    </row>
    <row r="38" spans="1:23" x14ac:dyDescent="0.25">
      <c r="A38" s="708"/>
      <c r="B38" s="17"/>
      <c r="C38" s="18"/>
      <c r="D38" s="18"/>
      <c r="E38" s="18"/>
      <c r="F38" s="18"/>
      <c r="G38" s="18"/>
      <c r="H38" s="18"/>
      <c r="I38" s="18"/>
      <c r="J38" s="18"/>
      <c r="K38" s="19"/>
      <c r="L38" s="18"/>
      <c r="M38" s="19"/>
      <c r="N38" s="18"/>
      <c r="O38" s="19"/>
      <c r="P38" s="18"/>
      <c r="Q38" s="19"/>
      <c r="R38" s="18"/>
      <c r="S38" s="19"/>
      <c r="T38" s="19"/>
      <c r="U38" s="19"/>
    </row>
    <row r="39" spans="1:23" ht="13.8" hidden="1" thickBot="1" x14ac:dyDescent="0.3">
      <c r="A39" s="708">
        <v>5800</v>
      </c>
      <c r="B39" s="12" t="s">
        <v>828</v>
      </c>
      <c r="C39" s="15"/>
      <c r="D39" s="15"/>
      <c r="E39" s="15"/>
      <c r="F39" s="15">
        <v>3860</v>
      </c>
      <c r="G39" s="15"/>
      <c r="H39" s="15"/>
      <c r="I39" s="15"/>
      <c r="J39" s="15"/>
      <c r="K39" s="16"/>
      <c r="L39" s="15"/>
      <c r="M39" s="16"/>
      <c r="N39" s="15"/>
      <c r="O39" s="16"/>
      <c r="P39" s="15"/>
      <c r="Q39" s="16"/>
      <c r="R39" s="15"/>
      <c r="S39" s="16"/>
      <c r="T39" s="16"/>
      <c r="U39" s="16"/>
    </row>
    <row r="40" spans="1:23" hidden="1" x14ac:dyDescent="0.25">
      <c r="A40" s="708"/>
      <c r="B40" s="17" t="s">
        <v>829</v>
      </c>
      <c r="C40" s="19">
        <f t="shared" ref="C40:S40" si="8">+C39</f>
        <v>0</v>
      </c>
      <c r="D40" s="19">
        <f t="shared" si="8"/>
        <v>0</v>
      </c>
      <c r="E40" s="19">
        <f t="shared" si="8"/>
        <v>0</v>
      </c>
      <c r="F40" s="18">
        <f>+F39</f>
        <v>3860</v>
      </c>
      <c r="G40" s="18">
        <f>+G39</f>
        <v>0</v>
      </c>
      <c r="H40" s="18">
        <f>+H39</f>
        <v>0</v>
      </c>
      <c r="I40" s="18">
        <f t="shared" si="8"/>
        <v>0</v>
      </c>
      <c r="J40" s="18">
        <f t="shared" ref="J40" si="9">+J39</f>
        <v>0</v>
      </c>
      <c r="K40" s="19">
        <f t="shared" ref="K40:O40" si="10">+K39</f>
        <v>0</v>
      </c>
      <c r="L40" s="18">
        <f t="shared" si="10"/>
        <v>0</v>
      </c>
      <c r="M40" s="19">
        <f t="shared" si="10"/>
        <v>0</v>
      </c>
      <c r="N40" s="18">
        <f t="shared" ref="N40" si="11">+N39</f>
        <v>0</v>
      </c>
      <c r="O40" s="19">
        <f t="shared" si="10"/>
        <v>0</v>
      </c>
      <c r="P40" s="18">
        <f t="shared" ref="P40" si="12">+P39</f>
        <v>0</v>
      </c>
      <c r="Q40" s="19">
        <f t="shared" ref="Q40" si="13">+Q39</f>
        <v>0</v>
      </c>
      <c r="R40" s="19">
        <f t="shared" si="8"/>
        <v>0</v>
      </c>
      <c r="S40" s="19">
        <f t="shared" si="8"/>
        <v>0</v>
      </c>
      <c r="T40" s="19"/>
      <c r="U40" s="19">
        <f>+U39</f>
        <v>0</v>
      </c>
    </row>
    <row r="41" spans="1:23" hidden="1" x14ac:dyDescent="0.25">
      <c r="A41" s="708"/>
      <c r="B41" s="12"/>
      <c r="C41" s="13"/>
      <c r="D41" s="13"/>
      <c r="E41" s="13"/>
      <c r="F41" s="13"/>
      <c r="G41" s="13"/>
      <c r="H41" s="13"/>
      <c r="I41" s="13"/>
      <c r="J41" s="13"/>
      <c r="K41" s="14"/>
      <c r="L41" s="13"/>
      <c r="M41" s="14"/>
      <c r="N41" s="13"/>
      <c r="O41" s="14"/>
      <c r="P41" s="13"/>
      <c r="Q41" s="14"/>
      <c r="R41" s="13"/>
      <c r="S41" s="14"/>
      <c r="T41" s="14"/>
      <c r="U41" s="14"/>
    </row>
    <row r="42" spans="1:23" ht="13.8" thickBot="1" x14ac:dyDescent="0.3">
      <c r="A42" s="709"/>
      <c r="B42" s="20" t="s">
        <v>830</v>
      </c>
      <c r="C42" s="21">
        <f>+C16+C37+C40</f>
        <v>141651.54</v>
      </c>
      <c r="D42" s="21">
        <f>+D16+D37+D40</f>
        <v>144985.04999999999</v>
      </c>
      <c r="E42" s="21">
        <f>+E16+E37+E40</f>
        <v>151757</v>
      </c>
      <c r="F42" s="21">
        <f>+F40+F37+F16</f>
        <v>159170.29</v>
      </c>
      <c r="G42" s="21">
        <f>+G40+G37+G16</f>
        <v>163402.36000000002</v>
      </c>
      <c r="H42" s="21">
        <f>+H40+H37+H16</f>
        <v>172805.62</v>
      </c>
      <c r="I42" s="21">
        <f>+I37+I16+I40</f>
        <v>172698.83000000002</v>
      </c>
      <c r="J42" s="21">
        <f>+J37+J16+J40</f>
        <v>184928.44</v>
      </c>
      <c r="K42" s="39">
        <f>+K37+K16+K40</f>
        <v>195422</v>
      </c>
      <c r="L42" s="21">
        <f t="shared" ref="L42:O42" si="14">+L37+L16+L40</f>
        <v>169249.33</v>
      </c>
      <c r="M42" s="39">
        <f t="shared" si="14"/>
        <v>179761</v>
      </c>
      <c r="N42" s="21">
        <f t="shared" ref="N42" si="15">+N37+N16+N40</f>
        <v>147454.97999999998</v>
      </c>
      <c r="O42" s="39">
        <f t="shared" si="14"/>
        <v>190623</v>
      </c>
      <c r="P42" s="21">
        <f t="shared" ref="P42" si="16">+P37+P16+P40</f>
        <v>199605.21999999997</v>
      </c>
      <c r="Q42" s="39">
        <f>+Q37+Q16+Q40</f>
        <v>189801</v>
      </c>
      <c r="R42" s="21">
        <f>+R37+R16+R40</f>
        <v>95935.93</v>
      </c>
      <c r="S42" s="39">
        <f>+S37+S16+S40</f>
        <v>186059</v>
      </c>
      <c r="T42" s="39">
        <f>+S42</f>
        <v>186059</v>
      </c>
      <c r="U42" s="39">
        <f>+S42</f>
        <v>186059</v>
      </c>
    </row>
    <row r="43" spans="1:23" ht="13.8" thickTop="1" x14ac:dyDescent="0.25">
      <c r="A43" s="703"/>
      <c r="B43" s="74"/>
      <c r="C43" s="24"/>
      <c r="D43" s="24"/>
      <c r="E43" s="24"/>
      <c r="F43" s="24"/>
      <c r="G43" s="24"/>
      <c r="H43" s="24"/>
      <c r="I43" s="24"/>
      <c r="J43" s="24"/>
      <c r="K43" s="188"/>
      <c r="L43" s="188"/>
      <c r="M43" s="188"/>
      <c r="N43" s="188"/>
      <c r="O43" s="188"/>
      <c r="P43" s="188"/>
      <c r="Q43" s="188"/>
      <c r="R43" s="181" t="s">
        <v>732</v>
      </c>
      <c r="S43" s="1001">
        <f>+S42-Q42</f>
        <v>-3742</v>
      </c>
      <c r="T43" s="1002">
        <f>ROUND((+S43/Q42),4)</f>
        <v>-1.9699999999999999E-2</v>
      </c>
      <c r="U43" s="188"/>
    </row>
    <row r="44" spans="1:23" x14ac:dyDescent="0.25">
      <c r="A44" s="703"/>
      <c r="B44" s="4"/>
      <c r="C44" s="23"/>
      <c r="D44" s="23"/>
      <c r="E44" s="23"/>
      <c r="F44" s="23"/>
      <c r="G44" s="23"/>
      <c r="H44" s="23"/>
      <c r="I44" s="23"/>
      <c r="J44" s="23"/>
      <c r="K44" s="23"/>
      <c r="L44" s="23"/>
      <c r="M44" s="23"/>
      <c r="N44" s="23"/>
      <c r="O44" s="23"/>
      <c r="P44" s="23"/>
      <c r="Q44" s="23"/>
      <c r="R44" s="25"/>
      <c r="S44" s="23"/>
      <c r="T44" s="23"/>
      <c r="U44" s="73"/>
      <c r="V44" s="23"/>
      <c r="W44" s="25"/>
    </row>
    <row r="45" spans="1:23" ht="13.8" thickBot="1" x14ac:dyDescent="0.3">
      <c r="A45" s="703" t="s">
        <v>793</v>
      </c>
      <c r="B45" s="4"/>
      <c r="D45" s="194"/>
      <c r="E45" s="194"/>
      <c r="F45" s="194"/>
      <c r="G45" s="194"/>
      <c r="H45" s="194"/>
      <c r="I45" s="194"/>
      <c r="J45" s="194"/>
      <c r="K45" s="194"/>
      <c r="L45" s="194"/>
      <c r="M45" s="194"/>
      <c r="N45" s="194"/>
      <c r="O45" s="194"/>
      <c r="P45" s="194"/>
      <c r="Q45" s="194"/>
      <c r="S45" s="97"/>
      <c r="T45" s="97"/>
    </row>
    <row r="46" spans="1:23" ht="13.8" thickTop="1" x14ac:dyDescent="0.25">
      <c r="A46" s="710" t="s">
        <v>760</v>
      </c>
      <c r="B46" s="98"/>
      <c r="D46" s="194"/>
      <c r="E46" s="194"/>
      <c r="F46" s="194"/>
      <c r="G46" s="194"/>
      <c r="H46" s="194"/>
      <c r="I46" s="194"/>
      <c r="J46" s="194"/>
      <c r="K46" s="194"/>
      <c r="L46" s="194"/>
      <c r="O46" s="130" t="s">
        <v>761</v>
      </c>
      <c r="P46" s="137" t="s">
        <v>762</v>
      </c>
      <c r="Q46" s="149"/>
      <c r="R46" s="139" t="s">
        <v>763</v>
      </c>
      <c r="S46"/>
      <c r="T46"/>
      <c r="U46" s="187" t="s">
        <v>764</v>
      </c>
      <c r="V46"/>
    </row>
    <row r="47" spans="1:23" ht="13.8" thickBot="1" x14ac:dyDescent="0.3">
      <c r="A47" s="711" t="s">
        <v>765</v>
      </c>
      <c r="B47" s="100" t="s">
        <v>766</v>
      </c>
      <c r="D47" s="194"/>
      <c r="E47" s="194"/>
      <c r="F47" s="194"/>
      <c r="G47" s="194"/>
      <c r="H47" s="194"/>
      <c r="I47" s="194"/>
      <c r="J47" s="194"/>
      <c r="K47" s="194"/>
      <c r="L47" s="194"/>
      <c r="O47" s="269">
        <v>45474</v>
      </c>
      <c r="P47" s="140" t="s">
        <v>767</v>
      </c>
      <c r="Q47" s="141" t="s">
        <v>831</v>
      </c>
      <c r="R47" s="141" t="s">
        <v>769</v>
      </c>
      <c r="S47" s="106" t="s">
        <v>770</v>
      </c>
      <c r="T47" s="106"/>
      <c r="U47" s="106" t="s">
        <v>1345</v>
      </c>
      <c r="V47" s="106" t="s">
        <v>771</v>
      </c>
    </row>
    <row r="48" spans="1:23" ht="13.8" thickTop="1" x14ac:dyDescent="0.25">
      <c r="A48" s="132">
        <v>42233</v>
      </c>
      <c r="B48" s="101" t="s">
        <v>832</v>
      </c>
      <c r="D48" s="194"/>
      <c r="E48" s="194"/>
      <c r="F48" s="194"/>
      <c r="G48" s="194"/>
      <c r="H48" s="194"/>
      <c r="I48" s="194"/>
      <c r="J48" s="194"/>
      <c r="K48" s="194"/>
      <c r="L48" s="194"/>
      <c r="O48" s="19" t="s">
        <v>797</v>
      </c>
      <c r="P48" s="18"/>
      <c r="Q48" s="18"/>
      <c r="R48" s="136">
        <f>+'NAGE &amp; Non-Union Wages'!L10</f>
        <v>82394</v>
      </c>
      <c r="S48" s="152">
        <v>42233</v>
      </c>
      <c r="T48" s="152"/>
      <c r="U48" s="712">
        <v>9</v>
      </c>
      <c r="V48" s="1">
        <v>300</v>
      </c>
    </row>
    <row r="49" spans="1:23" x14ac:dyDescent="0.25">
      <c r="A49" s="133">
        <v>44466</v>
      </c>
      <c r="B49" s="60" t="s">
        <v>833</v>
      </c>
      <c r="D49" s="194"/>
      <c r="E49" s="194"/>
      <c r="F49" s="194"/>
      <c r="G49" s="194"/>
      <c r="H49" s="194"/>
      <c r="I49" s="194"/>
      <c r="J49" s="194"/>
      <c r="K49" s="194"/>
      <c r="L49" s="194"/>
      <c r="O49" s="14" t="s">
        <v>2110</v>
      </c>
      <c r="P49" s="147">
        <f>+'NAGE &amp; Non-Union Wages'!H5</f>
        <v>22.37</v>
      </c>
      <c r="Q49" s="18">
        <v>1828.5</v>
      </c>
      <c r="R49" s="136">
        <f>ROUND((+P49*Q49),2)</f>
        <v>40903.550000000003</v>
      </c>
      <c r="S49" s="152">
        <f>+A49</f>
        <v>44466</v>
      </c>
      <c r="T49" s="152"/>
      <c r="U49" s="712">
        <v>3</v>
      </c>
      <c r="V49" s="148">
        <v>0</v>
      </c>
    </row>
    <row r="50" spans="1:23" x14ac:dyDescent="0.25">
      <c r="A50" s="133"/>
      <c r="B50" s="60"/>
      <c r="D50" s="194"/>
      <c r="E50" s="194"/>
      <c r="F50" s="194"/>
      <c r="G50" s="194"/>
      <c r="H50" s="194"/>
      <c r="I50" s="194"/>
      <c r="J50" s="194"/>
      <c r="K50" s="194"/>
      <c r="L50" s="194"/>
      <c r="O50" s="13"/>
      <c r="P50" s="147"/>
      <c r="Q50" s="18"/>
      <c r="R50" s="136"/>
      <c r="S50" s="152"/>
      <c r="T50" s="152"/>
      <c r="U50"/>
      <c r="V50" s="148"/>
    </row>
    <row r="51" spans="1:23" x14ac:dyDescent="0.25">
      <c r="A51" s="70"/>
      <c r="B51" s="69"/>
      <c r="D51" s="194"/>
      <c r="E51" s="194"/>
      <c r="F51" s="194"/>
      <c r="G51" s="194"/>
      <c r="H51" s="194"/>
      <c r="I51" s="194"/>
      <c r="J51" s="194"/>
      <c r="K51" s="194"/>
      <c r="L51" s="194"/>
      <c r="O51" s="71"/>
      <c r="P51" s="69"/>
      <c r="Q51" s="69"/>
      <c r="R51" s="147">
        <f>SUM(R48:R50)</f>
        <v>123297.55</v>
      </c>
      <c r="S51"/>
      <c r="T51"/>
      <c r="U51"/>
      <c r="V51"/>
    </row>
    <row r="52" spans="1:23" x14ac:dyDescent="0.25">
      <c r="A52" s="703"/>
      <c r="B52" s="4"/>
      <c r="C52" s="23"/>
      <c r="D52" s="23"/>
      <c r="E52" s="23"/>
      <c r="F52" s="194"/>
      <c r="G52" s="194"/>
      <c r="H52" s="194"/>
      <c r="I52" s="23"/>
      <c r="J52" s="23"/>
      <c r="K52" s="23"/>
      <c r="L52" s="23"/>
      <c r="M52" s="23"/>
      <c r="N52" s="23"/>
      <c r="O52" s="23"/>
      <c r="P52" s="23"/>
      <c r="Q52" s="23"/>
      <c r="R52" s="25"/>
      <c r="S52"/>
      <c r="T52"/>
      <c r="U52" t="s">
        <v>190</v>
      </c>
      <c r="V52">
        <f>SUM(V48:V51)</f>
        <v>300</v>
      </c>
    </row>
    <row r="53" spans="1:23" x14ac:dyDescent="0.25">
      <c r="A53" s="703"/>
      <c r="B53" s="4"/>
      <c r="C53" s="97"/>
      <c r="D53" s="97"/>
      <c r="E53" s="97"/>
      <c r="F53" s="194"/>
      <c r="G53" s="194"/>
      <c r="H53" s="194"/>
      <c r="I53" s="97"/>
      <c r="J53" s="23"/>
      <c r="K53" s="23"/>
      <c r="L53" s="23"/>
      <c r="M53" s="23"/>
      <c r="N53" s="23"/>
      <c r="O53" s="23"/>
      <c r="P53" s="23"/>
      <c r="Q53" s="23"/>
      <c r="R53" s="25"/>
      <c r="S53" s="23"/>
      <c r="T53" s="23"/>
      <c r="U53" s="23"/>
      <c r="V53" s="23"/>
      <c r="W53" s="25"/>
    </row>
    <row r="54" spans="1:23" ht="14.4" thickBot="1" x14ac:dyDescent="0.3">
      <c r="A54" s="751"/>
      <c r="B54" s="4"/>
      <c r="C54" s="23"/>
      <c r="D54" s="23"/>
      <c r="E54" s="23"/>
      <c r="F54" s="194"/>
      <c r="G54" s="194"/>
      <c r="H54" s="194"/>
      <c r="I54" s="23"/>
      <c r="J54" s="23"/>
      <c r="K54" s="23"/>
      <c r="L54" s="23"/>
      <c r="M54" s="23"/>
      <c r="N54" s="23"/>
      <c r="O54" s="23"/>
      <c r="P54" s="23"/>
      <c r="Q54" s="23"/>
      <c r="R54" s="25"/>
      <c r="S54" s="23"/>
      <c r="T54" s="23"/>
      <c r="U54" s="23"/>
      <c r="V54" s="23"/>
      <c r="W54" s="25"/>
    </row>
    <row r="55" spans="1:23" ht="13.8" thickTop="1" x14ac:dyDescent="0.25">
      <c r="A55" s="718"/>
      <c r="B55" s="349"/>
      <c r="C55" s="350" t="s">
        <v>256</v>
      </c>
      <c r="D55" s="351" t="s">
        <v>256</v>
      </c>
      <c r="E55" s="351" t="s">
        <v>256</v>
      </c>
      <c r="F55" s="194"/>
      <c r="G55" s="194"/>
      <c r="H55" s="194"/>
      <c r="I55" s="194"/>
      <c r="J55" s="194"/>
      <c r="K55" s="194"/>
      <c r="L55" s="194"/>
      <c r="O55" s="352" t="s">
        <v>255</v>
      </c>
      <c r="P55" s="353" t="s">
        <v>716</v>
      </c>
      <c r="Q55" s="354" t="s">
        <v>730</v>
      </c>
      <c r="R55" s="353" t="s">
        <v>731</v>
      </c>
      <c r="S55" s="355"/>
      <c r="T55" s="550"/>
      <c r="U55" s="354"/>
      <c r="V55" s="23"/>
      <c r="W55" s="25"/>
    </row>
    <row r="56" spans="1:23" ht="13.8" thickBot="1" x14ac:dyDescent="0.3">
      <c r="A56" s="719" t="s">
        <v>715</v>
      </c>
      <c r="B56" s="356"/>
      <c r="C56" s="357" t="s">
        <v>243</v>
      </c>
      <c r="D56" s="357" t="s">
        <v>244</v>
      </c>
      <c r="E56" s="358" t="s">
        <v>245</v>
      </c>
      <c r="F56" s="194"/>
      <c r="G56" s="194"/>
      <c r="H56" s="194"/>
      <c r="I56" s="194"/>
      <c r="J56" s="194"/>
      <c r="K56" s="194"/>
      <c r="L56" s="194"/>
      <c r="O56" s="359" t="s">
        <v>469</v>
      </c>
      <c r="P56" s="359" t="s">
        <v>1345</v>
      </c>
      <c r="Q56" s="358" t="s">
        <v>732</v>
      </c>
      <c r="R56" s="360" t="s">
        <v>732</v>
      </c>
      <c r="S56" s="361" t="s">
        <v>733</v>
      </c>
      <c r="T56" s="551"/>
      <c r="U56" s="359"/>
      <c r="V56" s="23"/>
      <c r="W56" s="25"/>
    </row>
    <row r="57" spans="1:23" ht="13.8" thickTop="1" x14ac:dyDescent="0.25">
      <c r="A57" s="726">
        <v>5111</v>
      </c>
      <c r="B57" s="376" t="s">
        <v>738</v>
      </c>
      <c r="C57" s="365">
        <v>105657.64</v>
      </c>
      <c r="D57" s="365">
        <v>117593.25</v>
      </c>
      <c r="E57" s="365">
        <v>109813.74</v>
      </c>
      <c r="F57" s="194"/>
      <c r="G57" s="194"/>
      <c r="H57" s="194"/>
      <c r="I57" s="194"/>
      <c r="J57" s="194"/>
      <c r="K57" s="194"/>
      <c r="L57" s="194"/>
      <c r="O57" s="366">
        <f>+Q8</f>
        <v>119096</v>
      </c>
      <c r="P57" s="392">
        <f t="shared" ref="P57:P62" si="17">+S8</f>
        <v>123299</v>
      </c>
      <c r="Q57" s="368">
        <f t="shared" ref="Q57:Q81" si="18">+P57-O57</f>
        <v>4203</v>
      </c>
      <c r="R57" s="374">
        <f t="shared" ref="R57:R81" si="19">IF(O57+P57&lt;&gt;0,IF(O57&lt;&gt;0,IF(Q57&lt;&gt;0,ROUND((+Q57/O57),4),""),1),"")</f>
        <v>3.5299999999999998E-2</v>
      </c>
      <c r="S57" s="367"/>
      <c r="T57" s="553"/>
      <c r="U57" s="368"/>
      <c r="V57" s="23"/>
      <c r="W57" s="25"/>
    </row>
    <row r="58" spans="1:23" x14ac:dyDescent="0.25">
      <c r="A58" s="724">
        <v>5115</v>
      </c>
      <c r="B58" s="369" t="s">
        <v>817</v>
      </c>
      <c r="C58" s="365">
        <v>1000</v>
      </c>
      <c r="D58" s="365">
        <v>1500</v>
      </c>
      <c r="E58" s="365">
        <v>1500</v>
      </c>
      <c r="F58" s="194"/>
      <c r="G58" s="194"/>
      <c r="H58" s="194"/>
      <c r="I58" s="194"/>
      <c r="J58" s="194"/>
      <c r="K58" s="194"/>
      <c r="L58" s="194"/>
      <c r="O58" s="366">
        <f>+Q9</f>
        <v>1765</v>
      </c>
      <c r="P58" s="392">
        <f t="shared" si="17"/>
        <v>1980</v>
      </c>
      <c r="Q58" s="368">
        <f t="shared" si="18"/>
        <v>215</v>
      </c>
      <c r="R58" s="374">
        <f t="shared" si="19"/>
        <v>0.12180000000000001</v>
      </c>
      <c r="S58" s="367"/>
      <c r="T58" s="553"/>
      <c r="U58" s="368"/>
      <c r="V58" s="23"/>
      <c r="W58" s="25"/>
    </row>
    <row r="59" spans="1:23" x14ac:dyDescent="0.25">
      <c r="A59" s="724">
        <v>5115</v>
      </c>
      <c r="B59" s="369" t="s">
        <v>741</v>
      </c>
      <c r="C59" s="373">
        <v>1000</v>
      </c>
      <c r="D59" s="373">
        <v>1500</v>
      </c>
      <c r="E59" s="373">
        <v>1500</v>
      </c>
      <c r="F59" s="194"/>
      <c r="G59" s="194"/>
      <c r="H59" s="194"/>
      <c r="I59" s="194"/>
      <c r="J59" s="194"/>
      <c r="K59" s="194"/>
      <c r="L59" s="194"/>
      <c r="O59" s="366">
        <f>+Q10</f>
        <v>1605</v>
      </c>
      <c r="P59" s="392">
        <f t="shared" si="17"/>
        <v>1800</v>
      </c>
      <c r="Q59" s="368">
        <f t="shared" si="18"/>
        <v>195</v>
      </c>
      <c r="R59" s="374">
        <f t="shared" si="19"/>
        <v>0.1215</v>
      </c>
      <c r="S59" s="367"/>
      <c r="T59" s="553"/>
      <c r="U59" s="368"/>
      <c r="V59" s="23"/>
      <c r="W59" s="25"/>
    </row>
    <row r="60" spans="1:23" x14ac:dyDescent="0.25">
      <c r="A60" s="724">
        <v>5115</v>
      </c>
      <c r="B60" s="369" t="s">
        <v>742</v>
      </c>
      <c r="C60" s="373">
        <v>1000</v>
      </c>
      <c r="D60" s="373">
        <v>1500</v>
      </c>
      <c r="E60" s="373">
        <v>1500</v>
      </c>
      <c r="F60" s="194"/>
      <c r="G60" s="194"/>
      <c r="H60" s="194"/>
      <c r="I60" s="194"/>
      <c r="J60" s="194"/>
      <c r="K60" s="194"/>
      <c r="L60" s="194"/>
      <c r="O60" s="366">
        <f>+Q11</f>
        <v>1605</v>
      </c>
      <c r="P60" s="392">
        <f t="shared" si="17"/>
        <v>1800</v>
      </c>
      <c r="Q60" s="368">
        <f t="shared" si="18"/>
        <v>195</v>
      </c>
      <c r="R60" s="374">
        <f t="shared" si="19"/>
        <v>0.1215</v>
      </c>
      <c r="S60" s="367"/>
      <c r="T60" s="553"/>
      <c r="U60" s="368"/>
      <c r="V60" s="23"/>
      <c r="W60" s="25"/>
    </row>
    <row r="61" spans="1:23" hidden="1" x14ac:dyDescent="0.25">
      <c r="A61" s="724">
        <v>5124</v>
      </c>
      <c r="B61" s="369" t="s">
        <v>818</v>
      </c>
      <c r="C61" s="375">
        <v>3759.75</v>
      </c>
      <c r="D61" s="375"/>
      <c r="E61" s="375">
        <v>10668.63</v>
      </c>
      <c r="F61" s="194"/>
      <c r="G61" s="194"/>
      <c r="H61" s="194"/>
      <c r="I61" s="194"/>
      <c r="J61" s="194"/>
      <c r="K61" s="194"/>
      <c r="L61" s="194"/>
      <c r="O61" s="366">
        <f>+O12</f>
        <v>0</v>
      </c>
      <c r="P61" s="392">
        <f t="shared" si="17"/>
        <v>0</v>
      </c>
      <c r="Q61" s="368">
        <f t="shared" si="18"/>
        <v>0</v>
      </c>
      <c r="R61" s="374" t="str">
        <f t="shared" si="19"/>
        <v/>
      </c>
      <c r="S61" s="367"/>
      <c r="T61" s="553"/>
      <c r="U61" s="368"/>
      <c r="V61" s="23"/>
      <c r="W61" s="25"/>
    </row>
    <row r="62" spans="1:23" x14ac:dyDescent="0.25">
      <c r="A62" s="724">
        <v>5144</v>
      </c>
      <c r="B62" s="369" t="s">
        <v>27</v>
      </c>
      <c r="C62" s="375">
        <v>150</v>
      </c>
      <c r="D62" s="375"/>
      <c r="E62" s="375"/>
      <c r="F62" s="194"/>
      <c r="G62" s="194"/>
      <c r="H62" s="194"/>
      <c r="I62" s="194"/>
      <c r="J62" s="194"/>
      <c r="K62" s="194"/>
      <c r="L62" s="194"/>
      <c r="O62" s="366">
        <f>+Q13</f>
        <v>300</v>
      </c>
      <c r="P62" s="392">
        <f t="shared" si="17"/>
        <v>300</v>
      </c>
      <c r="Q62" s="368">
        <f t="shared" si="18"/>
        <v>0</v>
      </c>
      <c r="R62" s="374" t="str">
        <f t="shared" si="19"/>
        <v/>
      </c>
      <c r="S62" s="367"/>
      <c r="T62" s="553"/>
      <c r="U62" s="368"/>
      <c r="V62" s="23"/>
      <c r="W62" s="25"/>
    </row>
    <row r="63" spans="1:23" x14ac:dyDescent="0.25">
      <c r="A63" s="724">
        <v>5248</v>
      </c>
      <c r="B63" s="369" t="s">
        <v>787</v>
      </c>
      <c r="C63" s="373"/>
      <c r="D63" s="373">
        <v>180.98</v>
      </c>
      <c r="E63" s="373">
        <v>152.24</v>
      </c>
      <c r="F63" s="194"/>
      <c r="G63" s="194"/>
      <c r="H63" s="194"/>
      <c r="I63" s="194"/>
      <c r="J63" s="194"/>
      <c r="K63" s="194"/>
      <c r="L63" s="194"/>
      <c r="O63" s="372">
        <f t="shared" ref="O63:O71" si="20">+Q18</f>
        <v>1000</v>
      </c>
      <c r="P63" s="392">
        <f t="shared" ref="P63:P81" si="21">+S18</f>
        <v>0</v>
      </c>
      <c r="Q63" s="368">
        <f t="shared" si="18"/>
        <v>-1000</v>
      </c>
      <c r="R63" s="374">
        <f t="shared" si="19"/>
        <v>-1</v>
      </c>
      <c r="S63" s="367" t="s">
        <v>2493</v>
      </c>
      <c r="T63" s="553"/>
      <c r="U63" s="368"/>
      <c r="V63" s="23"/>
      <c r="W63" s="4"/>
    </row>
    <row r="64" spans="1:23" x14ac:dyDescent="0.25">
      <c r="A64" s="724">
        <v>5302</v>
      </c>
      <c r="B64" s="369" t="s">
        <v>94</v>
      </c>
      <c r="C64" s="373">
        <v>391</v>
      </c>
      <c r="D64" s="373">
        <v>1202.5</v>
      </c>
      <c r="E64" s="373">
        <v>630</v>
      </c>
      <c r="F64" s="194"/>
      <c r="G64" s="194"/>
      <c r="H64" s="194"/>
      <c r="I64" s="194"/>
      <c r="J64" s="194"/>
      <c r="K64" s="194"/>
      <c r="L64" s="194"/>
      <c r="O64" s="372">
        <f t="shared" si="20"/>
        <v>10500</v>
      </c>
      <c r="P64" s="392">
        <f t="shared" si="21"/>
        <v>10500</v>
      </c>
      <c r="Q64" s="368">
        <f t="shared" si="18"/>
        <v>0</v>
      </c>
      <c r="R64" s="374" t="str">
        <f t="shared" si="19"/>
        <v/>
      </c>
      <c r="S64" s="367"/>
      <c r="T64" s="553"/>
      <c r="U64" s="368"/>
      <c r="V64" s="23"/>
      <c r="W64" s="4"/>
    </row>
    <row r="65" spans="1:23" x14ac:dyDescent="0.25">
      <c r="A65" s="724">
        <v>5305</v>
      </c>
      <c r="B65" s="369" t="s">
        <v>779</v>
      </c>
      <c r="C65" s="373"/>
      <c r="D65" s="373">
        <v>0</v>
      </c>
      <c r="E65" s="373">
        <v>178.01</v>
      </c>
      <c r="F65" s="194"/>
      <c r="G65" s="194"/>
      <c r="H65" s="194"/>
      <c r="I65" s="194"/>
      <c r="J65" s="194"/>
      <c r="K65" s="194"/>
      <c r="L65" s="194"/>
      <c r="O65" s="372">
        <f t="shared" si="20"/>
        <v>300</v>
      </c>
      <c r="P65" s="392">
        <f t="shared" si="21"/>
        <v>300</v>
      </c>
      <c r="Q65" s="368">
        <f t="shared" si="18"/>
        <v>0</v>
      </c>
      <c r="R65" s="374" t="str">
        <f t="shared" si="19"/>
        <v/>
      </c>
      <c r="S65" s="367"/>
      <c r="T65" s="553"/>
      <c r="U65" s="368"/>
      <c r="V65" s="23"/>
      <c r="W65" s="4"/>
    </row>
    <row r="66" spans="1:23" x14ac:dyDescent="0.25">
      <c r="A66" s="724">
        <v>5306</v>
      </c>
      <c r="B66" s="369" t="s">
        <v>821</v>
      </c>
      <c r="C66" s="373">
        <f>2000+4725</f>
        <v>6725</v>
      </c>
      <c r="D66" s="373">
        <f>2000+4955</f>
        <v>6955</v>
      </c>
      <c r="E66" s="373">
        <f>2000+4955</f>
        <v>6955</v>
      </c>
      <c r="F66" s="194"/>
      <c r="G66" s="194"/>
      <c r="H66" s="194"/>
      <c r="I66" s="194"/>
      <c r="J66" s="194"/>
      <c r="K66" s="194"/>
      <c r="L66" s="194"/>
      <c r="O66" s="372">
        <f t="shared" si="20"/>
        <v>9500</v>
      </c>
      <c r="P66" s="392">
        <f t="shared" si="21"/>
        <v>9000</v>
      </c>
      <c r="Q66" s="368">
        <f t="shared" si="18"/>
        <v>-500</v>
      </c>
      <c r="R66" s="374">
        <f t="shared" si="19"/>
        <v>-5.2600000000000001E-2</v>
      </c>
      <c r="S66" s="367" t="s">
        <v>2494</v>
      </c>
      <c r="T66" s="553"/>
      <c r="U66" s="368"/>
      <c r="V66" s="23"/>
      <c r="W66" s="4"/>
    </row>
    <row r="67" spans="1:23" x14ac:dyDescent="0.25">
      <c r="A67" s="724">
        <v>5307</v>
      </c>
      <c r="B67" s="369" t="s">
        <v>822</v>
      </c>
      <c r="C67" s="373"/>
      <c r="D67" s="373"/>
      <c r="E67" s="373"/>
      <c r="F67" s="194"/>
      <c r="G67" s="194"/>
      <c r="H67" s="194"/>
      <c r="I67" s="194"/>
      <c r="J67" s="194"/>
      <c r="K67" s="194"/>
      <c r="L67" s="194"/>
      <c r="O67" s="372">
        <f t="shared" si="20"/>
        <v>600</v>
      </c>
      <c r="P67" s="392">
        <f t="shared" si="21"/>
        <v>600</v>
      </c>
      <c r="Q67" s="368">
        <f t="shared" si="18"/>
        <v>0</v>
      </c>
      <c r="R67" s="374" t="str">
        <f t="shared" si="19"/>
        <v/>
      </c>
      <c r="S67" s="367"/>
      <c r="T67" s="553"/>
      <c r="U67" s="368"/>
      <c r="V67" s="23"/>
      <c r="W67" s="4"/>
    </row>
    <row r="68" spans="1:23" x14ac:dyDescent="0.25">
      <c r="A68" s="724">
        <v>5308</v>
      </c>
      <c r="B68" s="369" t="s">
        <v>823</v>
      </c>
      <c r="C68" s="373">
        <f>2000+4900</f>
        <v>6900</v>
      </c>
      <c r="D68" s="373">
        <v>6900</v>
      </c>
      <c r="E68" s="373">
        <v>6900</v>
      </c>
      <c r="F68" s="194"/>
      <c r="G68" s="194"/>
      <c r="H68" s="194"/>
      <c r="I68" s="194"/>
      <c r="J68" s="194"/>
      <c r="K68" s="194"/>
      <c r="L68" s="194"/>
      <c r="O68" s="372">
        <f t="shared" si="20"/>
        <v>6000</v>
      </c>
      <c r="P68" s="392">
        <f t="shared" si="21"/>
        <v>6500</v>
      </c>
      <c r="Q68" s="368">
        <f t="shared" si="18"/>
        <v>500</v>
      </c>
      <c r="R68" s="374">
        <f t="shared" si="19"/>
        <v>8.3299999999999999E-2</v>
      </c>
      <c r="S68" s="367" t="s">
        <v>2495</v>
      </c>
      <c r="T68" s="553"/>
      <c r="U68" s="368"/>
      <c r="V68" s="23"/>
      <c r="W68" s="4"/>
    </row>
    <row r="69" spans="1:23" x14ac:dyDescent="0.25">
      <c r="A69" s="724">
        <v>5311</v>
      </c>
      <c r="B69" s="369" t="s">
        <v>824</v>
      </c>
      <c r="C69" s="373">
        <v>86</v>
      </c>
      <c r="D69" s="373">
        <v>94</v>
      </c>
      <c r="E69" s="373">
        <v>17</v>
      </c>
      <c r="F69" s="194"/>
      <c r="G69" s="194"/>
      <c r="H69" s="194"/>
      <c r="I69" s="194"/>
      <c r="J69" s="194"/>
      <c r="K69" s="194"/>
      <c r="L69" s="194"/>
      <c r="O69" s="372">
        <f t="shared" si="20"/>
        <v>50</v>
      </c>
      <c r="P69" s="392">
        <f t="shared" si="21"/>
        <v>50</v>
      </c>
      <c r="Q69" s="368">
        <f t="shared" si="18"/>
        <v>0</v>
      </c>
      <c r="R69" s="374" t="str">
        <f t="shared" si="19"/>
        <v/>
      </c>
      <c r="S69" s="367"/>
      <c r="T69" s="553"/>
      <c r="U69" s="368"/>
      <c r="V69" s="23"/>
      <c r="W69" s="4"/>
    </row>
    <row r="70" spans="1:23" x14ac:dyDescent="0.25">
      <c r="A70" s="724">
        <v>5314</v>
      </c>
      <c r="B70" s="369" t="s">
        <v>749</v>
      </c>
      <c r="C70" s="373">
        <v>2071</v>
      </c>
      <c r="D70" s="373">
        <v>1328.75</v>
      </c>
      <c r="E70" s="373">
        <v>724.97</v>
      </c>
      <c r="F70" s="194"/>
      <c r="G70" s="194"/>
      <c r="H70" s="194"/>
      <c r="I70" s="194"/>
      <c r="J70" s="194"/>
      <c r="K70" s="194"/>
      <c r="L70" s="194"/>
      <c r="O70" s="372">
        <f t="shared" si="20"/>
        <v>3000</v>
      </c>
      <c r="P70" s="392">
        <f t="shared" si="21"/>
        <v>3000</v>
      </c>
      <c r="Q70" s="368">
        <f t="shared" si="18"/>
        <v>0</v>
      </c>
      <c r="R70" s="374" t="str">
        <f t="shared" si="19"/>
        <v/>
      </c>
      <c r="S70" s="367"/>
      <c r="T70" s="553"/>
      <c r="U70" s="368"/>
      <c r="V70" s="23"/>
      <c r="W70" s="4"/>
    </row>
    <row r="71" spans="1:23" x14ac:dyDescent="0.25">
      <c r="A71" s="724">
        <v>5315</v>
      </c>
      <c r="B71" s="369" t="s">
        <v>825</v>
      </c>
      <c r="C71" s="373">
        <v>2356.9</v>
      </c>
      <c r="D71" s="373"/>
      <c r="E71" s="373"/>
      <c r="F71" s="194"/>
      <c r="G71" s="194"/>
      <c r="H71" s="194"/>
      <c r="I71" s="194"/>
      <c r="J71" s="194"/>
      <c r="K71" s="194"/>
      <c r="L71" s="194"/>
      <c r="O71" s="372">
        <f t="shared" si="20"/>
        <v>15000</v>
      </c>
      <c r="P71" s="392">
        <f t="shared" si="21"/>
        <v>10000</v>
      </c>
      <c r="Q71" s="368">
        <f t="shared" si="18"/>
        <v>-5000</v>
      </c>
      <c r="R71" s="374">
        <f t="shared" si="19"/>
        <v>-0.33329999999999999</v>
      </c>
      <c r="S71" s="367" t="s">
        <v>2496</v>
      </c>
      <c r="T71" s="553"/>
      <c r="U71" s="368"/>
      <c r="V71" s="23"/>
      <c r="W71" s="4"/>
    </row>
    <row r="72" spans="1:23" hidden="1" x14ac:dyDescent="0.25">
      <c r="A72" s="724">
        <v>5341</v>
      </c>
      <c r="B72" s="369" t="s">
        <v>751</v>
      </c>
      <c r="C72" s="373">
        <v>537.27</v>
      </c>
      <c r="D72" s="373">
        <v>473.76</v>
      </c>
      <c r="E72" s="373">
        <v>473.24</v>
      </c>
      <c r="F72" s="194"/>
      <c r="G72" s="194"/>
      <c r="H72" s="194"/>
      <c r="I72" s="194"/>
      <c r="J72" s="194"/>
      <c r="K72" s="194"/>
      <c r="L72" s="194"/>
      <c r="O72" s="372">
        <f>+O27</f>
        <v>0</v>
      </c>
      <c r="P72" s="392">
        <f t="shared" si="21"/>
        <v>0</v>
      </c>
      <c r="Q72" s="368">
        <f t="shared" si="18"/>
        <v>0</v>
      </c>
      <c r="R72" s="374" t="str">
        <f t="shared" si="19"/>
        <v/>
      </c>
      <c r="S72" s="367"/>
      <c r="T72" s="553"/>
      <c r="U72" s="368"/>
      <c r="V72" s="23"/>
      <c r="W72" s="4"/>
    </row>
    <row r="73" spans="1:23" x14ac:dyDescent="0.25">
      <c r="A73" s="724">
        <v>5316</v>
      </c>
      <c r="B73" s="369" t="s">
        <v>835</v>
      </c>
      <c r="C73" s="373"/>
      <c r="D73" s="373"/>
      <c r="E73" s="373"/>
      <c r="F73" s="194"/>
      <c r="G73" s="194"/>
      <c r="H73" s="194"/>
      <c r="I73" s="194"/>
      <c r="J73" s="194"/>
      <c r="K73" s="194"/>
      <c r="L73" s="194"/>
      <c r="O73" s="372">
        <f t="shared" ref="O73:O81" si="22">+Q28</f>
        <v>11130</v>
      </c>
      <c r="P73" s="392">
        <f t="shared" si="21"/>
        <v>11130</v>
      </c>
      <c r="Q73" s="368">
        <f t="shared" si="18"/>
        <v>0</v>
      </c>
      <c r="R73" s="374" t="str">
        <f t="shared" si="19"/>
        <v/>
      </c>
      <c r="S73" s="367"/>
      <c r="T73" s="553"/>
      <c r="U73" s="368"/>
      <c r="V73" s="23"/>
      <c r="W73" s="4"/>
    </row>
    <row r="74" spans="1:23" x14ac:dyDescent="0.25">
      <c r="A74" s="724">
        <v>5344</v>
      </c>
      <c r="B74" s="369" t="s">
        <v>722</v>
      </c>
      <c r="C74" s="373">
        <v>759.81</v>
      </c>
      <c r="D74" s="373">
        <v>509.12</v>
      </c>
      <c r="E74" s="373">
        <v>515.99</v>
      </c>
      <c r="F74" s="194"/>
      <c r="G74" s="194"/>
      <c r="H74" s="194"/>
      <c r="I74" s="194"/>
      <c r="J74" s="194"/>
      <c r="K74" s="194"/>
      <c r="L74" s="194"/>
      <c r="O74" s="372">
        <f t="shared" si="22"/>
        <v>900</v>
      </c>
      <c r="P74" s="392">
        <f t="shared" si="21"/>
        <v>1000</v>
      </c>
      <c r="Q74" s="368">
        <f t="shared" si="18"/>
        <v>100</v>
      </c>
      <c r="R74" s="374">
        <f t="shared" si="19"/>
        <v>0.1111</v>
      </c>
      <c r="S74" s="367" t="s">
        <v>2497</v>
      </c>
      <c r="T74" s="553"/>
      <c r="U74" s="368"/>
      <c r="V74" s="23"/>
      <c r="W74" s="4"/>
    </row>
    <row r="75" spans="1:23" x14ac:dyDescent="0.25">
      <c r="A75" s="724">
        <v>5345</v>
      </c>
      <c r="B75" s="369" t="s">
        <v>752</v>
      </c>
      <c r="C75" s="365">
        <v>178.85</v>
      </c>
      <c r="D75" s="365"/>
      <c r="E75" s="365">
        <v>6257.19</v>
      </c>
      <c r="F75" s="194"/>
      <c r="G75" s="194"/>
      <c r="H75" s="194"/>
      <c r="I75" s="194"/>
      <c r="J75" s="194"/>
      <c r="K75" s="194"/>
      <c r="L75" s="194"/>
      <c r="O75" s="372">
        <f t="shared" si="22"/>
        <v>400</v>
      </c>
      <c r="P75" s="392">
        <f t="shared" si="21"/>
        <v>0</v>
      </c>
      <c r="Q75" s="368">
        <f t="shared" si="18"/>
        <v>-400</v>
      </c>
      <c r="R75" s="374">
        <f t="shared" si="19"/>
        <v>-1</v>
      </c>
      <c r="S75" s="367" t="s">
        <v>2498</v>
      </c>
      <c r="T75" s="553"/>
      <c r="U75" s="368"/>
      <c r="V75" s="23"/>
      <c r="W75" s="4"/>
    </row>
    <row r="76" spans="1:23" x14ac:dyDescent="0.25">
      <c r="A76" s="724">
        <v>5350</v>
      </c>
      <c r="B76" s="369" t="s">
        <v>836</v>
      </c>
      <c r="C76" s="365"/>
      <c r="D76" s="365"/>
      <c r="E76" s="365"/>
      <c r="F76" s="194"/>
      <c r="G76" s="194"/>
      <c r="H76" s="194"/>
      <c r="I76" s="194"/>
      <c r="J76" s="194"/>
      <c r="K76" s="194"/>
      <c r="L76" s="194"/>
      <c r="O76" s="372">
        <f t="shared" si="22"/>
        <v>1500</v>
      </c>
      <c r="P76" s="392">
        <f t="shared" si="21"/>
        <v>0</v>
      </c>
      <c r="Q76" s="368">
        <f t="shared" si="18"/>
        <v>-1500</v>
      </c>
      <c r="R76" s="374">
        <f t="shared" si="19"/>
        <v>-1</v>
      </c>
      <c r="S76" s="367" t="s">
        <v>2499</v>
      </c>
      <c r="T76" s="553"/>
      <c r="U76" s="368"/>
      <c r="V76" s="23"/>
      <c r="W76" s="4"/>
    </row>
    <row r="77" spans="1:23" x14ac:dyDescent="0.25">
      <c r="A77" s="724">
        <v>5380</v>
      </c>
      <c r="B77" s="369" t="s">
        <v>827</v>
      </c>
      <c r="C77" s="373"/>
      <c r="D77" s="373">
        <v>906.15</v>
      </c>
      <c r="E77" s="373">
        <v>1125.5</v>
      </c>
      <c r="F77" s="194"/>
      <c r="G77" s="194"/>
      <c r="H77" s="194"/>
      <c r="I77" s="194"/>
      <c r="J77" s="194"/>
      <c r="K77" s="194"/>
      <c r="L77" s="194"/>
      <c r="O77" s="372">
        <f t="shared" si="22"/>
        <v>3000</v>
      </c>
      <c r="P77" s="392">
        <f t="shared" si="21"/>
        <v>2500</v>
      </c>
      <c r="Q77" s="368">
        <f t="shared" si="18"/>
        <v>-500</v>
      </c>
      <c r="R77" s="374">
        <f t="shared" si="19"/>
        <v>-0.16669999999999999</v>
      </c>
      <c r="S77" s="367" t="s">
        <v>2496</v>
      </c>
      <c r="T77" s="553"/>
      <c r="U77" s="368"/>
      <c r="V77" s="23"/>
      <c r="W77" s="4"/>
    </row>
    <row r="78" spans="1:23" x14ac:dyDescent="0.25">
      <c r="A78" s="724">
        <v>5420</v>
      </c>
      <c r="B78" s="369" t="s">
        <v>753</v>
      </c>
      <c r="C78" s="365">
        <v>1160.76</v>
      </c>
      <c r="D78" s="365">
        <v>1173.71</v>
      </c>
      <c r="E78" s="365">
        <v>1294.46</v>
      </c>
      <c r="F78" s="194"/>
      <c r="G78" s="194"/>
      <c r="H78" s="194"/>
      <c r="I78" s="194"/>
      <c r="J78" s="194"/>
      <c r="K78" s="194"/>
      <c r="L78" s="194"/>
      <c r="O78" s="372">
        <f t="shared" si="22"/>
        <v>1500</v>
      </c>
      <c r="P78" s="392">
        <f t="shared" si="21"/>
        <v>1500</v>
      </c>
      <c r="Q78" s="368">
        <f t="shared" si="18"/>
        <v>0</v>
      </c>
      <c r="R78" s="374" t="str">
        <f t="shared" si="19"/>
        <v/>
      </c>
      <c r="S78" s="367"/>
      <c r="T78" s="553"/>
      <c r="U78" s="368"/>
      <c r="V78" s="23"/>
      <c r="W78" s="4"/>
    </row>
    <row r="79" spans="1:23" x14ac:dyDescent="0.25">
      <c r="A79" s="724">
        <v>5581</v>
      </c>
      <c r="B79" s="369" t="s">
        <v>755</v>
      </c>
      <c r="C79" s="373">
        <v>591.6</v>
      </c>
      <c r="D79" s="373">
        <v>721</v>
      </c>
      <c r="E79" s="373">
        <v>771</v>
      </c>
      <c r="F79" s="194"/>
      <c r="G79" s="194"/>
      <c r="H79" s="194"/>
      <c r="I79" s="194"/>
      <c r="J79" s="194"/>
      <c r="K79" s="194"/>
      <c r="L79" s="194"/>
      <c r="O79" s="372">
        <f t="shared" si="22"/>
        <v>100</v>
      </c>
      <c r="P79" s="392">
        <f t="shared" si="21"/>
        <v>100</v>
      </c>
      <c r="Q79" s="368">
        <f t="shared" si="18"/>
        <v>0</v>
      </c>
      <c r="R79" s="374" t="str">
        <f t="shared" si="19"/>
        <v/>
      </c>
      <c r="S79" s="367"/>
      <c r="T79" s="553"/>
      <c r="U79" s="368"/>
      <c r="V79" s="23"/>
      <c r="W79" s="4"/>
    </row>
    <row r="80" spans="1:23" x14ac:dyDescent="0.25">
      <c r="A80" s="724">
        <v>5710</v>
      </c>
      <c r="B80" s="369" t="s">
        <v>758</v>
      </c>
      <c r="C80" s="365">
        <v>1600.96</v>
      </c>
      <c r="D80" s="365">
        <v>2086.83</v>
      </c>
      <c r="E80" s="365">
        <v>455.03</v>
      </c>
      <c r="F80" s="194"/>
      <c r="G80" s="194"/>
      <c r="H80" s="194"/>
      <c r="I80" s="194"/>
      <c r="J80" s="194"/>
      <c r="K80" s="194"/>
      <c r="L80" s="194"/>
      <c r="O80" s="372">
        <f t="shared" si="22"/>
        <v>500</v>
      </c>
      <c r="P80" s="392">
        <f t="shared" si="21"/>
        <v>250</v>
      </c>
      <c r="Q80" s="368">
        <f t="shared" si="18"/>
        <v>-250</v>
      </c>
      <c r="R80" s="374">
        <f t="shared" si="19"/>
        <v>-0.5</v>
      </c>
      <c r="S80" s="367" t="s">
        <v>2500</v>
      </c>
      <c r="T80" s="553"/>
      <c r="U80" s="368"/>
      <c r="V80" s="23"/>
      <c r="W80" s="4"/>
    </row>
    <row r="81" spans="1:23" ht="13.8" thickBot="1" x14ac:dyDescent="0.3">
      <c r="A81" s="724">
        <v>5730</v>
      </c>
      <c r="B81" s="369" t="s">
        <v>759</v>
      </c>
      <c r="C81" s="371">
        <v>225</v>
      </c>
      <c r="D81" s="371">
        <v>360</v>
      </c>
      <c r="E81" s="371">
        <v>325</v>
      </c>
      <c r="F81" s="194"/>
      <c r="G81" s="194"/>
      <c r="H81" s="194"/>
      <c r="I81" s="194"/>
      <c r="J81" s="194"/>
      <c r="K81" s="194"/>
      <c r="L81" s="194"/>
      <c r="O81" s="372">
        <f t="shared" si="22"/>
        <v>450</v>
      </c>
      <c r="P81" s="392">
        <f t="shared" si="21"/>
        <v>450</v>
      </c>
      <c r="Q81" s="368">
        <f t="shared" si="18"/>
        <v>0</v>
      </c>
      <c r="R81" s="374" t="str">
        <f t="shared" si="19"/>
        <v/>
      </c>
      <c r="S81" s="367"/>
      <c r="T81" s="553"/>
      <c r="U81" s="368"/>
      <c r="V81" s="23"/>
      <c r="W81" s="4"/>
    </row>
    <row r="82" spans="1:23" x14ac:dyDescent="0.25">
      <c r="A82" s="703"/>
      <c r="B82" s="4"/>
      <c r="C82" s="23"/>
      <c r="D82" s="23"/>
      <c r="E82" s="23"/>
      <c r="F82" s="23"/>
      <c r="G82" s="23"/>
      <c r="H82" s="194"/>
      <c r="I82" s="194"/>
      <c r="J82" s="194"/>
      <c r="K82" s="194"/>
      <c r="L82" s="194"/>
      <c r="O82" s="23"/>
      <c r="P82" s="23"/>
      <c r="Q82" s="23"/>
      <c r="R82" s="4"/>
      <c r="S82" s="23"/>
      <c r="T82" s="23"/>
      <c r="U82" s="23"/>
      <c r="V82" s="23"/>
      <c r="W82" s="4"/>
    </row>
    <row r="83" spans="1:23" x14ac:dyDescent="0.25">
      <c r="A83" s="703"/>
      <c r="B83" s="4" t="s">
        <v>735</v>
      </c>
      <c r="C83" s="23"/>
      <c r="D83" s="23"/>
      <c r="E83" s="23"/>
      <c r="F83" s="23"/>
      <c r="G83" s="23"/>
      <c r="H83" s="194"/>
      <c r="I83" s="194"/>
      <c r="J83" s="194"/>
      <c r="K83" s="194"/>
      <c r="L83" s="194"/>
      <c r="O83" s="597">
        <f>SUM(O57:O81)</f>
        <v>189801</v>
      </c>
      <c r="P83" s="597">
        <f>SUM(P57:P81)</f>
        <v>186059</v>
      </c>
      <c r="Q83" s="25">
        <f>+P83-O83</f>
        <v>-3742</v>
      </c>
      <c r="R83" s="598">
        <f>IF(O83+P83&lt;&gt;0,IF(O83&lt;&gt;0,IF(Q83&lt;&gt;0,ROUND((+Q83/O83),4),""),1),"")</f>
        <v>-1.9699999999999999E-2</v>
      </c>
      <c r="S83" s="23"/>
      <c r="T83" s="23"/>
      <c r="U83" s="23"/>
      <c r="V83" s="23"/>
      <c r="W83" s="4"/>
    </row>
    <row r="84" spans="1:23" x14ac:dyDescent="0.25">
      <c r="A84" s="703" t="s">
        <v>837</v>
      </c>
      <c r="B84" s="4"/>
      <c r="C84" s="23"/>
      <c r="D84" s="23"/>
      <c r="E84" s="23"/>
      <c r="F84" s="23"/>
      <c r="G84" s="23"/>
      <c r="H84" s="23"/>
      <c r="I84" s="23"/>
      <c r="J84" s="23"/>
      <c r="K84" s="23"/>
      <c r="L84" s="23"/>
      <c r="M84" s="23"/>
      <c r="N84" s="23"/>
      <c r="O84" s="23"/>
      <c r="P84" s="23"/>
      <c r="Q84" s="23"/>
      <c r="R84" s="4"/>
      <c r="S84" s="23"/>
      <c r="T84" s="23"/>
      <c r="U84" s="23"/>
      <c r="V84" s="23"/>
      <c r="W84" s="4"/>
    </row>
    <row r="85" spans="1:23" ht="14.4" x14ac:dyDescent="0.25">
      <c r="A85" s="752" t="s">
        <v>838</v>
      </c>
      <c r="B85" s="4"/>
      <c r="C85" s="23"/>
      <c r="D85" s="23"/>
      <c r="E85" s="23"/>
      <c r="F85" s="23"/>
      <c r="G85" s="23"/>
      <c r="H85" s="23"/>
      <c r="I85" s="23"/>
      <c r="J85" s="23"/>
      <c r="K85" s="23"/>
      <c r="L85" s="23"/>
      <c r="M85" s="23"/>
      <c r="N85" s="23"/>
      <c r="O85" s="23"/>
      <c r="P85" s="23"/>
      <c r="Q85" s="23"/>
      <c r="R85" s="4"/>
      <c r="S85" s="23"/>
      <c r="T85" s="23"/>
      <c r="U85" s="23"/>
      <c r="V85" s="23"/>
      <c r="W85" s="4"/>
    </row>
    <row r="86" spans="1:23" x14ac:dyDescent="0.25">
      <c r="A86" s="703">
        <v>1</v>
      </c>
      <c r="B86" s="4" t="s">
        <v>839</v>
      </c>
      <c r="C86" s="23"/>
      <c r="D86" s="23"/>
      <c r="E86" s="23"/>
      <c r="F86" s="23"/>
      <c r="G86" s="23"/>
      <c r="H86" s="23"/>
      <c r="I86" s="23"/>
      <c r="J86" s="23"/>
      <c r="K86" s="23"/>
      <c r="L86" s="23"/>
      <c r="M86" s="23"/>
      <c r="N86" s="23"/>
      <c r="O86" s="23"/>
      <c r="P86" s="23"/>
      <c r="Q86" s="23"/>
      <c r="R86" s="4"/>
      <c r="S86" s="23"/>
      <c r="T86" s="23"/>
      <c r="U86" s="23"/>
      <c r="V86" s="23"/>
      <c r="W86" s="4"/>
    </row>
    <row r="87" spans="1:23" x14ac:dyDescent="0.25">
      <c r="A87" s="703">
        <v>2</v>
      </c>
      <c r="B87" s="4" t="s">
        <v>840</v>
      </c>
      <c r="C87" s="23"/>
      <c r="D87" s="23"/>
      <c r="E87" s="23"/>
      <c r="F87" s="23"/>
      <c r="G87" s="23"/>
      <c r="H87" s="23"/>
      <c r="I87" s="23"/>
      <c r="J87" s="23"/>
      <c r="K87" s="23"/>
      <c r="L87" s="23"/>
      <c r="M87" s="23"/>
      <c r="N87" s="23"/>
      <c r="O87" s="23"/>
      <c r="P87" s="23"/>
      <c r="Q87" s="23"/>
      <c r="R87" s="4"/>
      <c r="S87" s="23"/>
      <c r="T87" s="23"/>
      <c r="U87" s="23"/>
      <c r="V87" s="23"/>
      <c r="W87" s="4"/>
    </row>
    <row r="88" spans="1:23" x14ac:dyDescent="0.25">
      <c r="A88" s="703"/>
      <c r="B88" s="4" t="s">
        <v>841</v>
      </c>
      <c r="C88" s="23"/>
      <c r="D88" s="23"/>
      <c r="E88" s="23"/>
      <c r="F88" s="23"/>
      <c r="G88" s="23"/>
      <c r="H88" s="23"/>
      <c r="I88" s="23"/>
      <c r="J88" s="23"/>
      <c r="K88" s="23"/>
      <c r="L88" s="23"/>
      <c r="M88" s="23"/>
      <c r="N88" s="23"/>
      <c r="O88" s="23"/>
      <c r="P88" s="23"/>
      <c r="Q88" s="23"/>
      <c r="R88" s="4"/>
      <c r="S88" s="23"/>
      <c r="T88" s="23"/>
      <c r="U88" s="23"/>
      <c r="V88" s="23"/>
      <c r="W88" s="4"/>
    </row>
    <row r="89" spans="1:23" x14ac:dyDescent="0.25">
      <c r="A89" s="703"/>
      <c r="B89" s="4" t="s">
        <v>842</v>
      </c>
      <c r="C89" s="23"/>
      <c r="D89" s="23"/>
      <c r="E89" s="23"/>
      <c r="F89" s="23"/>
      <c r="G89" s="23"/>
      <c r="H89" s="23"/>
      <c r="I89" s="23"/>
      <c r="J89" s="23"/>
      <c r="K89" s="23"/>
      <c r="L89" s="23"/>
      <c r="M89" s="23"/>
      <c r="N89" s="23"/>
      <c r="O89" s="23"/>
      <c r="P89" s="23"/>
      <c r="Q89" s="23"/>
      <c r="R89" s="4"/>
      <c r="S89" s="23"/>
      <c r="T89" s="23"/>
      <c r="U89" s="23"/>
      <c r="V89" s="23"/>
      <c r="W89" s="4"/>
    </row>
    <row r="90" spans="1:23" x14ac:dyDescent="0.25">
      <c r="A90" s="703">
        <v>3</v>
      </c>
      <c r="B90" s="4" t="s">
        <v>843</v>
      </c>
      <c r="C90" s="23"/>
      <c r="D90" s="23"/>
      <c r="E90" s="23"/>
      <c r="F90" s="23"/>
      <c r="G90" s="23"/>
      <c r="H90" s="23"/>
      <c r="I90" s="23"/>
      <c r="J90" s="23"/>
      <c r="K90" s="23"/>
      <c r="L90" s="23"/>
      <c r="M90" s="23"/>
      <c r="N90" s="23"/>
      <c r="O90" s="23"/>
      <c r="P90" s="23"/>
      <c r="Q90" s="23"/>
      <c r="R90" s="4"/>
      <c r="S90" s="23"/>
      <c r="T90" s="23"/>
      <c r="U90" s="23"/>
      <c r="V90" s="23"/>
      <c r="W90" s="4"/>
    </row>
    <row r="91" spans="1:23" x14ac:dyDescent="0.25">
      <c r="A91" s="703">
        <v>4</v>
      </c>
      <c r="B91" s="4" t="s">
        <v>844</v>
      </c>
      <c r="C91" s="23"/>
      <c r="D91" s="23"/>
      <c r="E91" s="23"/>
      <c r="F91" s="23"/>
      <c r="G91" s="23"/>
      <c r="H91" s="23"/>
      <c r="I91" s="23"/>
      <c r="J91" s="23"/>
      <c r="K91" s="23"/>
      <c r="L91" s="23"/>
      <c r="M91" s="23"/>
      <c r="N91" s="23"/>
      <c r="O91" s="23"/>
      <c r="P91" s="23"/>
      <c r="Q91" s="23"/>
      <c r="R91" s="4"/>
      <c r="S91" s="23"/>
      <c r="T91" s="23"/>
      <c r="U91" s="23"/>
      <c r="V91" s="23"/>
      <c r="W91" s="4"/>
    </row>
    <row r="92" spans="1:23" x14ac:dyDescent="0.25">
      <c r="A92" s="703">
        <v>5</v>
      </c>
      <c r="B92" s="4" t="s">
        <v>845</v>
      </c>
      <c r="C92" s="23"/>
      <c r="D92" s="23"/>
      <c r="E92" s="23"/>
      <c r="F92" s="23"/>
      <c r="G92" s="23"/>
      <c r="H92" s="23"/>
      <c r="I92" s="23"/>
      <c r="J92" s="23"/>
      <c r="K92" s="23"/>
      <c r="L92" s="23"/>
      <c r="M92" s="23"/>
      <c r="N92" s="23"/>
      <c r="O92" s="23"/>
      <c r="P92" s="23"/>
      <c r="Q92" s="23"/>
      <c r="R92" s="4"/>
      <c r="S92" s="23"/>
      <c r="T92" s="23"/>
      <c r="U92" s="23"/>
      <c r="V92" s="23"/>
      <c r="W92" s="4"/>
    </row>
    <row r="93" spans="1:23" x14ac:dyDescent="0.25">
      <c r="A93" s="703">
        <v>6</v>
      </c>
      <c r="B93" s="4" t="s">
        <v>846</v>
      </c>
      <c r="C93" s="23"/>
      <c r="D93" s="23"/>
      <c r="E93" s="23"/>
      <c r="F93" s="23"/>
      <c r="G93" s="23"/>
      <c r="H93" s="23"/>
      <c r="I93" s="23"/>
      <c r="J93" s="23"/>
      <c r="K93" s="23"/>
      <c r="L93" s="23"/>
      <c r="M93" s="23"/>
      <c r="N93" s="23"/>
      <c r="O93" s="23"/>
      <c r="P93" s="23"/>
      <c r="Q93" s="23"/>
      <c r="R93" s="4"/>
      <c r="S93" s="23"/>
      <c r="T93" s="23"/>
      <c r="U93" s="23"/>
      <c r="V93" s="23"/>
      <c r="W93" s="4"/>
    </row>
    <row r="94" spans="1:23" x14ac:dyDescent="0.25">
      <c r="A94" s="703">
        <v>7</v>
      </c>
      <c r="B94" s="4" t="s">
        <v>847</v>
      </c>
      <c r="C94" s="23"/>
      <c r="D94" s="23"/>
      <c r="E94" s="23"/>
      <c r="F94" s="23"/>
      <c r="G94" s="23"/>
      <c r="H94" s="23"/>
      <c r="I94" s="23"/>
      <c r="J94" s="23"/>
      <c r="K94" s="23"/>
      <c r="L94" s="23"/>
      <c r="M94" s="23"/>
      <c r="N94" s="23"/>
      <c r="O94" s="23"/>
      <c r="P94" s="23"/>
      <c r="Q94" s="23"/>
      <c r="R94" s="4"/>
      <c r="S94" s="23"/>
      <c r="T94" s="23"/>
      <c r="U94" s="23"/>
      <c r="V94" s="23"/>
      <c r="W94" s="4"/>
    </row>
    <row r="95" spans="1:23" x14ac:dyDescent="0.25">
      <c r="A95" s="703">
        <v>8</v>
      </c>
      <c r="B95" s="4" t="s">
        <v>848</v>
      </c>
      <c r="C95" s="23"/>
      <c r="D95" s="23"/>
      <c r="E95" s="23"/>
      <c r="F95" s="23"/>
      <c r="G95" s="23"/>
      <c r="H95" s="23"/>
      <c r="I95" s="23"/>
      <c r="J95" s="23"/>
      <c r="K95" s="23"/>
      <c r="L95" s="23"/>
      <c r="M95" s="23"/>
      <c r="N95" s="23"/>
      <c r="O95" s="23"/>
      <c r="P95" s="23"/>
      <c r="Q95" s="23"/>
      <c r="R95" s="4"/>
      <c r="S95" s="23"/>
      <c r="T95" s="23"/>
      <c r="U95" s="23"/>
      <c r="V95" s="23"/>
      <c r="W95" s="4"/>
    </row>
    <row r="96" spans="1:23" x14ac:dyDescent="0.25">
      <c r="A96" s="703">
        <v>9</v>
      </c>
      <c r="B96" s="4" t="s">
        <v>849</v>
      </c>
      <c r="C96" s="23"/>
      <c r="D96" s="23"/>
      <c r="E96" s="23"/>
      <c r="F96" s="23"/>
      <c r="G96" s="23"/>
      <c r="H96" s="23"/>
      <c r="I96" s="23"/>
      <c r="J96" s="23"/>
      <c r="K96" s="23"/>
      <c r="L96" s="23"/>
      <c r="M96" s="23"/>
      <c r="N96" s="23"/>
      <c r="O96" s="23"/>
      <c r="P96" s="23"/>
      <c r="Q96" s="23"/>
      <c r="R96" s="4"/>
      <c r="S96" s="23"/>
      <c r="T96" s="23"/>
      <c r="U96" s="23"/>
      <c r="V96" s="23"/>
      <c r="W96" s="4"/>
    </row>
    <row r="97" spans="1:23" x14ac:dyDescent="0.25">
      <c r="A97" s="703">
        <v>10</v>
      </c>
      <c r="B97" s="4" t="s">
        <v>850</v>
      </c>
      <c r="C97" s="23"/>
      <c r="D97" s="23"/>
      <c r="E97" s="23"/>
      <c r="F97" s="23"/>
      <c r="G97" s="23"/>
      <c r="H97" s="23"/>
      <c r="I97" s="23"/>
      <c r="J97" s="23"/>
      <c r="K97" s="23"/>
      <c r="L97" s="23"/>
      <c r="M97" s="23"/>
      <c r="N97" s="23"/>
      <c r="O97" s="23"/>
      <c r="P97" s="23"/>
      <c r="Q97" s="23"/>
      <c r="R97" s="4"/>
      <c r="S97" s="23"/>
      <c r="T97" s="23"/>
      <c r="U97" s="23"/>
      <c r="V97" s="23"/>
      <c r="W97" s="4"/>
    </row>
    <row r="98" spans="1:23" x14ac:dyDescent="0.25">
      <c r="A98" s="703">
        <v>11</v>
      </c>
      <c r="B98" s="4" t="s">
        <v>851</v>
      </c>
      <c r="C98" s="23"/>
      <c r="D98" s="23"/>
      <c r="E98" s="23"/>
      <c r="F98" s="23"/>
      <c r="G98" s="23"/>
      <c r="H98" s="23"/>
      <c r="I98" s="23"/>
      <c r="J98" s="23"/>
      <c r="K98" s="23"/>
      <c r="L98" s="23"/>
      <c r="M98" s="23"/>
      <c r="N98" s="23"/>
      <c r="O98" s="23"/>
      <c r="P98" s="23"/>
      <c r="Q98" s="23"/>
      <c r="R98" s="4"/>
      <c r="S98" s="23"/>
      <c r="T98" s="23"/>
      <c r="U98" s="23"/>
      <c r="V98" s="23"/>
      <c r="W98" s="4"/>
    </row>
    <row r="99" spans="1:23" x14ac:dyDescent="0.25">
      <c r="A99" s="703">
        <v>12</v>
      </c>
      <c r="B99" s="4" t="s">
        <v>852</v>
      </c>
      <c r="C99" s="23"/>
      <c r="D99" s="23"/>
      <c r="E99" s="23"/>
      <c r="F99" s="23"/>
      <c r="G99" s="23"/>
      <c r="H99" s="23"/>
      <c r="I99" s="23"/>
      <c r="J99" s="23"/>
      <c r="K99" s="23"/>
      <c r="L99" s="23"/>
      <c r="M99" s="23"/>
      <c r="N99" s="23"/>
      <c r="O99" s="23"/>
      <c r="P99" s="23"/>
      <c r="Q99" s="23"/>
      <c r="R99" s="4"/>
      <c r="S99" s="23"/>
      <c r="T99" s="23"/>
      <c r="U99" s="23"/>
      <c r="V99" s="23"/>
      <c r="W99" s="4"/>
    </row>
    <row r="100" spans="1:23" x14ac:dyDescent="0.25">
      <c r="A100" s="703">
        <v>13</v>
      </c>
      <c r="B100" s="4" t="s">
        <v>853</v>
      </c>
      <c r="C100" s="23"/>
      <c r="D100" s="23"/>
      <c r="E100" s="23"/>
      <c r="F100" s="23"/>
      <c r="G100" s="23"/>
      <c r="H100" s="23"/>
      <c r="I100" s="23"/>
      <c r="J100" s="23"/>
      <c r="K100" s="23"/>
      <c r="L100" s="23"/>
      <c r="M100" s="23"/>
      <c r="N100" s="23"/>
      <c r="O100" s="23"/>
      <c r="P100" s="23"/>
      <c r="Q100" s="23"/>
      <c r="R100" s="4"/>
      <c r="S100" s="23"/>
      <c r="T100" s="23"/>
      <c r="U100" s="23"/>
      <c r="V100" s="23"/>
      <c r="W100" s="4"/>
    </row>
    <row r="101" spans="1:23" x14ac:dyDescent="0.25">
      <c r="A101" s="703">
        <v>14</v>
      </c>
      <c r="B101" s="4" t="s">
        <v>854</v>
      </c>
      <c r="C101" s="23"/>
      <c r="D101" s="23"/>
      <c r="E101" s="23"/>
      <c r="F101" s="23"/>
      <c r="G101" s="23"/>
      <c r="H101" s="23"/>
      <c r="I101" s="23"/>
      <c r="J101" s="23"/>
      <c r="K101" s="23"/>
      <c r="L101" s="23"/>
      <c r="M101" s="23"/>
      <c r="N101" s="23"/>
      <c r="O101" s="23"/>
      <c r="P101" s="23"/>
      <c r="Q101" s="23"/>
      <c r="R101" s="4"/>
      <c r="S101" s="23"/>
      <c r="T101" s="23"/>
      <c r="U101" s="23"/>
      <c r="V101" s="23"/>
      <c r="W101" s="4"/>
    </row>
    <row r="102" spans="1:23" x14ac:dyDescent="0.25">
      <c r="A102" s="703">
        <v>15</v>
      </c>
      <c r="B102" s="4" t="s">
        <v>855</v>
      </c>
      <c r="C102" s="23"/>
      <c r="D102" s="23"/>
      <c r="E102" s="23"/>
      <c r="F102" s="23"/>
      <c r="G102" s="23"/>
      <c r="H102" s="23"/>
      <c r="I102" s="23"/>
      <c r="J102" s="23"/>
      <c r="K102" s="23"/>
      <c r="L102" s="23"/>
      <c r="M102" s="23"/>
      <c r="N102" s="23"/>
      <c r="O102" s="23"/>
      <c r="P102" s="23"/>
      <c r="Q102" s="23"/>
      <c r="R102" s="4"/>
      <c r="S102" s="23"/>
      <c r="T102" s="23"/>
      <c r="U102" s="23"/>
      <c r="V102" s="23"/>
      <c r="W102" s="4"/>
    </row>
    <row r="103" spans="1:23" x14ac:dyDescent="0.25">
      <c r="A103" s="703"/>
      <c r="B103" s="4"/>
      <c r="C103" s="23"/>
      <c r="D103" s="23"/>
      <c r="E103" s="23"/>
      <c r="F103" s="23"/>
      <c r="G103" s="23"/>
      <c r="H103" s="23"/>
      <c r="I103" s="23"/>
      <c r="J103" s="23"/>
      <c r="K103" s="23"/>
      <c r="L103" s="23"/>
      <c r="M103" s="23"/>
      <c r="N103" s="23"/>
      <c r="O103" s="23"/>
      <c r="P103" s="23"/>
      <c r="Q103" s="23"/>
      <c r="R103" s="4"/>
      <c r="S103" s="23"/>
      <c r="T103" s="23"/>
      <c r="U103" s="23"/>
      <c r="V103" s="23"/>
      <c r="W103" s="4"/>
    </row>
    <row r="104" spans="1:23" x14ac:dyDescent="0.25">
      <c r="A104" s="703"/>
      <c r="B104" s="4"/>
      <c r="C104" s="23"/>
      <c r="D104" s="23"/>
      <c r="E104" s="23"/>
      <c r="F104" s="23"/>
      <c r="G104" s="23"/>
      <c r="H104" s="23"/>
      <c r="I104" s="23"/>
      <c r="J104" s="23"/>
      <c r="K104" s="23"/>
      <c r="L104" s="23"/>
      <c r="M104" s="23"/>
      <c r="N104" s="23"/>
      <c r="O104" s="23"/>
      <c r="P104" s="23"/>
      <c r="Q104" s="23"/>
      <c r="R104" s="4"/>
      <c r="S104" s="23"/>
      <c r="T104" s="23"/>
      <c r="U104" s="23"/>
      <c r="V104" s="23"/>
      <c r="W104" s="4"/>
    </row>
    <row r="105" spans="1:23" x14ac:dyDescent="0.25">
      <c r="A105" s="703"/>
      <c r="B105" s="4"/>
      <c r="C105" s="23"/>
      <c r="D105" s="23"/>
      <c r="E105" s="23"/>
      <c r="F105" s="23"/>
      <c r="G105" s="23"/>
      <c r="H105" s="23"/>
      <c r="I105" s="23"/>
      <c r="J105" s="23"/>
      <c r="K105" s="23"/>
      <c r="L105" s="23"/>
      <c r="M105" s="23"/>
      <c r="N105" s="23"/>
      <c r="O105" s="23"/>
      <c r="P105" s="23"/>
      <c r="Q105" s="23"/>
      <c r="R105" s="4"/>
      <c r="S105" s="23"/>
      <c r="T105" s="23"/>
      <c r="U105" s="23"/>
      <c r="V105" s="23"/>
      <c r="W105" s="4"/>
    </row>
    <row r="106" spans="1:23" x14ac:dyDescent="0.25">
      <c r="A106" s="703"/>
      <c r="B106" s="4"/>
      <c r="C106" s="23"/>
      <c r="D106" s="23"/>
      <c r="E106" s="23"/>
      <c r="F106" s="23"/>
      <c r="G106" s="23"/>
      <c r="H106" s="23"/>
      <c r="I106" s="23"/>
      <c r="J106" s="23"/>
      <c r="K106" s="23"/>
      <c r="L106" s="23"/>
      <c r="M106" s="23"/>
      <c r="N106" s="23"/>
      <c r="O106" s="23"/>
      <c r="P106" s="23"/>
      <c r="Q106" s="23"/>
      <c r="R106" s="4"/>
      <c r="S106" s="23"/>
      <c r="T106" s="23"/>
      <c r="U106" s="23"/>
      <c r="V106" s="23"/>
      <c r="W106" s="4"/>
    </row>
    <row r="107" spans="1:23" x14ac:dyDescent="0.25">
      <c r="A107" s="703"/>
      <c r="B107" s="4"/>
      <c r="C107" s="23"/>
      <c r="D107" s="23"/>
      <c r="E107" s="23"/>
      <c r="F107" s="23"/>
      <c r="G107" s="23"/>
      <c r="H107" s="23"/>
      <c r="I107" s="23"/>
      <c r="J107" s="23"/>
      <c r="K107" s="23"/>
      <c r="L107" s="23"/>
      <c r="M107" s="23"/>
      <c r="N107" s="23"/>
      <c r="O107" s="23"/>
      <c r="P107" s="23"/>
      <c r="Q107" s="23"/>
      <c r="R107" s="4"/>
      <c r="S107" s="23"/>
      <c r="T107" s="23"/>
      <c r="U107" s="23"/>
      <c r="V107" s="23"/>
      <c r="W107" s="4"/>
    </row>
    <row r="108" spans="1:23" x14ac:dyDescent="0.25">
      <c r="A108" s="703"/>
      <c r="B108" s="4"/>
      <c r="C108" s="23"/>
      <c r="D108" s="23"/>
      <c r="E108" s="23"/>
      <c r="F108" s="23"/>
      <c r="G108" s="23"/>
      <c r="H108" s="23"/>
      <c r="I108" s="23"/>
      <c r="J108" s="23"/>
      <c r="K108" s="23"/>
      <c r="L108" s="23"/>
      <c r="M108" s="23"/>
      <c r="N108" s="23"/>
      <c r="O108" s="23"/>
      <c r="P108" s="23"/>
      <c r="Q108" s="23"/>
      <c r="R108" s="4"/>
      <c r="S108" s="23"/>
      <c r="T108" s="23"/>
      <c r="U108" s="23"/>
      <c r="V108" s="23"/>
      <c r="W108" s="4"/>
    </row>
    <row r="109" spans="1:23" x14ac:dyDescent="0.25">
      <c r="A109" s="703"/>
      <c r="B109" s="4"/>
      <c r="C109" s="23"/>
      <c r="D109" s="23"/>
      <c r="E109" s="23"/>
      <c r="F109" s="23"/>
      <c r="G109" s="23"/>
      <c r="H109" s="23"/>
      <c r="I109" s="23"/>
      <c r="J109" s="23"/>
      <c r="K109" s="23"/>
      <c r="L109" s="23"/>
      <c r="M109" s="23"/>
      <c r="N109" s="23"/>
      <c r="O109" s="23"/>
      <c r="P109" s="23"/>
      <c r="Q109" s="23"/>
      <c r="R109" s="4"/>
      <c r="S109" s="23"/>
      <c r="T109" s="23"/>
      <c r="U109" s="23"/>
      <c r="V109" s="23"/>
      <c r="W109" s="4"/>
    </row>
    <row r="110" spans="1:23" x14ac:dyDescent="0.25">
      <c r="A110" s="703"/>
      <c r="B110" s="4"/>
      <c r="C110" s="23"/>
      <c r="D110" s="23"/>
      <c r="E110" s="23"/>
      <c r="F110" s="23"/>
      <c r="G110" s="23"/>
      <c r="H110" s="23"/>
      <c r="I110" s="23"/>
      <c r="J110" s="23"/>
      <c r="K110" s="23"/>
      <c r="L110" s="23"/>
      <c r="M110" s="23"/>
      <c r="N110" s="23"/>
      <c r="O110" s="23"/>
      <c r="P110" s="23"/>
      <c r="Q110" s="23"/>
      <c r="R110" s="4"/>
      <c r="S110" s="23"/>
      <c r="T110" s="23"/>
      <c r="U110" s="23"/>
      <c r="V110" s="23"/>
      <c r="W110" s="4"/>
    </row>
    <row r="111" spans="1:23" x14ac:dyDescent="0.25">
      <c r="A111" s="703"/>
      <c r="B111" s="4"/>
      <c r="C111" s="23"/>
      <c r="D111" s="23"/>
      <c r="E111" s="23"/>
      <c r="F111" s="23"/>
      <c r="G111" s="23"/>
      <c r="H111" s="23"/>
      <c r="I111" s="23"/>
      <c r="J111" s="23"/>
      <c r="K111" s="23"/>
      <c r="L111" s="23"/>
      <c r="M111" s="23"/>
      <c r="N111" s="23"/>
      <c r="O111" s="23"/>
      <c r="P111" s="23"/>
      <c r="Q111" s="23"/>
      <c r="R111" s="4"/>
      <c r="S111" s="23"/>
      <c r="T111" s="23"/>
      <c r="U111" s="23"/>
      <c r="V111" s="23"/>
      <c r="W111" s="4"/>
    </row>
    <row r="112" spans="1:23" x14ac:dyDescent="0.25">
      <c r="A112" s="703"/>
      <c r="B112" s="4"/>
      <c r="C112" s="23"/>
      <c r="D112" s="23"/>
      <c r="E112" s="23"/>
      <c r="F112" s="23"/>
      <c r="G112" s="23"/>
      <c r="H112" s="23"/>
      <c r="I112" s="23"/>
      <c r="J112" s="23"/>
      <c r="K112" s="23"/>
      <c r="L112" s="23"/>
      <c r="M112" s="23"/>
      <c r="N112" s="23"/>
      <c r="O112" s="23"/>
      <c r="P112" s="23"/>
      <c r="Q112" s="23"/>
      <c r="R112" s="4"/>
      <c r="S112" s="23"/>
      <c r="T112" s="23"/>
      <c r="U112" s="23"/>
      <c r="V112" s="23"/>
      <c r="W112" s="4"/>
    </row>
    <row r="113" spans="3:3" x14ac:dyDescent="0.25">
      <c r="C113" s="194"/>
    </row>
    <row r="114" spans="3:3" x14ac:dyDescent="0.25">
      <c r="C114" s="194"/>
    </row>
    <row r="115" spans="3:3" x14ac:dyDescent="0.25">
      <c r="C115" s="194"/>
    </row>
    <row r="116" spans="3:3" x14ac:dyDescent="0.25">
      <c r="C116" s="194"/>
    </row>
    <row r="117" spans="3:3" x14ac:dyDescent="0.25">
      <c r="C117" s="194"/>
    </row>
    <row r="118" spans="3:3" x14ac:dyDescent="0.25">
      <c r="C118" s="194"/>
    </row>
    <row r="119" spans="3:3" x14ac:dyDescent="0.25">
      <c r="C119" s="194"/>
    </row>
    <row r="120" spans="3:3" x14ac:dyDescent="0.25">
      <c r="C120" s="194"/>
    </row>
    <row r="121" spans="3:3" x14ac:dyDescent="0.25">
      <c r="C121" s="194"/>
    </row>
    <row r="122" spans="3:3" x14ac:dyDescent="0.25">
      <c r="C122" s="194"/>
    </row>
    <row r="123" spans="3:3" x14ac:dyDescent="0.25">
      <c r="C123" s="194"/>
    </row>
    <row r="124" spans="3:3" x14ac:dyDescent="0.25">
      <c r="C124" s="194"/>
    </row>
    <row r="125" spans="3:3" x14ac:dyDescent="0.25">
      <c r="C125" s="194"/>
    </row>
    <row r="126" spans="3:3" x14ac:dyDescent="0.25">
      <c r="C126" s="194"/>
    </row>
    <row r="127" spans="3:3" x14ac:dyDescent="0.25">
      <c r="C127" s="194"/>
    </row>
    <row r="128" spans="3:3" x14ac:dyDescent="0.25">
      <c r="C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sheetData>
  <phoneticPr fontId="0" type="noConversion"/>
  <hyperlinks>
    <hyperlink ref="A1" location="'Working Budget with funding det'!A1" display="Main " xr:uid="{00000000-0004-0000-0F00-000000000000}"/>
    <hyperlink ref="B1" location="'Table of Contents'!A1" display="TOC" xr:uid="{00000000-0004-0000-0F00-000001000000}"/>
  </hyperlinks>
  <pageMargins left="0.75" right="0.75" top="1" bottom="1" header="0.5" footer="0.5"/>
  <pageSetup scale="90" fitToHeight="0" orientation="landscape" r:id="rId1"/>
  <headerFooter alignWithMargins="0">
    <oddFooter>&amp;L&amp;D     &amp;T&amp;C&amp;F&amp;R&amp;A  &amp;P</oddFooter>
  </headerFooter>
  <rowBreaks count="1" manualBreakCount="1">
    <brk id="42"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A6165-1049-46C7-929B-E577694828C7}">
  <sheetPr>
    <pageSetUpPr fitToPage="1"/>
  </sheetPr>
  <dimension ref="A1:AF80"/>
  <sheetViews>
    <sheetView workbookViewId="0">
      <selection activeCell="B73" sqref="B73"/>
    </sheetView>
  </sheetViews>
  <sheetFormatPr defaultRowHeight="13.2" x14ac:dyDescent="0.25"/>
  <cols>
    <col min="1" max="1" width="8.77734375" style="843"/>
    <col min="2" max="32" width="8.77734375" style="600"/>
  </cols>
  <sheetData>
    <row r="1" spans="1:6" x14ac:dyDescent="0.25">
      <c r="A1" s="843" t="s">
        <v>75</v>
      </c>
      <c r="C1" s="600" t="s">
        <v>76</v>
      </c>
    </row>
    <row r="3" spans="1:6" x14ac:dyDescent="0.25">
      <c r="B3" s="855" t="s">
        <v>77</v>
      </c>
      <c r="F3" s="600" t="s">
        <v>78</v>
      </c>
    </row>
    <row r="4" spans="1:6" x14ac:dyDescent="0.25">
      <c r="B4" s="855" t="s">
        <v>79</v>
      </c>
    </row>
    <row r="5" spans="1:6" x14ac:dyDescent="0.25">
      <c r="A5" s="843" t="s">
        <v>80</v>
      </c>
      <c r="B5" s="855" t="s">
        <v>81</v>
      </c>
    </row>
    <row r="6" spans="1:6" x14ac:dyDescent="0.25">
      <c r="B6" s="855" t="s">
        <v>82</v>
      </c>
    </row>
    <row r="7" spans="1:6" x14ac:dyDescent="0.25">
      <c r="A7" s="843" t="s">
        <v>80</v>
      </c>
      <c r="B7" s="600" t="s">
        <v>83</v>
      </c>
    </row>
    <row r="8" spans="1:6" x14ac:dyDescent="0.25">
      <c r="A8" s="843" t="s">
        <v>80</v>
      </c>
      <c r="B8" s="600" t="s">
        <v>84</v>
      </c>
    </row>
    <row r="9" spans="1:6" x14ac:dyDescent="0.25">
      <c r="A9" s="843" t="s">
        <v>80</v>
      </c>
      <c r="B9" s="600" t="s">
        <v>10</v>
      </c>
    </row>
    <row r="10" spans="1:6" x14ac:dyDescent="0.25">
      <c r="A10" s="843" t="s">
        <v>85</v>
      </c>
      <c r="B10" s="600" t="s">
        <v>12</v>
      </c>
    </row>
    <row r="11" spans="1:6" x14ac:dyDescent="0.25">
      <c r="A11" s="843" t="s">
        <v>85</v>
      </c>
      <c r="B11" s="600" t="s">
        <v>86</v>
      </c>
    </row>
    <row r="12" spans="1:6" x14ac:dyDescent="0.25">
      <c r="A12" s="843">
        <v>113</v>
      </c>
      <c r="B12" s="600" t="s">
        <v>87</v>
      </c>
    </row>
    <row r="13" spans="1:6" x14ac:dyDescent="0.25">
      <c r="A13" s="843">
        <v>122</v>
      </c>
      <c r="B13" s="600" t="s">
        <v>88</v>
      </c>
    </row>
    <row r="14" spans="1:6" x14ac:dyDescent="0.25">
      <c r="A14" s="843">
        <v>131</v>
      </c>
      <c r="B14" s="600" t="s">
        <v>89</v>
      </c>
    </row>
    <row r="15" spans="1:6" x14ac:dyDescent="0.25">
      <c r="A15" s="843">
        <v>132</v>
      </c>
      <c r="B15" s="600" t="s">
        <v>90</v>
      </c>
    </row>
    <row r="16" spans="1:6" x14ac:dyDescent="0.25">
      <c r="A16" s="843">
        <v>135</v>
      </c>
      <c r="B16" s="600" t="s">
        <v>91</v>
      </c>
    </row>
    <row r="17" spans="1:2" x14ac:dyDescent="0.25">
      <c r="A17" s="843">
        <v>141</v>
      </c>
      <c r="B17" s="600" t="s">
        <v>92</v>
      </c>
    </row>
    <row r="18" spans="1:2" x14ac:dyDescent="0.25">
      <c r="A18" s="843">
        <v>145</v>
      </c>
      <c r="B18" s="600" t="s">
        <v>93</v>
      </c>
    </row>
    <row r="19" spans="1:2" x14ac:dyDescent="0.25">
      <c r="A19" s="843">
        <v>151</v>
      </c>
      <c r="B19" s="600" t="s">
        <v>94</v>
      </c>
    </row>
    <row r="20" spans="1:2" x14ac:dyDescent="0.25">
      <c r="A20" s="843">
        <v>155</v>
      </c>
      <c r="B20" s="600" t="s">
        <v>95</v>
      </c>
    </row>
    <row r="21" spans="1:2" x14ac:dyDescent="0.25">
      <c r="A21" s="843">
        <v>159</v>
      </c>
      <c r="B21" s="600" t="s">
        <v>96</v>
      </c>
    </row>
    <row r="22" spans="1:2" x14ac:dyDescent="0.25">
      <c r="A22" s="843">
        <v>161</v>
      </c>
      <c r="B22" s="600" t="s">
        <v>97</v>
      </c>
    </row>
    <row r="23" spans="1:2" x14ac:dyDescent="0.25">
      <c r="A23" s="843">
        <v>175</v>
      </c>
      <c r="B23" s="600" t="s">
        <v>98</v>
      </c>
    </row>
    <row r="24" spans="1:2" x14ac:dyDescent="0.25">
      <c r="A24" s="843">
        <v>176</v>
      </c>
      <c r="B24" s="600" t="s">
        <v>99</v>
      </c>
    </row>
    <row r="25" spans="1:2" x14ac:dyDescent="0.25">
      <c r="A25" s="843">
        <v>182</v>
      </c>
      <c r="B25" s="600" t="s">
        <v>100</v>
      </c>
    </row>
    <row r="26" spans="1:2" x14ac:dyDescent="0.25">
      <c r="A26" s="843">
        <v>190</v>
      </c>
      <c r="B26" s="600" t="s">
        <v>101</v>
      </c>
    </row>
    <row r="27" spans="1:2" x14ac:dyDescent="0.25">
      <c r="A27" s="843">
        <v>211</v>
      </c>
      <c r="B27" s="600" t="s">
        <v>102</v>
      </c>
    </row>
    <row r="28" spans="1:2" x14ac:dyDescent="0.25">
      <c r="A28" s="843">
        <v>212</v>
      </c>
      <c r="B28" s="600" t="s">
        <v>103</v>
      </c>
    </row>
    <row r="29" spans="1:2" x14ac:dyDescent="0.25">
      <c r="A29" s="843">
        <v>241</v>
      </c>
      <c r="B29" s="600" t="s">
        <v>104</v>
      </c>
    </row>
    <row r="30" spans="1:2" x14ac:dyDescent="0.25">
      <c r="A30" s="843">
        <v>244</v>
      </c>
      <c r="B30" s="600" t="s">
        <v>105</v>
      </c>
    </row>
    <row r="31" spans="1:2" x14ac:dyDescent="0.25">
      <c r="A31" s="843">
        <v>291</v>
      </c>
      <c r="B31" s="600" t="s">
        <v>106</v>
      </c>
    </row>
    <row r="32" spans="1:2" x14ac:dyDescent="0.25">
      <c r="A32" s="843">
        <v>292</v>
      </c>
      <c r="B32" s="600" t="s">
        <v>107</v>
      </c>
    </row>
    <row r="33" spans="1:2" x14ac:dyDescent="0.25">
      <c r="A33" s="843">
        <v>294</v>
      </c>
      <c r="B33" s="600" t="s">
        <v>108</v>
      </c>
    </row>
    <row r="34" spans="1:2" x14ac:dyDescent="0.25">
      <c r="A34" s="843">
        <v>299</v>
      </c>
      <c r="B34" s="600" t="s">
        <v>109</v>
      </c>
    </row>
    <row r="35" spans="1:2" x14ac:dyDescent="0.25">
      <c r="A35" s="843">
        <v>300</v>
      </c>
      <c r="B35" s="600" t="s">
        <v>110</v>
      </c>
    </row>
    <row r="36" spans="1:2" x14ac:dyDescent="0.25">
      <c r="A36" s="843">
        <v>420</v>
      </c>
      <c r="B36" s="600" t="s">
        <v>111</v>
      </c>
    </row>
    <row r="37" spans="1:2" x14ac:dyDescent="0.25">
      <c r="A37" s="843">
        <v>192</v>
      </c>
      <c r="B37" s="600" t="s">
        <v>112</v>
      </c>
    </row>
    <row r="38" spans="1:2" x14ac:dyDescent="0.25">
      <c r="A38" s="843">
        <v>422</v>
      </c>
      <c r="B38" s="600" t="s">
        <v>113</v>
      </c>
    </row>
    <row r="39" spans="1:2" x14ac:dyDescent="0.25">
      <c r="A39" s="843">
        <v>652</v>
      </c>
      <c r="B39" s="600" t="s">
        <v>114</v>
      </c>
    </row>
    <row r="40" spans="1:2" x14ac:dyDescent="0.25">
      <c r="A40" s="843">
        <v>423</v>
      </c>
      <c r="B40" s="600" t="s">
        <v>115</v>
      </c>
    </row>
    <row r="41" spans="1:2" x14ac:dyDescent="0.25">
      <c r="A41" s="843">
        <v>433</v>
      </c>
      <c r="B41" s="600" t="s">
        <v>116</v>
      </c>
    </row>
    <row r="42" spans="1:2" x14ac:dyDescent="0.25">
      <c r="A42" s="843">
        <v>480</v>
      </c>
      <c r="B42" s="600" t="s">
        <v>117</v>
      </c>
    </row>
    <row r="43" spans="1:2" x14ac:dyDescent="0.25">
      <c r="A43" s="843">
        <v>491</v>
      </c>
      <c r="B43" s="600" t="s">
        <v>118</v>
      </c>
    </row>
    <row r="44" spans="1:2" x14ac:dyDescent="0.25">
      <c r="A44" s="843">
        <v>511</v>
      </c>
      <c r="B44" s="600" t="s">
        <v>119</v>
      </c>
    </row>
    <row r="45" spans="1:2" x14ac:dyDescent="0.25">
      <c r="A45" s="843">
        <v>541</v>
      </c>
      <c r="B45" s="600" t="s">
        <v>120</v>
      </c>
    </row>
    <row r="46" spans="1:2" x14ac:dyDescent="0.25">
      <c r="A46" s="843">
        <v>543</v>
      </c>
      <c r="B46" s="600" t="s">
        <v>121</v>
      </c>
    </row>
    <row r="47" spans="1:2" x14ac:dyDescent="0.25">
      <c r="A47" s="843">
        <v>610</v>
      </c>
      <c r="B47" s="600" t="s">
        <v>122</v>
      </c>
    </row>
    <row r="48" spans="1:2" x14ac:dyDescent="0.25">
      <c r="A48" s="843">
        <v>630</v>
      </c>
      <c r="B48" s="600" t="s">
        <v>123</v>
      </c>
    </row>
    <row r="49" spans="1:5" x14ac:dyDescent="0.25">
      <c r="A49" s="843">
        <v>693</v>
      </c>
      <c r="B49" s="600" t="s">
        <v>124</v>
      </c>
    </row>
    <row r="50" spans="1:5" x14ac:dyDescent="0.25">
      <c r="A50" s="843">
        <v>700</v>
      </c>
      <c r="B50" s="600" t="s">
        <v>125</v>
      </c>
    </row>
    <row r="51" spans="1:5" x14ac:dyDescent="0.25">
      <c r="A51" s="843">
        <v>840</v>
      </c>
      <c r="B51" s="600" t="s">
        <v>126</v>
      </c>
    </row>
    <row r="52" spans="1:5" x14ac:dyDescent="0.25">
      <c r="A52" s="843">
        <v>910</v>
      </c>
      <c r="B52" s="600" t="s">
        <v>127</v>
      </c>
    </row>
    <row r="53" spans="1:5" x14ac:dyDescent="0.25">
      <c r="A53" s="843">
        <v>946</v>
      </c>
      <c r="B53" s="600" t="s">
        <v>128</v>
      </c>
    </row>
    <row r="54" spans="1:5" x14ac:dyDescent="0.25">
      <c r="A54" s="843">
        <v>228</v>
      </c>
      <c r="B54" s="600" t="s">
        <v>129</v>
      </c>
    </row>
    <row r="55" spans="1:5" x14ac:dyDescent="0.25">
      <c r="A55" s="843" t="s">
        <v>130</v>
      </c>
      <c r="B55" s="600" t="s">
        <v>131</v>
      </c>
    </row>
    <row r="56" spans="1:5" x14ac:dyDescent="0.25">
      <c r="A56" s="843" t="s">
        <v>132</v>
      </c>
      <c r="B56" s="600" t="s">
        <v>133</v>
      </c>
    </row>
    <row r="57" spans="1:5" x14ac:dyDescent="0.25">
      <c r="A57" s="843" t="s">
        <v>134</v>
      </c>
      <c r="B57" s="600" t="s">
        <v>135</v>
      </c>
    </row>
    <row r="58" spans="1:5" x14ac:dyDescent="0.25">
      <c r="A58" s="843" t="s">
        <v>136</v>
      </c>
      <c r="B58" s="600" t="s">
        <v>137</v>
      </c>
    </row>
    <row r="59" spans="1:5" x14ac:dyDescent="0.25">
      <c r="A59" s="843" t="s">
        <v>138</v>
      </c>
      <c r="B59" s="600" t="s">
        <v>139</v>
      </c>
    </row>
    <row r="60" spans="1:5" x14ac:dyDescent="0.25">
      <c r="A60" s="843" t="s">
        <v>140</v>
      </c>
      <c r="B60" s="600" t="s">
        <v>141</v>
      </c>
    </row>
    <row r="61" spans="1:5" x14ac:dyDescent="0.25">
      <c r="A61" s="843" t="s">
        <v>142</v>
      </c>
      <c r="B61" s="600" t="s">
        <v>143</v>
      </c>
    </row>
    <row r="62" spans="1:5" x14ac:dyDescent="0.25">
      <c r="B62" s="600" t="s">
        <v>144</v>
      </c>
      <c r="D62" s="600" t="s">
        <v>145</v>
      </c>
      <c r="E62" s="600" t="s">
        <v>146</v>
      </c>
    </row>
    <row r="63" spans="1:5" x14ac:dyDescent="0.25">
      <c r="B63" s="600" t="s">
        <v>147</v>
      </c>
      <c r="D63" s="600" t="s">
        <v>145</v>
      </c>
      <c r="E63" s="600" t="s">
        <v>146</v>
      </c>
    </row>
    <row r="64" spans="1:5" x14ac:dyDescent="0.25">
      <c r="B64" s="600" t="s">
        <v>148</v>
      </c>
      <c r="D64" s="600" t="s">
        <v>145</v>
      </c>
      <c r="E64" s="600" t="s">
        <v>146</v>
      </c>
    </row>
    <row r="65" spans="2:5" x14ac:dyDescent="0.25">
      <c r="B65" s="600" t="s">
        <v>21</v>
      </c>
      <c r="D65" s="600" t="s">
        <v>145</v>
      </c>
      <c r="E65" s="600" t="s">
        <v>146</v>
      </c>
    </row>
    <row r="66" spans="2:5" x14ac:dyDescent="0.25">
      <c r="B66" s="600" t="s">
        <v>149</v>
      </c>
      <c r="D66" s="600" t="s">
        <v>145</v>
      </c>
      <c r="E66" s="600" t="s">
        <v>146</v>
      </c>
    </row>
    <row r="67" spans="2:5" x14ac:dyDescent="0.25">
      <c r="B67" s="600" t="s">
        <v>150</v>
      </c>
      <c r="D67" s="600" t="s">
        <v>145</v>
      </c>
      <c r="E67" s="600" t="s">
        <v>146</v>
      </c>
    </row>
    <row r="68" spans="2:5" x14ac:dyDescent="0.25">
      <c r="B68" s="855" t="s">
        <v>27</v>
      </c>
    </row>
    <row r="69" spans="2:5" x14ac:dyDescent="0.25">
      <c r="B69" s="600" t="s">
        <v>151</v>
      </c>
      <c r="D69" s="600" t="s">
        <v>145</v>
      </c>
    </row>
    <row r="70" spans="2:5" x14ac:dyDescent="0.25">
      <c r="B70" s="600" t="s">
        <v>152</v>
      </c>
      <c r="D70" s="600" t="s">
        <v>145</v>
      </c>
    </row>
    <row r="71" spans="2:5" x14ac:dyDescent="0.25">
      <c r="B71" s="855" t="s">
        <v>33</v>
      </c>
    </row>
    <row r="72" spans="2:5" x14ac:dyDescent="0.25">
      <c r="B72" s="855" t="s">
        <v>153</v>
      </c>
    </row>
    <row r="73" spans="2:5" x14ac:dyDescent="0.25">
      <c r="B73" s="600" t="s">
        <v>41</v>
      </c>
    </row>
    <row r="74" spans="2:5" x14ac:dyDescent="0.25">
      <c r="B74" s="855" t="s">
        <v>154</v>
      </c>
    </row>
    <row r="75" spans="2:5" x14ac:dyDescent="0.25">
      <c r="B75" s="855" t="s">
        <v>45</v>
      </c>
    </row>
    <row r="76" spans="2:5" x14ac:dyDescent="0.25">
      <c r="B76" s="855" t="s">
        <v>155</v>
      </c>
    </row>
    <row r="77" spans="2:5" x14ac:dyDescent="0.25">
      <c r="B77" s="855" t="s">
        <v>156</v>
      </c>
    </row>
    <row r="78" spans="2:5" x14ac:dyDescent="0.25">
      <c r="B78" s="855" t="s">
        <v>157</v>
      </c>
    </row>
    <row r="79" spans="2:5" x14ac:dyDescent="0.25">
      <c r="B79" s="855" t="s">
        <v>158</v>
      </c>
    </row>
    <row r="80" spans="2:5" x14ac:dyDescent="0.25">
      <c r="B80" s="855" t="s">
        <v>159</v>
      </c>
    </row>
  </sheetData>
  <pageMargins left="0.7" right="0.7" top="0.75" bottom="0.75" header="0.3" footer="0.3"/>
  <pageSetup scale="96"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Z134"/>
  <sheetViews>
    <sheetView zoomScaleNormal="100" workbookViewId="0">
      <pane ySplit="7" topLeftCell="A17" activePane="bottomLeft" state="frozen"/>
      <selection activeCell="S36" sqref="S36"/>
      <selection pane="bottomLeft" activeCell="R34" sqref="R34"/>
    </sheetView>
  </sheetViews>
  <sheetFormatPr defaultRowHeight="13.2" x14ac:dyDescent="0.25"/>
  <cols>
    <col min="1" max="1" width="11.664062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 min="23" max="23" width="15.109375" customWidth="1"/>
    <col min="24" max="25" width="14.44140625" customWidth="1"/>
    <col min="26" max="26" width="14.6640625" style="2" customWidth="1"/>
    <col min="27" max="27" width="10.44140625" bestFit="1" customWidth="1"/>
  </cols>
  <sheetData>
    <row r="1" spans="1:25" x14ac:dyDescent="0.25">
      <c r="A1" s="701" t="s">
        <v>736</v>
      </c>
      <c r="B1" s="290" t="s">
        <v>194</v>
      </c>
      <c r="D1" s="194"/>
      <c r="E1" s="194"/>
      <c r="F1" s="194"/>
      <c r="G1" s="194"/>
      <c r="H1" s="194"/>
      <c r="I1" s="194"/>
      <c r="J1" s="194"/>
      <c r="K1" s="194"/>
      <c r="L1" s="194"/>
      <c r="M1" s="194"/>
      <c r="N1" s="194"/>
      <c r="O1" s="194"/>
      <c r="P1" s="194"/>
      <c r="Q1" s="194"/>
      <c r="V1"/>
    </row>
    <row r="2" spans="1:25" ht="13.8" x14ac:dyDescent="0.25">
      <c r="A2" s="702" t="s">
        <v>705</v>
      </c>
      <c r="B2" s="43"/>
      <c r="D2" s="194"/>
      <c r="E2" s="125"/>
      <c r="F2" s="194"/>
      <c r="G2" s="194"/>
      <c r="H2" s="194"/>
      <c r="I2" s="125" t="s">
        <v>706</v>
      </c>
      <c r="J2" s="125"/>
      <c r="K2" s="125"/>
      <c r="L2" s="125"/>
      <c r="M2" s="125"/>
      <c r="N2" s="125"/>
      <c r="O2" s="125"/>
      <c r="P2" s="125"/>
      <c r="Q2" s="125"/>
      <c r="R2" s="58" t="s">
        <v>856</v>
      </c>
      <c r="U2" s="44" t="s">
        <v>857</v>
      </c>
    </row>
    <row r="3" spans="1:25" ht="13.8" thickBot="1" x14ac:dyDescent="0.3">
      <c r="A3" s="703"/>
      <c r="B3" s="4"/>
      <c r="C3" s="23"/>
      <c r="D3" s="23"/>
      <c r="E3" s="23"/>
      <c r="F3" s="23"/>
      <c r="G3" s="23"/>
      <c r="H3" s="23"/>
      <c r="I3" s="23"/>
      <c r="J3" s="23"/>
      <c r="K3" s="23"/>
      <c r="L3" s="23"/>
      <c r="M3" s="23"/>
      <c r="N3" s="23"/>
      <c r="O3" s="23"/>
      <c r="P3" s="23"/>
      <c r="Q3" s="23"/>
      <c r="R3" s="4"/>
      <c r="S3" s="23"/>
      <c r="T3" s="23"/>
      <c r="U3" s="4"/>
      <c r="V3" s="4"/>
      <c r="Y3" s="4"/>
    </row>
    <row r="4" spans="1:25"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5"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5" x14ac:dyDescent="0.25">
      <c r="A6" s="705"/>
      <c r="B6" s="184"/>
      <c r="C6" s="112"/>
      <c r="D6" s="112"/>
      <c r="E6" s="112"/>
      <c r="F6" s="82"/>
      <c r="G6" s="112"/>
      <c r="H6" s="112"/>
      <c r="I6" s="83"/>
      <c r="J6" s="83"/>
      <c r="K6" s="83"/>
      <c r="L6" s="83"/>
      <c r="M6" s="83"/>
      <c r="N6" s="83"/>
      <c r="O6" s="83"/>
      <c r="P6" s="83"/>
      <c r="Q6" s="83"/>
      <c r="R6" s="112"/>
      <c r="S6" s="83" t="s">
        <v>713</v>
      </c>
      <c r="T6" s="83" t="s">
        <v>481</v>
      </c>
      <c r="U6" s="45" t="s">
        <v>714</v>
      </c>
    </row>
    <row r="7" spans="1:25"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5" ht="13.8" thickTop="1" x14ac:dyDescent="0.25">
      <c r="A8" s="725"/>
      <c r="B8" s="185"/>
      <c r="C8" s="117"/>
      <c r="D8" s="18"/>
      <c r="E8" s="18"/>
      <c r="F8" s="18"/>
      <c r="G8" s="18"/>
      <c r="H8" s="18"/>
      <c r="I8" s="18"/>
      <c r="J8" s="18"/>
      <c r="K8" s="19"/>
      <c r="L8" s="19"/>
      <c r="M8" s="19"/>
      <c r="N8" s="19"/>
      <c r="O8" s="19"/>
      <c r="P8" s="19"/>
      <c r="Q8" s="19"/>
      <c r="R8" s="18"/>
      <c r="S8" s="19"/>
      <c r="T8" s="19"/>
      <c r="U8" s="19"/>
    </row>
    <row r="9" spans="1:25" x14ac:dyDescent="0.25">
      <c r="A9" s="708">
        <v>5111</v>
      </c>
      <c r="B9" s="60" t="s">
        <v>738</v>
      </c>
      <c r="C9" s="115">
        <v>131608</v>
      </c>
      <c r="D9" s="13">
        <v>136232.44</v>
      </c>
      <c r="E9" s="13">
        <v>139812.09</v>
      </c>
      <c r="F9" s="13">
        <v>143256.26999999999</v>
      </c>
      <c r="G9" s="13">
        <v>141646.53</v>
      </c>
      <c r="H9" s="13">
        <v>133779.4</v>
      </c>
      <c r="I9" s="13">
        <v>137937.79999999999</v>
      </c>
      <c r="J9" s="13">
        <v>144351.59</v>
      </c>
      <c r="K9" s="14">
        <v>153813</v>
      </c>
      <c r="L9" s="13">
        <v>148846.21</v>
      </c>
      <c r="M9" s="14">
        <v>153735</v>
      </c>
      <c r="N9" s="13">
        <v>154734.49</v>
      </c>
      <c r="O9" s="14">
        <f>2540+2185+156818</f>
        <v>161543</v>
      </c>
      <c r="P9" s="13">
        <v>161576.95999999999</v>
      </c>
      <c r="Q9" s="14">
        <v>169078</v>
      </c>
      <c r="R9" s="13">
        <v>62192.639999999999</v>
      </c>
      <c r="S9" s="14">
        <f>ROUND((+R42+R44+R45),2)+1</f>
        <v>132294.76999999999</v>
      </c>
      <c r="T9" s="14"/>
      <c r="U9" s="14"/>
    </row>
    <row r="10" spans="1:25" x14ac:dyDescent="0.25">
      <c r="A10" s="708">
        <v>5113</v>
      </c>
      <c r="B10" s="60" t="s">
        <v>739</v>
      </c>
      <c r="C10" s="115">
        <v>15961.4</v>
      </c>
      <c r="D10" s="13">
        <v>17462.41</v>
      </c>
      <c r="E10" s="13">
        <v>18590.79</v>
      </c>
      <c r="F10" s="13">
        <v>19711.2</v>
      </c>
      <c r="G10" s="13">
        <v>22812.32</v>
      </c>
      <c r="H10" s="13">
        <v>22997.21</v>
      </c>
      <c r="I10" s="13">
        <v>26904.959999999999</v>
      </c>
      <c r="J10" s="13">
        <v>27083</v>
      </c>
      <c r="K10" s="14">
        <v>22052</v>
      </c>
      <c r="L10" s="13">
        <v>16797.13</v>
      </c>
      <c r="M10" s="14">
        <v>19458</v>
      </c>
      <c r="N10" s="13"/>
      <c r="O10" s="14"/>
      <c r="P10" s="13"/>
      <c r="Q10" s="14"/>
      <c r="R10" s="13"/>
      <c r="S10" s="14">
        <f>+R46</f>
        <v>0</v>
      </c>
      <c r="T10" s="14"/>
      <c r="U10" s="14"/>
    </row>
    <row r="11" spans="1:25" x14ac:dyDescent="0.25">
      <c r="A11" s="708">
        <v>5113</v>
      </c>
      <c r="B11" s="60" t="s">
        <v>858</v>
      </c>
      <c r="C11" s="210"/>
      <c r="D11" s="35"/>
      <c r="E11" s="35"/>
      <c r="F11" s="35"/>
      <c r="G11" s="35"/>
      <c r="H11" s="35"/>
      <c r="I11" s="35"/>
      <c r="J11" s="35"/>
      <c r="K11" s="36">
        <v>1200</v>
      </c>
      <c r="L11" s="200"/>
      <c r="M11" s="36">
        <v>1200</v>
      </c>
      <c r="N11" s="200"/>
      <c r="O11" s="36"/>
      <c r="P11" s="35"/>
      <c r="Q11" s="36"/>
      <c r="R11" s="35"/>
      <c r="S11" s="36">
        <v>2000</v>
      </c>
      <c r="T11" s="36"/>
      <c r="U11" s="36"/>
    </row>
    <row r="12" spans="1:25" x14ac:dyDescent="0.25">
      <c r="A12" s="708">
        <v>5144</v>
      </c>
      <c r="B12" s="60" t="s">
        <v>27</v>
      </c>
      <c r="C12" s="115">
        <v>200</v>
      </c>
      <c r="D12" s="13">
        <v>850</v>
      </c>
      <c r="E12" s="13">
        <v>850</v>
      </c>
      <c r="F12" s="13">
        <v>850</v>
      </c>
      <c r="G12" s="13">
        <v>1600</v>
      </c>
      <c r="H12" s="13">
        <v>1700</v>
      </c>
      <c r="I12" s="13">
        <v>2000</v>
      </c>
      <c r="J12" s="13">
        <v>2000</v>
      </c>
      <c r="K12" s="14">
        <v>2000</v>
      </c>
      <c r="L12" s="127">
        <v>2000</v>
      </c>
      <c r="M12" s="14">
        <v>1300</v>
      </c>
      <c r="N12" s="127">
        <v>500</v>
      </c>
      <c r="O12" s="14">
        <f>100+1300</f>
        <v>1400</v>
      </c>
      <c r="P12" s="13">
        <v>1400</v>
      </c>
      <c r="Q12" s="14">
        <f>300+1500</f>
        <v>1800</v>
      </c>
      <c r="R12" s="13">
        <v>300</v>
      </c>
      <c r="S12" s="14">
        <f>ROUND((+V47),0)</f>
        <v>1300</v>
      </c>
      <c r="T12" s="14"/>
      <c r="U12" s="14"/>
    </row>
    <row r="13" spans="1:25" x14ac:dyDescent="0.25">
      <c r="A13" s="708">
        <v>5145</v>
      </c>
      <c r="B13" s="60" t="s">
        <v>744</v>
      </c>
      <c r="C13" s="115"/>
      <c r="D13" s="13"/>
      <c r="E13" s="13"/>
      <c r="F13" s="13"/>
      <c r="G13" s="13"/>
      <c r="H13" s="13">
        <v>40.39</v>
      </c>
      <c r="I13" s="13">
        <v>300.04000000000002</v>
      </c>
      <c r="J13" s="13">
        <v>300.04000000000002</v>
      </c>
      <c r="K13" s="14">
        <v>300</v>
      </c>
      <c r="L13" s="127">
        <v>305.81</v>
      </c>
      <c r="M13" s="14">
        <v>300</v>
      </c>
      <c r="N13" s="127">
        <v>300.04000000000002</v>
      </c>
      <c r="O13" s="14">
        <v>300</v>
      </c>
      <c r="P13" s="13">
        <v>300.04000000000002</v>
      </c>
      <c r="Q13" s="14">
        <v>300</v>
      </c>
      <c r="R13" s="13">
        <v>144.25</v>
      </c>
      <c r="S13" s="14">
        <v>300</v>
      </c>
      <c r="T13" s="14"/>
      <c r="U13" s="36"/>
    </row>
    <row r="14" spans="1:25" x14ac:dyDescent="0.25">
      <c r="A14" s="725">
        <v>5193</v>
      </c>
      <c r="B14" s="101" t="s">
        <v>819</v>
      </c>
      <c r="C14" s="572"/>
      <c r="D14" s="28"/>
      <c r="E14" s="28"/>
      <c r="F14" s="28"/>
      <c r="G14" s="28"/>
      <c r="H14" s="28"/>
      <c r="I14" s="28"/>
      <c r="J14" s="28"/>
      <c r="K14" s="29">
        <v>3875</v>
      </c>
      <c r="L14" s="254">
        <v>4649.3999999999996</v>
      </c>
      <c r="M14" s="29"/>
      <c r="N14" s="254"/>
      <c r="O14" s="29"/>
      <c r="P14" s="28"/>
      <c r="Q14" s="29"/>
      <c r="R14" s="28"/>
      <c r="S14" s="29"/>
      <c r="T14" s="29"/>
      <c r="U14" s="36"/>
    </row>
    <row r="15" spans="1:25" ht="13.8" thickBot="1" x14ac:dyDescent="0.3">
      <c r="A15" s="708">
        <v>5194</v>
      </c>
      <c r="B15" s="60" t="s">
        <v>820</v>
      </c>
      <c r="C15" s="116"/>
      <c r="D15" s="15"/>
      <c r="E15" s="15"/>
      <c r="F15" s="15"/>
      <c r="G15" s="15"/>
      <c r="H15" s="15"/>
      <c r="I15" s="15"/>
      <c r="J15" s="15"/>
      <c r="K15" s="16">
        <v>3500</v>
      </c>
      <c r="L15" s="252">
        <v>3500</v>
      </c>
      <c r="M15" s="16"/>
      <c r="N15" s="252"/>
      <c r="O15" s="16"/>
      <c r="P15" s="15"/>
      <c r="Q15" s="16"/>
      <c r="R15" s="15"/>
      <c r="S15" s="16"/>
      <c r="T15" s="16"/>
      <c r="U15" s="16"/>
    </row>
    <row r="16" spans="1:25" x14ac:dyDescent="0.25">
      <c r="A16" s="708"/>
      <c r="B16" s="61" t="s">
        <v>718</v>
      </c>
      <c r="C16" s="117">
        <f t="shared" ref="C16:E16" si="0">SUM(C9:C12)</f>
        <v>147769.4</v>
      </c>
      <c r="D16" s="18">
        <f t="shared" si="0"/>
        <v>154544.85</v>
      </c>
      <c r="E16" s="18">
        <f t="shared" si="0"/>
        <v>159252.88</v>
      </c>
      <c r="F16" s="18">
        <f>SUM(F9:F12)</f>
        <v>163817.47</v>
      </c>
      <c r="G16" s="18">
        <f>SUM(G9:G12)</f>
        <v>166058.85</v>
      </c>
      <c r="H16" s="18">
        <f t="shared" ref="H16:S16" si="1">SUM(H9:H15)</f>
        <v>158517</v>
      </c>
      <c r="I16" s="18">
        <f t="shared" si="1"/>
        <v>167142.79999999999</v>
      </c>
      <c r="J16" s="18">
        <f t="shared" si="1"/>
        <v>173734.63</v>
      </c>
      <c r="K16" s="19">
        <f t="shared" si="1"/>
        <v>186740</v>
      </c>
      <c r="L16" s="111">
        <f t="shared" si="1"/>
        <v>176098.55</v>
      </c>
      <c r="M16" s="19">
        <f t="shared" si="1"/>
        <v>175993</v>
      </c>
      <c r="N16" s="111">
        <f t="shared" si="1"/>
        <v>155534.53</v>
      </c>
      <c r="O16" s="19">
        <f t="shared" si="1"/>
        <v>163243</v>
      </c>
      <c r="P16" s="18">
        <f t="shared" si="1"/>
        <v>163277</v>
      </c>
      <c r="Q16" s="19">
        <f t="shared" ref="Q16" si="2">SUM(Q9:Q15)</f>
        <v>171178</v>
      </c>
      <c r="R16" s="18">
        <f t="shared" si="1"/>
        <v>62636.89</v>
      </c>
      <c r="S16" s="19">
        <f t="shared" si="1"/>
        <v>135894.76999999999</v>
      </c>
      <c r="T16" s="19"/>
      <c r="U16" s="19">
        <f>SUM(U9:U12)</f>
        <v>0</v>
      </c>
    </row>
    <row r="17" spans="1:21" x14ac:dyDescent="0.25">
      <c r="A17" s="708"/>
      <c r="B17" s="60"/>
      <c r="C17" s="115"/>
      <c r="D17" s="13"/>
      <c r="E17" s="13"/>
      <c r="F17" s="13"/>
      <c r="G17" s="13"/>
      <c r="H17" s="13"/>
      <c r="I17" s="13"/>
      <c r="J17" s="13"/>
      <c r="K17" s="14"/>
      <c r="L17" s="127"/>
      <c r="M17" s="14"/>
      <c r="N17" s="127"/>
      <c r="O17" s="14"/>
      <c r="P17" s="13"/>
      <c r="Q17" s="14"/>
      <c r="R17" s="13"/>
      <c r="S17" s="14"/>
      <c r="T17" s="14"/>
      <c r="U17" s="14"/>
    </row>
    <row r="18" spans="1:21" hidden="1" x14ac:dyDescent="0.25">
      <c r="A18" s="708">
        <v>5305</v>
      </c>
      <c r="B18" s="60" t="s">
        <v>779</v>
      </c>
      <c r="C18" s="115"/>
      <c r="D18" s="13">
        <v>0</v>
      </c>
      <c r="E18" s="13"/>
      <c r="F18" s="13"/>
      <c r="G18" s="13"/>
      <c r="H18" s="13"/>
      <c r="I18" s="127">
        <v>0</v>
      </c>
      <c r="J18" s="127"/>
      <c r="K18" s="14">
        <v>0</v>
      </c>
      <c r="L18" s="127"/>
      <c r="M18" s="14"/>
      <c r="N18" s="127"/>
      <c r="O18" s="14"/>
      <c r="P18" s="13"/>
      <c r="Q18" s="14">
        <v>0</v>
      </c>
      <c r="R18" s="13"/>
      <c r="S18" s="14">
        <v>0</v>
      </c>
      <c r="T18" s="14"/>
      <c r="U18" s="14"/>
    </row>
    <row r="19" spans="1:21" x14ac:dyDescent="0.25">
      <c r="A19" s="708">
        <v>5306</v>
      </c>
      <c r="B19" s="60" t="s">
        <v>859</v>
      </c>
      <c r="C19" s="115">
        <v>4620</v>
      </c>
      <c r="D19" s="13">
        <v>4620</v>
      </c>
      <c r="E19" s="13">
        <v>5451</v>
      </c>
      <c r="F19" s="13">
        <v>5451</v>
      </c>
      <c r="G19" s="13">
        <v>4851</v>
      </c>
      <c r="H19" s="13">
        <v>5451</v>
      </c>
      <c r="I19" s="127">
        <v>5233.8</v>
      </c>
      <c r="J19" s="127">
        <v>6184</v>
      </c>
      <c r="K19" s="14">
        <v>7200</v>
      </c>
      <c r="L19" s="127">
        <v>7184</v>
      </c>
      <c r="M19" s="14">
        <v>6200</v>
      </c>
      <c r="N19" s="127">
        <v>6184</v>
      </c>
      <c r="O19" s="14">
        <v>6200</v>
      </c>
      <c r="P19" s="13">
        <v>6184</v>
      </c>
      <c r="Q19" s="14">
        <v>6200</v>
      </c>
      <c r="R19" s="13">
        <v>6184</v>
      </c>
      <c r="S19" s="14">
        <v>6200</v>
      </c>
      <c r="T19" s="14"/>
      <c r="U19" s="14"/>
    </row>
    <row r="20" spans="1:21" x14ac:dyDescent="0.25">
      <c r="A20" s="708">
        <v>5307</v>
      </c>
      <c r="B20" s="60" t="s">
        <v>2314</v>
      </c>
      <c r="C20" s="115"/>
      <c r="D20" s="13"/>
      <c r="E20" s="13"/>
      <c r="F20" s="13"/>
      <c r="G20" s="13"/>
      <c r="H20" s="13"/>
      <c r="I20" s="127"/>
      <c r="J20" s="127"/>
      <c r="K20" s="14"/>
      <c r="L20" s="127"/>
      <c r="M20" s="14"/>
      <c r="N20" s="127"/>
      <c r="O20" s="14"/>
      <c r="P20" s="13"/>
      <c r="Q20" s="14"/>
      <c r="R20" s="13"/>
      <c r="S20" s="14">
        <v>9000</v>
      </c>
      <c r="T20" s="14"/>
      <c r="U20" s="14"/>
    </row>
    <row r="21" spans="1:21" x14ac:dyDescent="0.25">
      <c r="A21" s="708">
        <v>5314</v>
      </c>
      <c r="B21" s="60" t="s">
        <v>749</v>
      </c>
      <c r="C21" s="115"/>
      <c r="D21" s="13">
        <v>110</v>
      </c>
      <c r="E21" s="13"/>
      <c r="F21" s="13"/>
      <c r="G21" s="13">
        <v>75</v>
      </c>
      <c r="H21" s="13">
        <v>95</v>
      </c>
      <c r="I21" s="13">
        <v>345</v>
      </c>
      <c r="J21" s="13">
        <v>95</v>
      </c>
      <c r="K21" s="40">
        <v>200</v>
      </c>
      <c r="L21" s="13"/>
      <c r="M21" s="40">
        <v>200</v>
      </c>
      <c r="N21" s="13">
        <v>190</v>
      </c>
      <c r="O21" s="40">
        <v>200</v>
      </c>
      <c r="P21" s="13"/>
      <c r="Q21" s="40">
        <v>200</v>
      </c>
      <c r="R21" s="13"/>
      <c r="S21" s="40">
        <v>200</v>
      </c>
      <c r="T21" s="40"/>
      <c r="U21" s="14"/>
    </row>
    <row r="22" spans="1:21" x14ac:dyDescent="0.25">
      <c r="A22" s="708">
        <v>5315</v>
      </c>
      <c r="B22" s="60" t="s">
        <v>860</v>
      </c>
      <c r="C22" s="13"/>
      <c r="D22" s="13"/>
      <c r="E22" s="13"/>
      <c r="F22" s="13"/>
      <c r="G22" s="13"/>
      <c r="H22" s="13">
        <v>1600</v>
      </c>
      <c r="I22" s="13">
        <v>550</v>
      </c>
      <c r="J22" s="13">
        <v>1650</v>
      </c>
      <c r="K22" s="40">
        <v>2200</v>
      </c>
      <c r="L22" s="13">
        <v>2750</v>
      </c>
      <c r="M22" s="40">
        <v>2200</v>
      </c>
      <c r="N22" s="13">
        <v>1650</v>
      </c>
      <c r="O22" s="40">
        <v>2200</v>
      </c>
      <c r="P22" s="23"/>
      <c r="Q22" s="40">
        <v>2600</v>
      </c>
      <c r="R22" s="13"/>
      <c r="S22" s="40">
        <v>2600</v>
      </c>
      <c r="T22" s="73"/>
      <c r="U22" s="14"/>
    </row>
    <row r="23" spans="1:21" hidden="1" x14ac:dyDescent="0.25">
      <c r="A23" s="708">
        <v>5341</v>
      </c>
      <c r="B23" s="12" t="s">
        <v>751</v>
      </c>
      <c r="C23" s="13">
        <v>425.78</v>
      </c>
      <c r="D23" s="13">
        <v>415.92</v>
      </c>
      <c r="E23" s="13">
        <v>414.96</v>
      </c>
      <c r="F23" s="13">
        <v>392.85</v>
      </c>
      <c r="G23" s="13">
        <v>523.09</v>
      </c>
      <c r="H23" s="13"/>
      <c r="I23" s="127"/>
      <c r="J23" s="127"/>
      <c r="K23" s="14"/>
      <c r="L23" s="127"/>
      <c r="M23" s="14"/>
      <c r="N23" s="127"/>
      <c r="O23" s="14"/>
      <c r="P23" s="13"/>
      <c r="Q23" s="14"/>
      <c r="R23" s="13"/>
      <c r="S23" s="14"/>
      <c r="T23" s="14"/>
      <c r="U23" s="14"/>
    </row>
    <row r="24" spans="1:21" x14ac:dyDescent="0.25">
      <c r="A24" s="708">
        <v>5344</v>
      </c>
      <c r="B24" s="12" t="s">
        <v>722</v>
      </c>
      <c r="C24" s="13">
        <v>12123.38</v>
      </c>
      <c r="D24" s="13">
        <v>12087.96</v>
      </c>
      <c r="E24" s="13">
        <v>13215.57</v>
      </c>
      <c r="F24" s="13">
        <v>13906.85</v>
      </c>
      <c r="G24" s="13">
        <v>12997.21</v>
      </c>
      <c r="H24" s="13">
        <v>14485.3</v>
      </c>
      <c r="I24" s="127">
        <v>13397.79</v>
      </c>
      <c r="J24" s="127">
        <v>12794.75</v>
      </c>
      <c r="K24" s="14">
        <v>14000</v>
      </c>
      <c r="L24" s="127">
        <v>13070.53</v>
      </c>
      <c r="M24" s="14">
        <v>14000</v>
      </c>
      <c r="N24" s="127">
        <v>15234.78</v>
      </c>
      <c r="O24" s="14">
        <v>15000</v>
      </c>
      <c r="P24" s="13">
        <v>14999.05</v>
      </c>
      <c r="Q24" s="14">
        <v>16000</v>
      </c>
      <c r="R24" s="13">
        <v>7778.42</v>
      </c>
      <c r="S24" s="14">
        <v>16500</v>
      </c>
      <c r="T24" s="14"/>
      <c r="U24" s="14"/>
    </row>
    <row r="25" spans="1:21" x14ac:dyDescent="0.25">
      <c r="A25" s="708">
        <v>5345</v>
      </c>
      <c r="B25" s="12" t="s">
        <v>752</v>
      </c>
      <c r="C25" s="18"/>
      <c r="D25" s="18"/>
      <c r="E25" s="18"/>
      <c r="F25" s="18"/>
      <c r="G25" s="18">
        <v>1861.8</v>
      </c>
      <c r="H25" s="18"/>
      <c r="I25" s="111"/>
      <c r="J25" s="111"/>
      <c r="K25" s="19">
        <v>750</v>
      </c>
      <c r="L25" s="111"/>
      <c r="M25" s="19">
        <v>0</v>
      </c>
      <c r="N25" s="111"/>
      <c r="O25" s="19">
        <v>0</v>
      </c>
      <c r="P25" s="18"/>
      <c r="Q25" s="19">
        <v>0</v>
      </c>
      <c r="R25" s="18"/>
      <c r="S25" s="19">
        <v>0</v>
      </c>
      <c r="T25" s="19"/>
      <c r="U25" s="19"/>
    </row>
    <row r="26" spans="1:21" x14ac:dyDescent="0.25">
      <c r="A26" s="708">
        <v>5420</v>
      </c>
      <c r="B26" s="12" t="s">
        <v>753</v>
      </c>
      <c r="C26" s="18">
        <v>4414.04</v>
      </c>
      <c r="D26" s="18">
        <v>6221.32</v>
      </c>
      <c r="E26" s="18">
        <v>3872.38</v>
      </c>
      <c r="F26" s="18">
        <v>4961.75</v>
      </c>
      <c r="G26" s="18">
        <v>5246.18</v>
      </c>
      <c r="H26" s="18">
        <v>4720.84</v>
      </c>
      <c r="I26" s="111">
        <v>6197.54</v>
      </c>
      <c r="J26" s="111">
        <v>6097.7</v>
      </c>
      <c r="K26" s="19">
        <v>6600</v>
      </c>
      <c r="L26" s="111">
        <v>7856.4</v>
      </c>
      <c r="M26" s="19">
        <v>6400</v>
      </c>
      <c r="N26" s="111">
        <v>11128.74</v>
      </c>
      <c r="O26" s="19">
        <v>7000</v>
      </c>
      <c r="P26" s="18">
        <v>6739.21</v>
      </c>
      <c r="Q26" s="19">
        <v>8000</v>
      </c>
      <c r="R26" s="18">
        <v>2501.98</v>
      </c>
      <c r="S26" s="19">
        <v>8000</v>
      </c>
      <c r="T26" s="19"/>
      <c r="U26" s="19"/>
    </row>
    <row r="27" spans="1:21" hidden="1" x14ac:dyDescent="0.25">
      <c r="A27" s="708">
        <v>5590</v>
      </c>
      <c r="B27" s="12" t="s">
        <v>757</v>
      </c>
      <c r="C27" s="18"/>
      <c r="D27" s="18"/>
      <c r="E27" s="18"/>
      <c r="F27" s="18">
        <v>2000.7</v>
      </c>
      <c r="G27" s="18">
        <v>594</v>
      </c>
      <c r="H27" s="18">
        <v>4274.05</v>
      </c>
      <c r="I27" s="111"/>
      <c r="J27" s="111"/>
      <c r="K27" s="19"/>
      <c r="L27" s="111"/>
      <c r="M27" s="19"/>
      <c r="N27" s="111"/>
      <c r="O27" s="19"/>
      <c r="P27" s="18"/>
      <c r="Q27" s="19"/>
      <c r="R27" s="18"/>
      <c r="S27" s="19"/>
      <c r="T27" s="19"/>
      <c r="U27" s="19"/>
    </row>
    <row r="28" spans="1:21" x14ac:dyDescent="0.25">
      <c r="A28" s="708">
        <v>5710</v>
      </c>
      <c r="B28" s="12" t="s">
        <v>758</v>
      </c>
      <c r="C28" s="18">
        <v>916.62</v>
      </c>
      <c r="D28" s="18">
        <v>1018.29</v>
      </c>
      <c r="E28" s="18">
        <v>763.19</v>
      </c>
      <c r="F28" s="18">
        <v>779.21</v>
      </c>
      <c r="G28" s="18">
        <v>779.53</v>
      </c>
      <c r="H28" s="18">
        <v>624.79</v>
      </c>
      <c r="I28" s="111">
        <v>687.04</v>
      </c>
      <c r="J28" s="111">
        <v>606.72</v>
      </c>
      <c r="K28" s="19">
        <v>750</v>
      </c>
      <c r="L28" s="111">
        <v>472.67</v>
      </c>
      <c r="M28" s="19">
        <v>750</v>
      </c>
      <c r="N28" s="111">
        <v>508.53</v>
      </c>
      <c r="O28" s="19">
        <v>600</v>
      </c>
      <c r="P28" s="18">
        <v>454.64</v>
      </c>
      <c r="Q28" s="19">
        <v>600</v>
      </c>
      <c r="R28" s="18">
        <v>89.74</v>
      </c>
      <c r="S28" s="19">
        <v>400</v>
      </c>
      <c r="T28" s="19"/>
      <c r="U28" s="19"/>
    </row>
    <row r="29" spans="1:21" x14ac:dyDescent="0.25">
      <c r="A29" s="708">
        <v>5730</v>
      </c>
      <c r="B29" s="12" t="s">
        <v>759</v>
      </c>
      <c r="C29" s="13">
        <v>100</v>
      </c>
      <c r="D29" s="13">
        <v>100</v>
      </c>
      <c r="E29" s="13">
        <v>60</v>
      </c>
      <c r="F29" s="13">
        <v>60</v>
      </c>
      <c r="G29" s="13">
        <v>85</v>
      </c>
      <c r="H29" s="13">
        <v>60</v>
      </c>
      <c r="I29" s="127">
        <v>90</v>
      </c>
      <c r="J29" s="127">
        <v>60</v>
      </c>
      <c r="K29" s="14">
        <v>120</v>
      </c>
      <c r="L29" s="127">
        <v>145</v>
      </c>
      <c r="M29" s="14">
        <v>120</v>
      </c>
      <c r="N29" s="127">
        <v>80</v>
      </c>
      <c r="O29" s="14">
        <v>120</v>
      </c>
      <c r="P29" s="13">
        <v>100</v>
      </c>
      <c r="Q29" s="14">
        <v>120</v>
      </c>
      <c r="R29" s="13">
        <v>60</v>
      </c>
      <c r="S29" s="14">
        <v>120</v>
      </c>
      <c r="T29" s="14"/>
      <c r="U29" s="14"/>
    </row>
    <row r="30" spans="1:21" x14ac:dyDescent="0.25">
      <c r="A30" s="708">
        <v>5740</v>
      </c>
      <c r="B30" s="12" t="s">
        <v>861</v>
      </c>
      <c r="C30" s="13">
        <v>2197.5</v>
      </c>
      <c r="D30" s="13">
        <v>2197.5</v>
      </c>
      <c r="E30" s="13">
        <v>2197.5</v>
      </c>
      <c r="F30" s="13">
        <v>2197.5</v>
      </c>
      <c r="G30" s="13">
        <v>2892.11</v>
      </c>
      <c r="H30" s="13">
        <v>2960</v>
      </c>
      <c r="I30" s="127">
        <v>2960</v>
      </c>
      <c r="J30" s="127">
        <v>2960</v>
      </c>
      <c r="K30" s="14">
        <v>3000</v>
      </c>
      <c r="L30" s="127">
        <v>3120</v>
      </c>
      <c r="M30" s="14">
        <v>3100</v>
      </c>
      <c r="N30" s="127">
        <v>3120</v>
      </c>
      <c r="O30" s="14">
        <v>3150</v>
      </c>
      <c r="P30" s="13">
        <v>3120</v>
      </c>
      <c r="Q30" s="14">
        <v>3150</v>
      </c>
      <c r="R30" s="13"/>
      <c r="S30" s="14">
        <v>3050</v>
      </c>
      <c r="T30" s="14"/>
      <c r="U30" s="14"/>
    </row>
    <row r="31" spans="1:21" ht="13.8" thickBot="1" x14ac:dyDescent="0.3">
      <c r="A31" s="708">
        <v>5781</v>
      </c>
      <c r="B31" s="12" t="s">
        <v>862</v>
      </c>
      <c r="C31" s="15">
        <v>18473.189999999999</v>
      </c>
      <c r="D31" s="15">
        <v>15994.06</v>
      </c>
      <c r="E31" s="15">
        <v>21530.9</v>
      </c>
      <c r="F31" s="15">
        <v>24467.47</v>
      </c>
      <c r="G31" s="15">
        <v>17736.900000000001</v>
      </c>
      <c r="H31" s="15">
        <v>15882.35</v>
      </c>
      <c r="I31" s="252">
        <v>10222.24</v>
      </c>
      <c r="J31" s="252">
        <v>15229.29</v>
      </c>
      <c r="K31" s="16">
        <v>18000</v>
      </c>
      <c r="L31" s="252">
        <v>12500.79</v>
      </c>
      <c r="M31" s="16">
        <v>20000</v>
      </c>
      <c r="N31" s="252">
        <v>19107.25</v>
      </c>
      <c r="O31" s="16">
        <v>23000</v>
      </c>
      <c r="P31" s="15">
        <v>23648.27</v>
      </c>
      <c r="Q31" s="16">
        <v>23000</v>
      </c>
      <c r="R31" s="15">
        <v>10613</v>
      </c>
      <c r="S31" s="16">
        <v>25000</v>
      </c>
      <c r="T31" s="16"/>
      <c r="U31" s="16"/>
    </row>
    <row r="32" spans="1:21" x14ac:dyDescent="0.25">
      <c r="A32" s="708"/>
      <c r="B32" s="17" t="s">
        <v>728</v>
      </c>
      <c r="C32" s="13">
        <f t="shared" ref="C32:R32" si="3">SUM(C18:C31)</f>
        <v>43270.509999999995</v>
      </c>
      <c r="D32" s="13">
        <f t="shared" si="3"/>
        <v>42765.049999999996</v>
      </c>
      <c r="E32" s="13">
        <f t="shared" si="3"/>
        <v>47505.5</v>
      </c>
      <c r="F32" s="13">
        <f>SUM(F18:F31)</f>
        <v>54217.33</v>
      </c>
      <c r="G32" s="13">
        <f>SUM(G18:G31)</f>
        <v>47641.82</v>
      </c>
      <c r="H32" s="13">
        <f>SUM(H18:H31)</f>
        <v>50153.329999999994</v>
      </c>
      <c r="I32" s="13">
        <f t="shared" si="3"/>
        <v>39683.410000000003</v>
      </c>
      <c r="J32" s="13">
        <f t="shared" ref="J32" si="4">SUM(J18:J31)</f>
        <v>45677.460000000006</v>
      </c>
      <c r="K32" s="14">
        <f>SUM(K18:K31)</f>
        <v>52820</v>
      </c>
      <c r="L32" s="13">
        <f t="shared" ref="L32:O32" si="5">SUM(L18:L31)</f>
        <v>47099.39</v>
      </c>
      <c r="M32" s="14">
        <f t="shared" si="5"/>
        <v>52970</v>
      </c>
      <c r="N32" s="13">
        <f t="shared" ref="N32" si="6">SUM(N18:N31)</f>
        <v>57203.299999999996</v>
      </c>
      <c r="O32" s="14">
        <f t="shared" si="5"/>
        <v>57470</v>
      </c>
      <c r="P32" s="13">
        <f t="shared" ref="P32" si="7">SUM(P18:P31)</f>
        <v>55245.17</v>
      </c>
      <c r="Q32" s="14">
        <f>SUM(Q18:Q31)</f>
        <v>59870</v>
      </c>
      <c r="R32" s="13">
        <f t="shared" si="3"/>
        <v>27227.140000000003</v>
      </c>
      <c r="S32" s="14">
        <f>SUM(S18:S31)</f>
        <v>71070</v>
      </c>
      <c r="T32" s="14"/>
      <c r="U32" s="14">
        <f>SUM(U18:U31)</f>
        <v>0</v>
      </c>
    </row>
    <row r="33" spans="1:25" x14ac:dyDescent="0.25">
      <c r="A33" s="708"/>
      <c r="B33" s="12"/>
      <c r="C33" s="13"/>
      <c r="D33" s="13"/>
      <c r="E33" s="13"/>
      <c r="F33" s="13"/>
      <c r="G33" s="13"/>
      <c r="H33" s="13"/>
      <c r="I33" s="13"/>
      <c r="J33" s="13"/>
      <c r="K33" s="14"/>
      <c r="L33" s="13"/>
      <c r="M33" s="14"/>
      <c r="N33" s="13"/>
      <c r="O33" s="14"/>
      <c r="P33" s="13"/>
      <c r="Q33" s="14"/>
      <c r="R33" s="13"/>
      <c r="S33" s="14"/>
      <c r="T33" s="14"/>
      <c r="U33" s="14"/>
    </row>
    <row r="34" spans="1:25" ht="13.8" thickBot="1" x14ac:dyDescent="0.3">
      <c r="A34" s="709"/>
      <c r="B34" s="20" t="s">
        <v>863</v>
      </c>
      <c r="C34" s="21">
        <f t="shared" ref="C34:R34" si="8">+C32+C16</f>
        <v>191039.90999999997</v>
      </c>
      <c r="D34" s="21">
        <f t="shared" si="8"/>
        <v>197309.9</v>
      </c>
      <c r="E34" s="21">
        <f t="shared" si="8"/>
        <v>206758.38</v>
      </c>
      <c r="F34" s="21">
        <f>+F32+F16</f>
        <v>218034.8</v>
      </c>
      <c r="G34" s="21">
        <f>+G32+G16</f>
        <v>213700.67</v>
      </c>
      <c r="H34" s="21">
        <f>+H32+H16</f>
        <v>208670.33</v>
      </c>
      <c r="I34" s="21">
        <f t="shared" si="8"/>
        <v>206826.21</v>
      </c>
      <c r="J34" s="21">
        <f t="shared" ref="J34" si="9">+J32+J16</f>
        <v>219412.09000000003</v>
      </c>
      <c r="K34" s="39">
        <f>+K32+K16</f>
        <v>239560</v>
      </c>
      <c r="L34" s="21">
        <f t="shared" ref="L34:O34" si="10">+L32+L16</f>
        <v>223197.94</v>
      </c>
      <c r="M34" s="39">
        <f t="shared" si="10"/>
        <v>228963</v>
      </c>
      <c r="N34" s="21">
        <f t="shared" ref="N34" si="11">+N32+N16</f>
        <v>212737.83</v>
      </c>
      <c r="O34" s="39">
        <f t="shared" si="10"/>
        <v>220713</v>
      </c>
      <c r="P34" s="21">
        <f t="shared" ref="P34" si="12">+P32+P16</f>
        <v>218522.16999999998</v>
      </c>
      <c r="Q34" s="39">
        <f>+Q32+Q16</f>
        <v>231048</v>
      </c>
      <c r="R34" s="21">
        <f t="shared" si="8"/>
        <v>89864.03</v>
      </c>
      <c r="S34" s="39">
        <f>+S32+S16</f>
        <v>206964.77</v>
      </c>
      <c r="T34" s="39">
        <f>+S34</f>
        <v>206964.77</v>
      </c>
      <c r="U34" s="39">
        <f>+S34</f>
        <v>206964.77</v>
      </c>
    </row>
    <row r="35" spans="1:25" ht="16.2" thickTop="1" x14ac:dyDescent="0.3">
      <c r="A35" s="703"/>
      <c r="B35" s="4"/>
      <c r="C35" s="23"/>
      <c r="D35" s="23"/>
      <c r="E35" s="23"/>
      <c r="F35" s="23"/>
      <c r="G35" s="23"/>
      <c r="H35" s="23"/>
      <c r="I35" s="23"/>
      <c r="J35" s="23"/>
      <c r="K35" s="23"/>
      <c r="L35" s="23"/>
      <c r="M35" s="23"/>
      <c r="N35" s="23"/>
      <c r="O35" s="23"/>
      <c r="P35" s="23"/>
      <c r="Q35" s="23"/>
      <c r="R35" s="181" t="s">
        <v>732</v>
      </c>
      <c r="S35" s="1001">
        <f>+S34-Q34</f>
        <v>-24083.23000000001</v>
      </c>
      <c r="T35" s="1002">
        <f>ROUND((+S35/Q34),4)</f>
        <v>-0.1042</v>
      </c>
      <c r="U35" s="73"/>
      <c r="V35" s="23"/>
      <c r="W35" s="25"/>
      <c r="X35" s="183"/>
      <c r="Y35" s="25"/>
    </row>
    <row r="36" spans="1:25" x14ac:dyDescent="0.25">
      <c r="A36" s="54">
        <v>44914</v>
      </c>
      <c r="B36" s="4" t="s">
        <v>1961</v>
      </c>
      <c r="C36" s="23"/>
      <c r="D36" s="23"/>
      <c r="E36" s="23"/>
      <c r="F36" s="23"/>
      <c r="G36" s="23"/>
      <c r="H36" s="23"/>
      <c r="I36" s="23"/>
      <c r="J36" s="23"/>
      <c r="K36" s="23"/>
      <c r="L36" s="23"/>
      <c r="M36" s="23"/>
      <c r="N36" s="23"/>
      <c r="O36" s="23"/>
      <c r="P36" s="23"/>
      <c r="Q36" s="23"/>
      <c r="R36" s="25"/>
      <c r="S36" s="23"/>
      <c r="T36" s="23"/>
      <c r="U36" s="73"/>
      <c r="V36" s="25"/>
      <c r="W36" s="25"/>
      <c r="X36" s="25"/>
      <c r="Y36" s="25"/>
    </row>
    <row r="37" spans="1:25" x14ac:dyDescent="0.25">
      <c r="A37" s="63"/>
      <c r="B37" s="4"/>
      <c r="C37" s="23"/>
      <c r="D37" s="23"/>
      <c r="E37" s="23"/>
      <c r="F37" s="23"/>
      <c r="G37" s="23"/>
      <c r="H37" s="23"/>
      <c r="I37" s="23"/>
      <c r="J37" s="23"/>
      <c r="K37" s="23"/>
      <c r="L37" s="23"/>
      <c r="M37" s="23"/>
      <c r="N37" s="23"/>
      <c r="O37" s="23"/>
      <c r="P37" s="23"/>
      <c r="Q37" s="23"/>
      <c r="R37" s="25"/>
      <c r="S37" s="23"/>
      <c r="T37" s="23"/>
      <c r="U37" s="73"/>
      <c r="V37" s="25"/>
      <c r="W37" s="25"/>
      <c r="X37" s="25"/>
      <c r="Y37" s="25"/>
    </row>
    <row r="38" spans="1:25" x14ac:dyDescent="0.25">
      <c r="A38" s="703" t="s">
        <v>793</v>
      </c>
      <c r="B38" s="4"/>
      <c r="D38" s="194"/>
      <c r="E38" s="194"/>
      <c r="F38" s="194"/>
      <c r="G38" s="194"/>
      <c r="H38" s="194"/>
      <c r="I38" s="194"/>
      <c r="J38" s="194"/>
      <c r="K38" s="194"/>
      <c r="L38" s="194"/>
      <c r="M38" s="194"/>
      <c r="N38" s="194"/>
      <c r="O38" s="194"/>
      <c r="P38" s="194"/>
      <c r="Q38" s="194"/>
    </row>
    <row r="39" spans="1:25" ht="13.8" thickBot="1" x14ac:dyDescent="0.3">
      <c r="A39" s="703"/>
      <c r="B39" s="4"/>
      <c r="D39" s="194"/>
      <c r="E39" s="194"/>
      <c r="F39" s="194"/>
      <c r="G39" s="194"/>
      <c r="H39" s="194"/>
      <c r="I39" s="194"/>
      <c r="J39" s="194"/>
      <c r="K39" s="194"/>
      <c r="L39" s="194"/>
      <c r="M39" s="194"/>
      <c r="N39" s="194"/>
      <c r="O39" s="194"/>
      <c r="P39" s="194"/>
      <c r="Q39" s="194"/>
    </row>
    <row r="40" spans="1:25" ht="13.8" thickTop="1" x14ac:dyDescent="0.25">
      <c r="A40" s="710" t="s">
        <v>760</v>
      </c>
      <c r="B40" s="98"/>
      <c r="D40" s="194"/>
      <c r="E40" s="194"/>
      <c r="F40" s="194"/>
      <c r="G40" s="194"/>
      <c r="H40" s="194"/>
      <c r="I40" s="194"/>
      <c r="J40" s="194"/>
      <c r="K40" s="194"/>
      <c r="L40" s="194"/>
      <c r="O40" s="130" t="s">
        <v>761</v>
      </c>
      <c r="P40" s="137" t="s">
        <v>762</v>
      </c>
      <c r="Q40" s="149"/>
      <c r="R40" s="139" t="s">
        <v>763</v>
      </c>
      <c r="S40"/>
      <c r="T40"/>
      <c r="U40" s="187" t="s">
        <v>764</v>
      </c>
      <c r="V40"/>
    </row>
    <row r="41" spans="1:25" ht="13.8" thickBot="1" x14ac:dyDescent="0.3">
      <c r="A41" s="711" t="s">
        <v>765</v>
      </c>
      <c r="B41" s="100" t="s">
        <v>766</v>
      </c>
      <c r="D41" s="194"/>
      <c r="E41" s="194"/>
      <c r="F41" s="194"/>
      <c r="G41" s="194"/>
      <c r="H41" s="194"/>
      <c r="I41" s="194"/>
      <c r="J41" s="194"/>
      <c r="K41" s="194"/>
      <c r="L41" s="194"/>
      <c r="O41" s="269">
        <v>45474</v>
      </c>
      <c r="P41" s="140" t="s">
        <v>767</v>
      </c>
      <c r="Q41" s="141" t="s">
        <v>831</v>
      </c>
      <c r="R41" s="141" t="s">
        <v>769</v>
      </c>
      <c r="S41" s="106" t="s">
        <v>770</v>
      </c>
      <c r="T41" s="106"/>
      <c r="U41" s="106" t="s">
        <v>1345</v>
      </c>
      <c r="V41" s="106" t="s">
        <v>771</v>
      </c>
    </row>
    <row r="42" spans="1:25" ht="13.8" thickTop="1" x14ac:dyDescent="0.25">
      <c r="A42" s="132">
        <v>42674</v>
      </c>
      <c r="B42" s="101" t="s">
        <v>864</v>
      </c>
      <c r="D42" s="194"/>
      <c r="E42" s="194"/>
      <c r="F42" s="194"/>
      <c r="G42" s="194"/>
      <c r="H42" s="194"/>
      <c r="I42" s="194"/>
      <c r="J42" s="194"/>
      <c r="K42" s="194"/>
      <c r="L42" s="194"/>
      <c r="O42" s="18" t="s">
        <v>797</v>
      </c>
      <c r="P42" s="101"/>
      <c r="Q42" s="19"/>
      <c r="R42" s="136">
        <f>+'NAGE &amp; Non-Union Wages'!L10</f>
        <v>82394</v>
      </c>
      <c r="S42"/>
      <c r="T42"/>
      <c r="U42" s="712">
        <v>8</v>
      </c>
      <c r="V42" s="2">
        <v>300</v>
      </c>
    </row>
    <row r="43" spans="1:25" x14ac:dyDescent="0.25">
      <c r="A43" s="132"/>
      <c r="B43" s="101" t="s">
        <v>865</v>
      </c>
      <c r="D43" s="194"/>
      <c r="E43" s="194"/>
      <c r="F43" s="194"/>
      <c r="G43" s="194"/>
      <c r="H43" s="194"/>
      <c r="I43" s="194"/>
      <c r="J43" s="194"/>
      <c r="K43" s="194"/>
      <c r="L43" s="194"/>
      <c r="O43" s="18"/>
      <c r="P43" s="182"/>
      <c r="Q43" s="150"/>
      <c r="R43" s="136"/>
      <c r="S43"/>
      <c r="T43"/>
      <c r="U43"/>
      <c r="V43" s="2"/>
    </row>
    <row r="44" spans="1:25" x14ac:dyDescent="0.25">
      <c r="A44" s="152"/>
      <c r="B44" s="60" t="s">
        <v>866</v>
      </c>
      <c r="D44" s="194"/>
      <c r="E44" s="194"/>
      <c r="F44" s="194"/>
      <c r="G44" s="194"/>
      <c r="H44" s="194"/>
      <c r="I44" s="194"/>
      <c r="J44" s="194"/>
      <c r="K44" s="194"/>
      <c r="L44" s="194"/>
      <c r="O44" s="14"/>
      <c r="P44" s="147"/>
      <c r="Q44" s="13"/>
      <c r="R44" s="136">
        <f>ROUND((+P44*Q44),2)</f>
        <v>0</v>
      </c>
      <c r="S44" s="152"/>
      <c r="T44" s="152"/>
      <c r="U44" s="712"/>
      <c r="V44" s="2"/>
    </row>
    <row r="45" spans="1:25" x14ac:dyDescent="0.25">
      <c r="A45" s="152">
        <v>38089</v>
      </c>
      <c r="B45" s="60" t="s">
        <v>868</v>
      </c>
      <c r="C45" s="265"/>
      <c r="D45" s="327"/>
      <c r="E45" s="327"/>
      <c r="F45" s="327"/>
      <c r="G45" s="327"/>
      <c r="H45" s="327"/>
      <c r="I45" s="194"/>
      <c r="J45" s="194"/>
      <c r="K45" s="194"/>
      <c r="L45" s="194"/>
      <c r="O45" s="14" t="s">
        <v>1056</v>
      </c>
      <c r="P45" s="147">
        <f>+'NAGE &amp; Non-Union Wages'!J7</f>
        <v>27.29</v>
      </c>
      <c r="Q45" s="111">
        <v>1828.5</v>
      </c>
      <c r="R45" s="136">
        <f>ROUND((+P45*Q45),2)</f>
        <v>49899.77</v>
      </c>
      <c r="S45" s="152">
        <v>38089</v>
      </c>
      <c r="T45" s="152"/>
      <c r="U45" s="712">
        <v>21</v>
      </c>
      <c r="V45" s="2">
        <v>1000</v>
      </c>
    </row>
    <row r="46" spans="1:25" x14ac:dyDescent="0.25">
      <c r="B46" s="60" t="s">
        <v>870</v>
      </c>
      <c r="C46" s="265"/>
      <c r="D46" s="327"/>
      <c r="E46" s="327"/>
      <c r="F46" s="327"/>
      <c r="G46" s="327"/>
      <c r="H46" s="327"/>
      <c r="I46" s="194"/>
      <c r="J46" s="194"/>
      <c r="K46" s="194"/>
      <c r="L46" s="194"/>
      <c r="O46" s="14"/>
      <c r="P46" s="147"/>
      <c r="Q46" s="111"/>
      <c r="R46" s="136"/>
      <c r="S46" s="152"/>
      <c r="T46" s="152"/>
      <c r="U46"/>
      <c r="V46" s="2"/>
    </row>
    <row r="47" spans="1:25" x14ac:dyDescent="0.25">
      <c r="A47" s="703"/>
      <c r="B47" s="4"/>
      <c r="C47" s="23"/>
      <c r="D47" s="23"/>
      <c r="E47" s="23"/>
      <c r="F47" s="194"/>
      <c r="G47" s="194"/>
      <c r="H47" s="194"/>
      <c r="I47" s="23"/>
      <c r="J47" s="23"/>
      <c r="K47" s="23"/>
      <c r="L47" s="23"/>
      <c r="M47" s="23"/>
      <c r="N47" s="23"/>
      <c r="O47" s="23"/>
      <c r="P47" s="23"/>
      <c r="Q47" s="23"/>
      <c r="R47" s="25"/>
      <c r="S47" s="25"/>
      <c r="T47" s="25"/>
      <c r="U47" s="25" t="s">
        <v>190</v>
      </c>
      <c r="V47" s="2">
        <f>SUM(V42:V46)</f>
        <v>1300</v>
      </c>
    </row>
    <row r="48" spans="1:25" x14ac:dyDescent="0.25">
      <c r="A48" s="703"/>
      <c r="B48" s="4"/>
      <c r="C48" s="23"/>
      <c r="D48" s="23"/>
      <c r="E48" s="23"/>
      <c r="F48" s="194"/>
      <c r="G48" s="194"/>
      <c r="H48" s="194"/>
      <c r="I48" s="23"/>
      <c r="J48" s="23"/>
      <c r="K48" s="23"/>
      <c r="L48" s="23"/>
      <c r="M48" s="23"/>
      <c r="N48" s="23"/>
      <c r="O48" s="23"/>
      <c r="P48" s="23"/>
      <c r="Q48" s="23"/>
      <c r="R48" s="25"/>
      <c r="S48" s="25"/>
      <c r="T48" s="25"/>
      <c r="U48" s="25"/>
      <c r="V48" s="2"/>
    </row>
    <row r="49" spans="1:25" x14ac:dyDescent="0.25">
      <c r="A49" s="703"/>
      <c r="B49" s="4"/>
      <c r="C49" s="23"/>
      <c r="D49" s="23"/>
      <c r="E49" s="23"/>
      <c r="F49" s="194"/>
      <c r="G49" s="194"/>
      <c r="H49" s="194"/>
      <c r="I49" s="23"/>
      <c r="J49" s="23"/>
      <c r="K49" s="23"/>
      <c r="L49" s="23"/>
      <c r="M49" s="23"/>
      <c r="N49" s="23"/>
      <c r="O49" s="23"/>
      <c r="P49" s="23"/>
      <c r="Q49" s="23"/>
      <c r="R49" s="25"/>
      <c r="S49" s="23"/>
      <c r="T49" s="23"/>
      <c r="U49" s="23"/>
      <c r="V49" s="23"/>
      <c r="W49" s="25"/>
      <c r="X49" s="25"/>
      <c r="Y49" s="25"/>
    </row>
    <row r="50" spans="1:25" x14ac:dyDescent="0.25">
      <c r="A50" s="703"/>
      <c r="B50" s="4"/>
      <c r="C50" s="23"/>
      <c r="D50" s="23"/>
      <c r="E50" s="23"/>
      <c r="F50" s="194"/>
      <c r="G50" s="194"/>
      <c r="H50" s="194"/>
      <c r="I50" s="23"/>
      <c r="J50" s="23"/>
      <c r="K50" s="23"/>
      <c r="L50" s="23"/>
      <c r="M50" s="23"/>
      <c r="N50" s="23"/>
      <c r="O50" s="23"/>
      <c r="P50" s="23"/>
      <c r="Q50" s="23"/>
      <c r="R50" s="25"/>
      <c r="S50" s="23"/>
      <c r="T50" s="23"/>
      <c r="U50" s="23"/>
      <c r="V50" s="23"/>
      <c r="W50" s="25"/>
      <c r="X50" s="25"/>
      <c r="Y50" s="25"/>
    </row>
    <row r="51" spans="1:25" ht="13.8" thickBot="1" x14ac:dyDescent="0.3">
      <c r="A51" s="703"/>
      <c r="B51" s="4"/>
      <c r="C51" s="23"/>
      <c r="D51" s="23"/>
      <c r="E51" s="23"/>
      <c r="F51" s="194"/>
      <c r="G51" s="194"/>
      <c r="H51" s="194"/>
      <c r="I51" s="23"/>
      <c r="J51" s="23"/>
      <c r="K51" s="23"/>
      <c r="L51" s="23"/>
      <c r="M51" s="23"/>
      <c r="N51" s="23"/>
      <c r="O51" s="23"/>
      <c r="P51" s="23"/>
      <c r="Q51" s="23"/>
      <c r="R51" s="25"/>
      <c r="S51" s="24"/>
      <c r="T51" s="24"/>
      <c r="U51" s="23"/>
      <c r="V51" s="23"/>
      <c r="W51" s="25"/>
      <c r="X51" s="25"/>
      <c r="Y51" s="25"/>
    </row>
    <row r="52" spans="1:25" ht="13.8" thickTop="1" x14ac:dyDescent="0.25">
      <c r="A52" s="718"/>
      <c r="B52" s="349"/>
      <c r="C52" s="350" t="s">
        <v>256</v>
      </c>
      <c r="D52" s="351" t="s">
        <v>256</v>
      </c>
      <c r="E52" s="351" t="s">
        <v>256</v>
      </c>
      <c r="F52" s="194"/>
      <c r="G52" s="194"/>
      <c r="H52" s="194"/>
      <c r="I52" s="194"/>
      <c r="J52" s="194"/>
      <c r="K52" s="194"/>
      <c r="L52" s="194"/>
      <c r="O52" s="352" t="s">
        <v>255</v>
      </c>
      <c r="P52" s="353" t="s">
        <v>716</v>
      </c>
      <c r="Q52" s="354" t="s">
        <v>730</v>
      </c>
      <c r="R52" s="353" t="s">
        <v>731</v>
      </c>
      <c r="S52" s="355"/>
      <c r="T52" s="550"/>
      <c r="U52" s="354"/>
      <c r="V52" s="23"/>
      <c r="W52" s="25"/>
      <c r="X52" s="25"/>
      <c r="Y52" s="25"/>
    </row>
    <row r="53" spans="1:25" ht="13.8" thickBot="1" x14ac:dyDescent="0.3">
      <c r="A53" s="719" t="s">
        <v>715</v>
      </c>
      <c r="B53" s="356"/>
      <c r="C53" s="357" t="s">
        <v>243</v>
      </c>
      <c r="D53" s="357" t="s">
        <v>244</v>
      </c>
      <c r="E53" s="358" t="s">
        <v>245</v>
      </c>
      <c r="F53" s="194"/>
      <c r="G53" s="194"/>
      <c r="H53" s="194"/>
      <c r="I53" s="194"/>
      <c r="J53" s="194"/>
      <c r="K53" s="194"/>
      <c r="L53" s="194"/>
      <c r="O53" s="359" t="s">
        <v>469</v>
      </c>
      <c r="P53" s="359" t="s">
        <v>1345</v>
      </c>
      <c r="Q53" s="358" t="s">
        <v>732</v>
      </c>
      <c r="R53" s="360" t="s">
        <v>732</v>
      </c>
      <c r="S53" s="361" t="s">
        <v>733</v>
      </c>
      <c r="T53" s="551"/>
      <c r="U53" s="359"/>
      <c r="V53" s="23"/>
      <c r="W53" s="25"/>
      <c r="X53" s="25"/>
      <c r="Y53" s="25"/>
    </row>
    <row r="54" spans="1:25" ht="13.8" thickTop="1" x14ac:dyDescent="0.25">
      <c r="A54" s="726"/>
      <c r="B54" s="376"/>
      <c r="C54" s="365"/>
      <c r="D54" s="365"/>
      <c r="E54" s="365"/>
      <c r="F54" s="194"/>
      <c r="G54" s="194"/>
      <c r="H54" s="194"/>
      <c r="I54" s="194"/>
      <c r="J54" s="194"/>
      <c r="K54" s="194"/>
      <c r="L54" s="194"/>
      <c r="O54" s="366"/>
      <c r="P54" s="365"/>
      <c r="Q54" s="368"/>
      <c r="R54" s="374"/>
      <c r="S54" s="367"/>
      <c r="T54" s="553"/>
      <c r="U54" s="368"/>
      <c r="V54" s="23"/>
      <c r="W54" s="25"/>
      <c r="X54" s="25"/>
      <c r="Y54" s="25"/>
    </row>
    <row r="55" spans="1:25" x14ac:dyDescent="0.25">
      <c r="A55" s="724">
        <v>5111</v>
      </c>
      <c r="B55" s="369" t="s">
        <v>738</v>
      </c>
      <c r="C55" s="373">
        <v>131608</v>
      </c>
      <c r="D55" s="373">
        <v>136232.44</v>
      </c>
      <c r="E55" s="373">
        <v>139812.09</v>
      </c>
      <c r="F55" s="194"/>
      <c r="G55" s="194"/>
      <c r="H55" s="194"/>
      <c r="I55" s="194"/>
      <c r="J55" s="194"/>
      <c r="K55" s="194"/>
      <c r="L55" s="194"/>
      <c r="O55" s="372">
        <f t="shared" ref="O55:O61" si="13">+Q9</f>
        <v>169078</v>
      </c>
      <c r="P55" s="393">
        <f t="shared" ref="P55:P61" si="14">+S9</f>
        <v>132294.76999999999</v>
      </c>
      <c r="Q55" s="368">
        <f t="shared" ref="Q55:Q75" si="15">+P55-O55</f>
        <v>-36783.23000000001</v>
      </c>
      <c r="R55" s="374">
        <f>IF(O55+P55&lt;&gt;0,IF(O55&lt;&gt;0,IF(Q55&lt;&gt;0,ROUND((+Q55/O55),4),""),1),"")</f>
        <v>-0.21759999999999999</v>
      </c>
      <c r="S55" s="367" t="s">
        <v>2316</v>
      </c>
      <c r="T55" s="553"/>
      <c r="U55" s="368"/>
      <c r="V55" s="23"/>
      <c r="W55" s="25"/>
      <c r="X55" s="25"/>
      <c r="Y55" s="25"/>
    </row>
    <row r="56" spans="1:25" x14ac:dyDescent="0.25">
      <c r="A56" s="724">
        <v>5113</v>
      </c>
      <c r="B56" s="369" t="s">
        <v>739</v>
      </c>
      <c r="C56" s="373">
        <v>15961.4</v>
      </c>
      <c r="D56" s="373">
        <v>17462.41</v>
      </c>
      <c r="E56" s="373">
        <v>18590.79</v>
      </c>
      <c r="F56" s="194"/>
      <c r="G56" s="194"/>
      <c r="H56" s="194"/>
      <c r="I56" s="194"/>
      <c r="J56" s="194"/>
      <c r="K56" s="194"/>
      <c r="L56" s="194"/>
      <c r="O56" s="372">
        <f t="shared" si="13"/>
        <v>0</v>
      </c>
      <c r="P56" s="393">
        <f t="shared" si="14"/>
        <v>0</v>
      </c>
      <c r="Q56" s="368">
        <f t="shared" si="15"/>
        <v>0</v>
      </c>
      <c r="R56" s="374" t="str">
        <f>IF(O56+P56&lt;&gt;0,IF(O56&lt;&gt;0,IF(Q56&lt;&gt;0,ROUND((+Q56/O56),4),""),1),"")</f>
        <v/>
      </c>
      <c r="S56" s="367"/>
      <c r="T56" s="553"/>
      <c r="U56" s="368"/>
      <c r="V56" s="23"/>
      <c r="W56" s="25"/>
      <c r="X56" s="25"/>
      <c r="Y56" s="25"/>
    </row>
    <row r="57" spans="1:25" x14ac:dyDescent="0.25">
      <c r="A57" s="724">
        <v>5113</v>
      </c>
      <c r="B57" s="369" t="s">
        <v>858</v>
      </c>
      <c r="C57" s="375"/>
      <c r="D57" s="375"/>
      <c r="E57" s="375"/>
      <c r="F57" s="194"/>
      <c r="G57" s="194"/>
      <c r="H57" s="194"/>
      <c r="I57" s="194"/>
      <c r="J57" s="194"/>
      <c r="K57" s="194"/>
      <c r="L57" s="194"/>
      <c r="O57" s="372">
        <f t="shared" si="13"/>
        <v>0</v>
      </c>
      <c r="P57" s="393">
        <f t="shared" si="14"/>
        <v>2000</v>
      </c>
      <c r="Q57" s="368">
        <f t="shared" si="15"/>
        <v>2000</v>
      </c>
      <c r="R57" s="374">
        <f>IF(O57+P57&lt;&gt;0,IF(O57&lt;&gt;0,IF(Q57&lt;&gt;0,ROUND((+Q57/O57),4),""),1),"")</f>
        <v>1</v>
      </c>
      <c r="S57" s="367" t="s">
        <v>2317</v>
      </c>
      <c r="T57" s="553"/>
      <c r="U57" s="368"/>
      <c r="V57" s="23"/>
      <c r="W57" s="25"/>
      <c r="X57" s="25"/>
      <c r="Y57" s="25"/>
    </row>
    <row r="58" spans="1:25" ht="13.8" thickBot="1" x14ac:dyDescent="0.3">
      <c r="A58" s="724">
        <v>5144</v>
      </c>
      <c r="B58" s="369" t="s">
        <v>27</v>
      </c>
      <c r="C58" s="371">
        <v>200</v>
      </c>
      <c r="D58" s="371">
        <v>850</v>
      </c>
      <c r="E58" s="371">
        <v>850</v>
      </c>
      <c r="F58" s="194"/>
      <c r="G58" s="194"/>
      <c r="H58" s="194"/>
      <c r="I58" s="194"/>
      <c r="J58" s="194"/>
      <c r="K58" s="194"/>
      <c r="L58" s="194"/>
      <c r="O58" s="372">
        <f t="shared" si="13"/>
        <v>1800</v>
      </c>
      <c r="P58" s="393">
        <f t="shared" si="14"/>
        <v>1300</v>
      </c>
      <c r="Q58" s="368">
        <f t="shared" si="15"/>
        <v>-500</v>
      </c>
      <c r="R58" s="374">
        <f>IF(O58+P58&lt;&gt;0,IF(O58&lt;&gt;0,IF(Q58&lt;&gt;0,ROUND((+Q58/O58),4),""),1),"")</f>
        <v>-0.27779999999999999</v>
      </c>
      <c r="S58" s="367" t="s">
        <v>2318</v>
      </c>
      <c r="T58" s="553"/>
      <c r="U58" s="368"/>
      <c r="V58" s="23"/>
      <c r="W58" s="25"/>
      <c r="X58" s="25"/>
      <c r="Y58" s="25"/>
    </row>
    <row r="59" spans="1:25" x14ac:dyDescent="0.25">
      <c r="A59" s="724">
        <v>5145</v>
      </c>
      <c r="B59" s="397" t="s">
        <v>744</v>
      </c>
      <c r="C59" s="375"/>
      <c r="D59" s="375"/>
      <c r="E59" s="375"/>
      <c r="F59" s="194"/>
      <c r="G59" s="194"/>
      <c r="H59" s="194"/>
      <c r="I59" s="194"/>
      <c r="J59" s="194"/>
      <c r="K59" s="194"/>
      <c r="L59" s="194"/>
      <c r="O59" s="372">
        <f t="shared" si="13"/>
        <v>300</v>
      </c>
      <c r="P59" s="393">
        <f t="shared" si="14"/>
        <v>300</v>
      </c>
      <c r="Q59" s="368">
        <f t="shared" si="15"/>
        <v>0</v>
      </c>
      <c r="R59" s="374"/>
      <c r="S59" s="367"/>
      <c r="T59" s="553"/>
      <c r="U59" s="368"/>
      <c r="V59" s="23"/>
      <c r="W59" s="25"/>
      <c r="X59" s="25"/>
      <c r="Y59" s="25"/>
    </row>
    <row r="60" spans="1:25" x14ac:dyDescent="0.25">
      <c r="A60" s="726">
        <v>5193</v>
      </c>
      <c r="B60" s="400" t="s">
        <v>819</v>
      </c>
      <c r="C60" s="375"/>
      <c r="D60" s="375"/>
      <c r="E60" s="375"/>
      <c r="F60" s="194"/>
      <c r="G60" s="194"/>
      <c r="H60" s="194"/>
      <c r="I60" s="194"/>
      <c r="J60" s="194"/>
      <c r="K60" s="194"/>
      <c r="L60" s="194"/>
      <c r="O60" s="372">
        <f t="shared" si="13"/>
        <v>0</v>
      </c>
      <c r="P60" s="393">
        <f t="shared" si="14"/>
        <v>0</v>
      </c>
      <c r="Q60" s="368">
        <f t="shared" si="15"/>
        <v>0</v>
      </c>
      <c r="R60" s="374"/>
      <c r="S60" s="367"/>
      <c r="T60" s="553"/>
      <c r="U60" s="368"/>
      <c r="V60" s="23"/>
      <c r="W60" s="25"/>
      <c r="X60" s="25"/>
      <c r="Y60" s="25"/>
    </row>
    <row r="61" spans="1:25" x14ac:dyDescent="0.25">
      <c r="A61" s="724">
        <v>5194</v>
      </c>
      <c r="B61" s="397" t="s">
        <v>820</v>
      </c>
      <c r="C61" s="375"/>
      <c r="D61" s="375"/>
      <c r="E61" s="375"/>
      <c r="F61" s="194"/>
      <c r="G61" s="194"/>
      <c r="H61" s="194"/>
      <c r="I61" s="194"/>
      <c r="J61" s="194"/>
      <c r="K61" s="194"/>
      <c r="L61" s="194"/>
      <c r="O61" s="372">
        <f t="shared" si="13"/>
        <v>0</v>
      </c>
      <c r="P61" s="393">
        <f t="shared" si="14"/>
        <v>0</v>
      </c>
      <c r="Q61" s="368">
        <f t="shared" si="15"/>
        <v>0</v>
      </c>
      <c r="R61" s="374"/>
      <c r="S61" s="367"/>
      <c r="T61" s="553"/>
      <c r="U61" s="368"/>
      <c r="V61" s="23"/>
      <c r="W61" s="25"/>
      <c r="X61" s="25"/>
      <c r="Y61" s="25"/>
    </row>
    <row r="62" spans="1:25" hidden="1" x14ac:dyDescent="0.25">
      <c r="A62" s="724">
        <v>5305</v>
      </c>
      <c r="B62" s="369" t="s">
        <v>779</v>
      </c>
      <c r="C62" s="373"/>
      <c r="D62" s="373">
        <v>0</v>
      </c>
      <c r="E62" s="373"/>
      <c r="F62" s="194"/>
      <c r="G62" s="194"/>
      <c r="H62" s="194"/>
      <c r="I62" s="194"/>
      <c r="J62" s="194"/>
      <c r="K62" s="194"/>
      <c r="L62" s="194"/>
      <c r="O62" s="366">
        <f>+K18</f>
        <v>0</v>
      </c>
      <c r="P62" s="393">
        <f t="shared" ref="P62:P75" si="16">+S18</f>
        <v>0</v>
      </c>
      <c r="Q62" s="368">
        <f t="shared" si="15"/>
        <v>0</v>
      </c>
      <c r="R62" s="374" t="str">
        <f t="shared" ref="R62:R75" si="17">IF(O62+P62&lt;&gt;0,IF(O62&lt;&gt;0,IF(Q62&lt;&gt;0,ROUND((+Q62/O62),4),""),1),"")</f>
        <v/>
      </c>
      <c r="S62" s="367"/>
      <c r="T62" s="553"/>
      <c r="U62" s="368"/>
      <c r="V62" s="23"/>
      <c r="W62" s="25"/>
      <c r="X62" s="25"/>
      <c r="Y62" s="25"/>
    </row>
    <row r="63" spans="1:25" x14ac:dyDescent="0.25">
      <c r="A63" s="724">
        <v>5306</v>
      </c>
      <c r="B63" s="369" t="s">
        <v>859</v>
      </c>
      <c r="C63" s="373">
        <v>4620</v>
      </c>
      <c r="D63" s="373">
        <v>4620</v>
      </c>
      <c r="E63" s="373">
        <v>5451</v>
      </c>
      <c r="F63" s="194"/>
      <c r="G63" s="194"/>
      <c r="H63" s="194"/>
      <c r="I63" s="194"/>
      <c r="J63" s="194"/>
      <c r="K63" s="194"/>
      <c r="L63" s="194"/>
      <c r="O63" s="366">
        <f>+Q19</f>
        <v>6200</v>
      </c>
      <c r="P63" s="393">
        <f t="shared" si="16"/>
        <v>6200</v>
      </c>
      <c r="Q63" s="368">
        <f t="shared" si="15"/>
        <v>0</v>
      </c>
      <c r="R63" s="374" t="str">
        <f t="shared" si="17"/>
        <v/>
      </c>
      <c r="S63" s="367"/>
      <c r="T63" s="553"/>
      <c r="U63" s="368"/>
      <c r="V63" s="23"/>
      <c r="W63" s="25"/>
      <c r="X63" s="25"/>
      <c r="Y63" s="25"/>
    </row>
    <row r="64" spans="1:25" x14ac:dyDescent="0.25">
      <c r="A64" s="724">
        <v>5307</v>
      </c>
      <c r="B64" s="369" t="s">
        <v>2315</v>
      </c>
      <c r="C64" s="373">
        <v>4620</v>
      </c>
      <c r="D64" s="373">
        <v>4620</v>
      </c>
      <c r="E64" s="373">
        <v>5451</v>
      </c>
      <c r="F64" s="194"/>
      <c r="G64" s="194"/>
      <c r="H64" s="194"/>
      <c r="I64" s="194"/>
      <c r="J64" s="194"/>
      <c r="K64" s="194"/>
      <c r="L64" s="194"/>
      <c r="O64" s="366">
        <f>+Q20</f>
        <v>0</v>
      </c>
      <c r="P64" s="393">
        <f t="shared" si="16"/>
        <v>9000</v>
      </c>
      <c r="Q64" s="368">
        <f t="shared" ref="Q64" si="18">+P64-O64</f>
        <v>9000</v>
      </c>
      <c r="R64" s="374">
        <f t="shared" ref="R64" si="19">IF(O64+P64&lt;&gt;0,IF(O64&lt;&gt;0,IF(Q64&lt;&gt;0,ROUND((+Q64/O64),4),""),1),"")</f>
        <v>1</v>
      </c>
      <c r="S64" s="367" t="s">
        <v>2319</v>
      </c>
      <c r="T64" s="553"/>
      <c r="U64" s="368"/>
      <c r="V64" s="23"/>
      <c r="W64" s="25"/>
      <c r="X64" s="25"/>
      <c r="Y64" s="25"/>
    </row>
    <row r="65" spans="1:25" x14ac:dyDescent="0.25">
      <c r="A65" s="724">
        <v>5314</v>
      </c>
      <c r="B65" s="369" t="s">
        <v>749</v>
      </c>
      <c r="C65" s="373"/>
      <c r="D65" s="373">
        <v>110</v>
      </c>
      <c r="E65" s="373"/>
      <c r="F65" s="194"/>
      <c r="G65" s="194"/>
      <c r="H65" s="194"/>
      <c r="I65" s="194"/>
      <c r="J65" s="194"/>
      <c r="K65" s="194"/>
      <c r="L65" s="194"/>
      <c r="O65" s="366">
        <f>+Q21</f>
        <v>200</v>
      </c>
      <c r="P65" s="393">
        <f t="shared" si="16"/>
        <v>200</v>
      </c>
      <c r="Q65" s="368">
        <f t="shared" si="15"/>
        <v>0</v>
      </c>
      <c r="R65" s="374" t="str">
        <f t="shared" si="17"/>
        <v/>
      </c>
      <c r="S65" s="367"/>
      <c r="T65" s="553"/>
      <c r="U65" s="368"/>
      <c r="V65" s="23"/>
      <c r="W65" s="4"/>
      <c r="X65" s="4"/>
      <c r="Y65" s="4"/>
    </row>
    <row r="66" spans="1:25" x14ac:dyDescent="0.25">
      <c r="A66" s="724">
        <v>5315</v>
      </c>
      <c r="B66" s="369" t="s">
        <v>860</v>
      </c>
      <c r="C66" s="373"/>
      <c r="D66" s="373"/>
      <c r="E66" s="373"/>
      <c r="F66" s="194"/>
      <c r="G66" s="194"/>
      <c r="H66" s="194"/>
      <c r="I66" s="194"/>
      <c r="J66" s="194"/>
      <c r="K66" s="194"/>
      <c r="L66" s="194"/>
      <c r="O66" s="366">
        <f>+Q22</f>
        <v>2600</v>
      </c>
      <c r="P66" s="393">
        <f t="shared" si="16"/>
        <v>2600</v>
      </c>
      <c r="Q66" s="368">
        <f t="shared" si="15"/>
        <v>0</v>
      </c>
      <c r="R66" s="374" t="str">
        <f t="shared" si="17"/>
        <v/>
      </c>
      <c r="S66" s="367"/>
      <c r="T66" s="553"/>
      <c r="U66" s="368"/>
      <c r="V66" s="23"/>
      <c r="W66" s="4"/>
      <c r="X66" s="4"/>
      <c r="Y66" s="4"/>
    </row>
    <row r="67" spans="1:25" hidden="1" x14ac:dyDescent="0.25">
      <c r="A67" s="724">
        <v>5341</v>
      </c>
      <c r="B67" s="369" t="s">
        <v>751</v>
      </c>
      <c r="C67" s="373">
        <v>425.78</v>
      </c>
      <c r="D67" s="373">
        <v>415.92</v>
      </c>
      <c r="E67" s="373">
        <v>414.96</v>
      </c>
      <c r="F67" s="194"/>
      <c r="G67" s="194"/>
      <c r="H67" s="194"/>
      <c r="I67" s="194"/>
      <c r="J67" s="194"/>
      <c r="K67" s="194"/>
      <c r="L67" s="194"/>
      <c r="O67" s="366">
        <f>+O23</f>
        <v>0</v>
      </c>
      <c r="P67" s="393">
        <f t="shared" si="16"/>
        <v>0</v>
      </c>
      <c r="Q67" s="368">
        <f t="shared" si="15"/>
        <v>0</v>
      </c>
      <c r="R67" s="374" t="str">
        <f t="shared" si="17"/>
        <v/>
      </c>
      <c r="S67" s="367"/>
      <c r="T67" s="553"/>
      <c r="U67" s="368"/>
      <c r="V67" s="23"/>
      <c r="W67" s="4"/>
      <c r="X67" s="4"/>
      <c r="Y67" s="4"/>
    </row>
    <row r="68" spans="1:25" x14ac:dyDescent="0.25">
      <c r="A68" s="724">
        <v>5344</v>
      </c>
      <c r="B68" s="369" t="s">
        <v>722</v>
      </c>
      <c r="C68" s="373">
        <v>12123.38</v>
      </c>
      <c r="D68" s="373">
        <v>12087.96</v>
      </c>
      <c r="E68" s="373">
        <v>13215.57</v>
      </c>
      <c r="F68" s="194"/>
      <c r="G68" s="194"/>
      <c r="H68" s="194"/>
      <c r="I68" s="194"/>
      <c r="J68" s="194"/>
      <c r="K68" s="194"/>
      <c r="L68" s="194"/>
      <c r="O68" s="366">
        <f t="shared" ref="O68:O75" si="20">+Q24</f>
        <v>16000</v>
      </c>
      <c r="P68" s="393">
        <f t="shared" si="16"/>
        <v>16500</v>
      </c>
      <c r="Q68" s="368">
        <f t="shared" si="15"/>
        <v>500</v>
      </c>
      <c r="R68" s="374">
        <f t="shared" si="17"/>
        <v>3.1300000000000001E-2</v>
      </c>
      <c r="S68" s="367" t="s">
        <v>2320</v>
      </c>
      <c r="T68" s="553"/>
      <c r="U68" s="368"/>
      <c r="V68" s="23"/>
      <c r="W68" s="4"/>
      <c r="X68" s="4"/>
      <c r="Y68" s="4"/>
    </row>
    <row r="69" spans="1:25" x14ac:dyDescent="0.25">
      <c r="A69" s="724">
        <v>5345</v>
      </c>
      <c r="B69" s="369" t="s">
        <v>752</v>
      </c>
      <c r="C69" s="365"/>
      <c r="D69" s="365"/>
      <c r="E69" s="365"/>
      <c r="F69" s="194"/>
      <c r="G69" s="194"/>
      <c r="H69" s="194"/>
      <c r="I69" s="194"/>
      <c r="J69" s="194"/>
      <c r="K69" s="194"/>
      <c r="L69" s="194"/>
      <c r="O69" s="366">
        <f t="shared" si="20"/>
        <v>0</v>
      </c>
      <c r="P69" s="393">
        <f t="shared" si="16"/>
        <v>0</v>
      </c>
      <c r="Q69" s="368">
        <f t="shared" si="15"/>
        <v>0</v>
      </c>
      <c r="R69" s="374" t="str">
        <f t="shared" si="17"/>
        <v/>
      </c>
      <c r="S69" s="367"/>
      <c r="T69" s="553"/>
      <c r="U69" s="368"/>
      <c r="V69" s="23"/>
      <c r="W69" s="4"/>
      <c r="X69" s="4"/>
      <c r="Y69" s="4"/>
    </row>
    <row r="70" spans="1:25" x14ac:dyDescent="0.25">
      <c r="A70" s="724">
        <v>5420</v>
      </c>
      <c r="B70" s="369" t="s">
        <v>753</v>
      </c>
      <c r="C70" s="365">
        <v>4414.04</v>
      </c>
      <c r="D70" s="365">
        <v>6221.32</v>
      </c>
      <c r="E70" s="365">
        <v>3872.38</v>
      </c>
      <c r="F70" s="194"/>
      <c r="G70" s="194"/>
      <c r="H70" s="194"/>
      <c r="I70" s="194"/>
      <c r="J70" s="194"/>
      <c r="K70" s="194"/>
      <c r="L70" s="194"/>
      <c r="O70" s="366">
        <f t="shared" si="20"/>
        <v>8000</v>
      </c>
      <c r="P70" s="393">
        <f t="shared" si="16"/>
        <v>8000</v>
      </c>
      <c r="Q70" s="368">
        <f t="shared" si="15"/>
        <v>0</v>
      </c>
      <c r="R70" s="374" t="str">
        <f t="shared" si="17"/>
        <v/>
      </c>
      <c r="S70" s="367"/>
      <c r="T70" s="553"/>
      <c r="U70" s="368"/>
      <c r="V70" s="23"/>
      <c r="W70" s="4"/>
      <c r="X70" s="4"/>
      <c r="Y70" s="4"/>
    </row>
    <row r="71" spans="1:25" x14ac:dyDescent="0.25">
      <c r="A71" s="724">
        <v>5590</v>
      </c>
      <c r="B71" s="369" t="s">
        <v>757</v>
      </c>
      <c r="C71" s="365"/>
      <c r="D71" s="365"/>
      <c r="E71" s="365"/>
      <c r="F71" s="194"/>
      <c r="G71" s="194"/>
      <c r="H71" s="194"/>
      <c r="I71" s="194"/>
      <c r="J71" s="194"/>
      <c r="K71" s="194"/>
      <c r="L71" s="194"/>
      <c r="O71" s="366">
        <f t="shared" si="20"/>
        <v>0</v>
      </c>
      <c r="P71" s="393">
        <f t="shared" si="16"/>
        <v>0</v>
      </c>
      <c r="Q71" s="368">
        <f t="shared" si="15"/>
        <v>0</v>
      </c>
      <c r="R71" s="374" t="str">
        <f t="shared" si="17"/>
        <v/>
      </c>
      <c r="S71" s="367"/>
      <c r="T71" s="553"/>
      <c r="U71" s="368"/>
      <c r="V71" s="23"/>
      <c r="W71" s="4"/>
      <c r="X71" s="4"/>
      <c r="Y71" s="4"/>
    </row>
    <row r="72" spans="1:25" x14ac:dyDescent="0.25">
      <c r="A72" s="724">
        <v>5710</v>
      </c>
      <c r="B72" s="369" t="s">
        <v>758</v>
      </c>
      <c r="C72" s="365">
        <v>916.62</v>
      </c>
      <c r="D72" s="365">
        <v>1018.29</v>
      </c>
      <c r="E72" s="365">
        <v>763.19</v>
      </c>
      <c r="F72" s="194"/>
      <c r="G72" s="194"/>
      <c r="H72" s="194"/>
      <c r="I72" s="194"/>
      <c r="J72" s="194"/>
      <c r="K72" s="194"/>
      <c r="L72" s="194"/>
      <c r="O72" s="366">
        <f t="shared" si="20"/>
        <v>600</v>
      </c>
      <c r="P72" s="393">
        <f t="shared" si="16"/>
        <v>400</v>
      </c>
      <c r="Q72" s="368">
        <f t="shared" si="15"/>
        <v>-200</v>
      </c>
      <c r="R72" s="374">
        <f t="shared" si="17"/>
        <v>-0.33329999999999999</v>
      </c>
      <c r="S72" s="367" t="s">
        <v>2321</v>
      </c>
      <c r="T72" s="553"/>
      <c r="U72" s="368"/>
      <c r="V72" s="23"/>
      <c r="W72" s="4"/>
      <c r="X72" s="4"/>
      <c r="Y72" s="4"/>
    </row>
    <row r="73" spans="1:25" x14ac:dyDescent="0.25">
      <c r="A73" s="724">
        <v>5730</v>
      </c>
      <c r="B73" s="369" t="s">
        <v>759</v>
      </c>
      <c r="C73" s="373">
        <v>100</v>
      </c>
      <c r="D73" s="373">
        <v>100</v>
      </c>
      <c r="E73" s="373">
        <v>60</v>
      </c>
      <c r="F73" s="194"/>
      <c r="G73" s="194"/>
      <c r="H73" s="194"/>
      <c r="I73" s="194"/>
      <c r="J73" s="194"/>
      <c r="K73" s="194"/>
      <c r="L73" s="194"/>
      <c r="O73" s="366">
        <f t="shared" si="20"/>
        <v>120</v>
      </c>
      <c r="P73" s="393">
        <f t="shared" si="16"/>
        <v>120</v>
      </c>
      <c r="Q73" s="368">
        <f t="shared" si="15"/>
        <v>0</v>
      </c>
      <c r="R73" s="374" t="str">
        <f t="shared" si="17"/>
        <v/>
      </c>
      <c r="S73" s="367"/>
      <c r="T73" s="553"/>
      <c r="U73" s="368"/>
      <c r="V73" s="23"/>
      <c r="W73" s="4"/>
      <c r="X73" s="4"/>
      <c r="Y73" s="4"/>
    </row>
    <row r="74" spans="1:25" x14ac:dyDescent="0.25">
      <c r="A74" s="724">
        <v>5740</v>
      </c>
      <c r="B74" s="369" t="s">
        <v>861</v>
      </c>
      <c r="C74" s="373">
        <v>2197.5</v>
      </c>
      <c r="D74" s="373">
        <v>2197.5</v>
      </c>
      <c r="E74" s="373">
        <v>2197.5</v>
      </c>
      <c r="F74" s="194"/>
      <c r="G74" s="194"/>
      <c r="H74" s="194"/>
      <c r="I74" s="194"/>
      <c r="J74" s="194"/>
      <c r="K74" s="194"/>
      <c r="L74" s="194"/>
      <c r="O74" s="366">
        <f t="shared" si="20"/>
        <v>3150</v>
      </c>
      <c r="P74" s="393">
        <f t="shared" si="16"/>
        <v>3050</v>
      </c>
      <c r="Q74" s="368">
        <f t="shared" si="15"/>
        <v>-100</v>
      </c>
      <c r="R74" s="374">
        <f t="shared" si="17"/>
        <v>-3.1699999999999999E-2</v>
      </c>
      <c r="S74" s="367" t="s">
        <v>2318</v>
      </c>
      <c r="T74" s="553"/>
      <c r="U74" s="368"/>
      <c r="V74" s="23"/>
      <c r="W74" s="4"/>
      <c r="X74" s="4"/>
      <c r="Y74" s="4"/>
    </row>
    <row r="75" spans="1:25" ht="13.8" thickBot="1" x14ac:dyDescent="0.3">
      <c r="A75" s="724">
        <v>5781</v>
      </c>
      <c r="B75" s="369" t="s">
        <v>862</v>
      </c>
      <c r="C75" s="371">
        <v>18473.189999999999</v>
      </c>
      <c r="D75" s="371">
        <v>15994.06</v>
      </c>
      <c r="E75" s="371">
        <v>21530.9</v>
      </c>
      <c r="F75" s="194"/>
      <c r="G75" s="194"/>
      <c r="H75" s="194"/>
      <c r="I75" s="194"/>
      <c r="J75" s="194"/>
      <c r="K75" s="194"/>
      <c r="L75" s="194"/>
      <c r="O75" s="366">
        <f t="shared" si="20"/>
        <v>23000</v>
      </c>
      <c r="P75" s="393">
        <f t="shared" si="16"/>
        <v>25000</v>
      </c>
      <c r="Q75" s="368">
        <f t="shared" si="15"/>
        <v>2000</v>
      </c>
      <c r="R75" s="374">
        <f t="shared" si="17"/>
        <v>8.6999999999999994E-2</v>
      </c>
      <c r="S75" s="367" t="s">
        <v>2322</v>
      </c>
      <c r="T75" s="553"/>
      <c r="U75" s="368"/>
      <c r="V75" s="23"/>
      <c r="W75" s="4"/>
      <c r="X75" s="4"/>
      <c r="Y75" s="4"/>
    </row>
    <row r="76" spans="1:25" x14ac:dyDescent="0.25">
      <c r="A76" s="703"/>
      <c r="B76" s="4"/>
      <c r="C76" s="23"/>
      <c r="D76" s="23"/>
      <c r="E76" s="23"/>
      <c r="F76" s="23"/>
      <c r="G76" s="23"/>
      <c r="H76" s="194"/>
      <c r="I76" s="194"/>
      <c r="J76" s="194"/>
      <c r="K76" s="194"/>
      <c r="L76" s="194"/>
      <c r="O76" s="23"/>
      <c r="P76" s="23"/>
      <c r="Q76" s="23"/>
      <c r="R76" s="4"/>
      <c r="S76" s="23"/>
      <c r="T76" s="23"/>
      <c r="U76" s="23"/>
      <c r="V76" s="23"/>
      <c r="W76" s="4"/>
      <c r="X76" s="4"/>
      <c r="Y76" s="4"/>
    </row>
    <row r="77" spans="1:25" x14ac:dyDescent="0.25">
      <c r="A77" s="703"/>
      <c r="B77" s="4" t="s">
        <v>735</v>
      </c>
      <c r="C77" s="23"/>
      <c r="D77" s="23"/>
      <c r="E77" s="23"/>
      <c r="F77" s="23"/>
      <c r="G77" s="23"/>
      <c r="H77" s="194"/>
      <c r="I77" s="194"/>
      <c r="J77" s="194"/>
      <c r="K77" s="194"/>
      <c r="L77" s="194"/>
      <c r="O77" s="597">
        <f>SUM(O55:O75)</f>
        <v>231048</v>
      </c>
      <c r="P77" s="597">
        <f>SUM(P55:P75)</f>
        <v>206964.77</v>
      </c>
      <c r="Q77" s="25">
        <f>+P77-O77</f>
        <v>-24083.23000000001</v>
      </c>
      <c r="R77" s="598">
        <f>IF(O77+P77&lt;&gt;0,IF(O77&lt;&gt;0,IF(Q77&lt;&gt;0,ROUND((+Q77/O77),4),""),1),"")</f>
        <v>-0.1042</v>
      </c>
      <c r="S77" s="23"/>
      <c r="T77" s="23"/>
      <c r="U77" s="23"/>
      <c r="V77" s="23"/>
      <c r="W77" s="4"/>
      <c r="X77" s="4"/>
      <c r="Y77" s="4"/>
    </row>
    <row r="78" spans="1:25" ht="15.6" x14ac:dyDescent="0.25">
      <c r="A78" s="750" t="s">
        <v>871</v>
      </c>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5">
      <c r="A79" s="703"/>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5">
      <c r="A80" s="703"/>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5">
      <c r="A81" s="703"/>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5">
      <c r="A82" s="703"/>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5">
      <c r="C83" s="194"/>
    </row>
    <row r="84" spans="1:25" x14ac:dyDescent="0.25">
      <c r="C84" s="194"/>
    </row>
    <row r="85" spans="1:25" x14ac:dyDescent="0.25">
      <c r="C85" s="194"/>
    </row>
    <row r="86" spans="1:25" x14ac:dyDescent="0.25">
      <c r="C86" s="194"/>
    </row>
    <row r="87" spans="1:25" x14ac:dyDescent="0.25">
      <c r="C87" s="194"/>
    </row>
    <row r="88" spans="1:25" x14ac:dyDescent="0.25">
      <c r="C88" s="194"/>
    </row>
    <row r="89" spans="1:25" x14ac:dyDescent="0.25">
      <c r="C89" s="194"/>
    </row>
    <row r="90" spans="1:25" x14ac:dyDescent="0.25">
      <c r="C90" s="194"/>
    </row>
    <row r="91" spans="1:25" x14ac:dyDescent="0.25">
      <c r="C91" s="194"/>
    </row>
    <row r="92" spans="1:25" x14ac:dyDescent="0.25">
      <c r="C92" s="194"/>
    </row>
    <row r="93" spans="1:25" x14ac:dyDescent="0.25">
      <c r="C93" s="194"/>
    </row>
    <row r="94" spans="1:25" x14ac:dyDescent="0.25">
      <c r="C94" s="194"/>
    </row>
    <row r="95" spans="1:25" x14ac:dyDescent="0.25">
      <c r="C95" s="194"/>
    </row>
    <row r="96" spans="1:25" x14ac:dyDescent="0.25">
      <c r="C96" s="194"/>
    </row>
    <row r="97" spans="3:3" x14ac:dyDescent="0.25">
      <c r="C97" s="194"/>
    </row>
    <row r="98" spans="3:3" x14ac:dyDescent="0.25">
      <c r="C98" s="194"/>
    </row>
    <row r="99" spans="3:3" x14ac:dyDescent="0.25">
      <c r="C99" s="194"/>
    </row>
    <row r="100" spans="3:3" x14ac:dyDescent="0.25">
      <c r="C100" s="194"/>
    </row>
    <row r="101" spans="3:3" x14ac:dyDescent="0.25">
      <c r="C101" s="194"/>
    </row>
    <row r="102" spans="3:3" x14ac:dyDescent="0.25">
      <c r="C102" s="194"/>
    </row>
    <row r="103" spans="3:3" x14ac:dyDescent="0.25">
      <c r="C103" s="194"/>
    </row>
    <row r="104" spans="3:3" x14ac:dyDescent="0.25">
      <c r="C104" s="194"/>
    </row>
    <row r="105" spans="3:3" x14ac:dyDescent="0.25">
      <c r="C105" s="194"/>
    </row>
    <row r="106" spans="3:3" x14ac:dyDescent="0.25">
      <c r="C106" s="194"/>
    </row>
    <row r="107" spans="3:3" x14ac:dyDescent="0.25">
      <c r="C107" s="194"/>
    </row>
    <row r="108" spans="3:3" x14ac:dyDescent="0.25">
      <c r="C108" s="194"/>
    </row>
    <row r="109" spans="3:3" x14ac:dyDescent="0.25">
      <c r="C109" s="194"/>
    </row>
    <row r="110" spans="3:3" x14ac:dyDescent="0.25">
      <c r="C110" s="194"/>
    </row>
    <row r="111" spans="3:3" x14ac:dyDescent="0.25">
      <c r="C111" s="194"/>
    </row>
    <row r="112" spans="3:3" x14ac:dyDescent="0.25">
      <c r="C112" s="194"/>
    </row>
    <row r="113" spans="3:3" x14ac:dyDescent="0.25">
      <c r="C113" s="194"/>
    </row>
    <row r="114" spans="3:3" x14ac:dyDescent="0.25">
      <c r="C114" s="194"/>
    </row>
    <row r="115" spans="3:3" x14ac:dyDescent="0.25">
      <c r="C115" s="194"/>
    </row>
    <row r="116" spans="3:3" x14ac:dyDescent="0.25">
      <c r="C116" s="194"/>
    </row>
    <row r="117" spans="3:3" x14ac:dyDescent="0.25">
      <c r="C117" s="194"/>
    </row>
    <row r="118" spans="3:3" x14ac:dyDescent="0.25">
      <c r="C118" s="194"/>
    </row>
    <row r="119" spans="3:3" x14ac:dyDescent="0.25">
      <c r="C119" s="194"/>
    </row>
    <row r="120" spans="3:3" x14ac:dyDescent="0.25">
      <c r="C120" s="194"/>
    </row>
    <row r="121" spans="3:3" x14ac:dyDescent="0.25">
      <c r="C121" s="194"/>
    </row>
    <row r="122" spans="3:3" x14ac:dyDescent="0.25">
      <c r="C122" s="194"/>
    </row>
    <row r="123" spans="3:3" x14ac:dyDescent="0.25">
      <c r="C123" s="194"/>
    </row>
    <row r="124" spans="3:3" x14ac:dyDescent="0.25">
      <c r="C124" s="194"/>
    </row>
    <row r="125" spans="3:3" x14ac:dyDescent="0.25">
      <c r="C125" s="194"/>
    </row>
    <row r="126" spans="3:3" x14ac:dyDescent="0.25">
      <c r="C126" s="194"/>
    </row>
    <row r="127" spans="3:3" x14ac:dyDescent="0.25">
      <c r="C127" s="194"/>
    </row>
    <row r="128" spans="3:3" x14ac:dyDescent="0.25">
      <c r="C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sheetData>
  <phoneticPr fontId="0" type="noConversion"/>
  <hyperlinks>
    <hyperlink ref="A1" location="'Working Budget with funding det'!A1" display="Main " xr:uid="{00000000-0004-0000-1000-000000000000}"/>
    <hyperlink ref="B1" location="'Table of Contents'!A1" display="TOC" xr:uid="{00000000-0004-0000-1000-000001000000}"/>
  </hyperlinks>
  <pageMargins left="0.75" right="0.75" top="1" bottom="1" header="0.5" footer="0.5"/>
  <pageSetup scale="90" fitToHeight="2" orientation="landscape" r:id="rId1"/>
  <headerFooter alignWithMargins="0">
    <oddFooter>&amp;L&amp;D     &amp;T&amp;C&amp;F&amp;R&amp;A   &amp;P</oddFooter>
  </headerFooter>
  <rowBreaks count="1" manualBreakCount="1">
    <brk id="37" max="1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Y171"/>
  <sheetViews>
    <sheetView topLeftCell="A6" workbookViewId="0">
      <selection activeCell="T29" sqref="T29"/>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705</v>
      </c>
      <c r="B2" s="43"/>
      <c r="D2" s="194"/>
      <c r="E2" s="125"/>
      <c r="F2" s="194"/>
      <c r="G2" s="194"/>
      <c r="H2" s="194"/>
      <c r="I2" s="125" t="s">
        <v>706</v>
      </c>
      <c r="J2" s="125"/>
      <c r="K2" s="125"/>
      <c r="L2" s="125"/>
      <c r="M2" s="125"/>
      <c r="N2" s="125"/>
      <c r="O2" s="125"/>
      <c r="P2" s="125"/>
      <c r="Q2" s="125"/>
      <c r="R2" s="58" t="s">
        <v>521</v>
      </c>
      <c r="U2" s="44" t="s">
        <v>872</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8"/>
      <c r="J8" s="18"/>
      <c r="K8" s="19"/>
      <c r="L8" s="19"/>
      <c r="M8" s="19"/>
      <c r="N8" s="19"/>
      <c r="O8" s="19"/>
      <c r="P8" s="19"/>
      <c r="Q8" s="19"/>
      <c r="R8" s="18"/>
      <c r="S8" s="19"/>
      <c r="T8" s="19"/>
      <c r="U8" s="19"/>
    </row>
    <row r="9" spans="1:24" x14ac:dyDescent="0.25">
      <c r="A9" s="708">
        <v>5301</v>
      </c>
      <c r="B9" s="60" t="s">
        <v>873</v>
      </c>
      <c r="C9" s="115">
        <v>13833</v>
      </c>
      <c r="D9" s="13">
        <v>14157.5</v>
      </c>
      <c r="E9" s="13">
        <v>18901.330000000002</v>
      </c>
      <c r="F9" s="13">
        <v>13281.7</v>
      </c>
      <c r="G9" s="13">
        <v>26679.23</v>
      </c>
      <c r="H9" s="13">
        <v>19011.8</v>
      </c>
      <c r="I9" s="13">
        <v>14065.25</v>
      </c>
      <c r="J9" s="13">
        <v>14591.66</v>
      </c>
      <c r="K9" s="14">
        <v>20000</v>
      </c>
      <c r="L9" s="13">
        <v>3810.5</v>
      </c>
      <c r="M9" s="14">
        <v>25000</v>
      </c>
      <c r="N9" s="13">
        <v>16224</v>
      </c>
      <c r="O9" s="14">
        <v>20000</v>
      </c>
      <c r="P9" s="13">
        <v>13093.5</v>
      </c>
      <c r="Q9" s="14">
        <v>20000</v>
      </c>
      <c r="R9" s="13">
        <v>2070</v>
      </c>
      <c r="S9" s="14">
        <v>25000</v>
      </c>
      <c r="T9" s="14"/>
      <c r="U9" s="14"/>
    </row>
    <row r="10" spans="1:24" x14ac:dyDescent="0.25">
      <c r="A10" s="708">
        <v>5302</v>
      </c>
      <c r="B10" s="60" t="s">
        <v>94</v>
      </c>
      <c r="C10" s="115">
        <v>65458.74</v>
      </c>
      <c r="D10" s="13">
        <v>54064.83</v>
      </c>
      <c r="E10" s="13">
        <v>85357.14</v>
      </c>
      <c r="F10" s="13">
        <v>56286.879999999997</v>
      </c>
      <c r="G10" s="13">
        <v>68311.7</v>
      </c>
      <c r="H10" s="13">
        <v>59740.73</v>
      </c>
      <c r="I10" s="13">
        <v>47985.74</v>
      </c>
      <c r="J10" s="13">
        <v>32798.629999999997</v>
      </c>
      <c r="K10" s="14">
        <v>60000</v>
      </c>
      <c r="L10" s="13">
        <v>47217.58</v>
      </c>
      <c r="M10" s="14">
        <v>60000</v>
      </c>
      <c r="N10" s="13">
        <v>46301.78</v>
      </c>
      <c r="O10" s="14">
        <v>55000</v>
      </c>
      <c r="P10" s="13">
        <v>50552.92</v>
      </c>
      <c r="Q10" s="14">
        <v>55000</v>
      </c>
      <c r="R10" s="13">
        <v>21643.21</v>
      </c>
      <c r="S10" s="14">
        <v>57475</v>
      </c>
      <c r="T10" s="14"/>
      <c r="U10" s="36"/>
    </row>
    <row r="11" spans="1:24" x14ac:dyDescent="0.25">
      <c r="A11" s="725">
        <v>5304</v>
      </c>
      <c r="B11" s="60" t="s">
        <v>1929</v>
      </c>
      <c r="C11" s="115"/>
      <c r="D11" s="13"/>
      <c r="E11" s="13"/>
      <c r="F11" s="13"/>
      <c r="G11" s="13"/>
      <c r="H11" s="13"/>
      <c r="I11" s="13"/>
      <c r="J11" s="13"/>
      <c r="K11" s="14"/>
      <c r="L11" s="13"/>
      <c r="M11" s="14"/>
      <c r="N11" s="13"/>
      <c r="O11" s="14"/>
      <c r="P11" s="13">
        <v>2500</v>
      </c>
      <c r="Q11" s="14">
        <v>5000</v>
      </c>
      <c r="R11" s="13"/>
      <c r="S11" s="14">
        <v>5000</v>
      </c>
      <c r="T11" s="14"/>
      <c r="U11" s="36"/>
    </row>
    <row r="12" spans="1:24" ht="13.8" thickBot="1" x14ac:dyDescent="0.3">
      <c r="A12" s="725">
        <v>5303</v>
      </c>
      <c r="B12" s="101" t="s">
        <v>874</v>
      </c>
      <c r="C12" s="581"/>
      <c r="D12" s="37"/>
      <c r="E12" s="37"/>
      <c r="F12" s="37">
        <v>5000</v>
      </c>
      <c r="G12" s="37"/>
      <c r="H12" s="37"/>
      <c r="I12" s="37"/>
      <c r="J12" s="37"/>
      <c r="K12" s="38"/>
      <c r="L12" s="37"/>
      <c r="M12" s="38"/>
      <c r="N12" s="37"/>
      <c r="O12" s="38"/>
      <c r="P12" s="37"/>
      <c r="Q12" s="38"/>
      <c r="R12" s="37"/>
      <c r="S12" s="38"/>
      <c r="T12" s="38"/>
      <c r="U12" s="16"/>
    </row>
    <row r="13" spans="1:24" x14ac:dyDescent="0.25">
      <c r="A13" s="708"/>
      <c r="B13" s="61" t="s">
        <v>728</v>
      </c>
      <c r="C13" s="117">
        <f t="shared" ref="C13:S13" si="0">SUM(C9:C12)</f>
        <v>79291.739999999991</v>
      </c>
      <c r="D13" s="18">
        <f t="shared" si="0"/>
        <v>68222.33</v>
      </c>
      <c r="E13" s="18">
        <f t="shared" si="0"/>
        <v>104258.47</v>
      </c>
      <c r="F13" s="18">
        <f>SUM(F9:F12)</f>
        <v>74568.58</v>
      </c>
      <c r="G13" s="18">
        <f>SUM(G9:G12)</f>
        <v>94990.93</v>
      </c>
      <c r="H13" s="18">
        <f>SUM(H9:H12)</f>
        <v>78752.53</v>
      </c>
      <c r="I13" s="18">
        <f t="shared" si="0"/>
        <v>62050.99</v>
      </c>
      <c r="J13" s="18">
        <f t="shared" ref="J13" si="1">SUM(J9:J12)</f>
        <v>47390.289999999994</v>
      </c>
      <c r="K13" s="19">
        <f t="shared" ref="K13:O13" si="2">SUM(K9:K12)</f>
        <v>80000</v>
      </c>
      <c r="L13" s="18">
        <f t="shared" si="2"/>
        <v>51028.08</v>
      </c>
      <c r="M13" s="19">
        <f t="shared" si="2"/>
        <v>85000</v>
      </c>
      <c r="N13" s="18">
        <f t="shared" ref="N13" si="3">SUM(N9:N12)</f>
        <v>62525.78</v>
      </c>
      <c r="O13" s="19">
        <f t="shared" si="2"/>
        <v>75000</v>
      </c>
      <c r="P13" s="18">
        <f t="shared" ref="P13" si="4">SUM(P9:P12)</f>
        <v>66146.42</v>
      </c>
      <c r="Q13" s="19">
        <f t="shared" ref="Q13" si="5">SUM(Q9:Q12)</f>
        <v>80000</v>
      </c>
      <c r="R13" s="18">
        <f t="shared" si="0"/>
        <v>23713.21</v>
      </c>
      <c r="S13" s="19">
        <f t="shared" si="0"/>
        <v>87475</v>
      </c>
      <c r="T13" s="19"/>
      <c r="U13" s="19"/>
    </row>
    <row r="14" spans="1:24" x14ac:dyDescent="0.25">
      <c r="A14" s="708"/>
      <c r="B14" s="60"/>
      <c r="C14" s="115"/>
      <c r="D14" s="13"/>
      <c r="E14" s="13"/>
      <c r="F14" s="13"/>
      <c r="G14" s="13"/>
      <c r="H14" s="13"/>
      <c r="I14" s="13"/>
      <c r="J14" s="13"/>
      <c r="K14" s="14"/>
      <c r="L14" s="13"/>
      <c r="M14" s="14"/>
      <c r="N14" s="13"/>
      <c r="O14" s="14"/>
      <c r="P14" s="13"/>
      <c r="Q14" s="14"/>
      <c r="R14" s="13"/>
      <c r="S14" s="14"/>
      <c r="T14" s="14"/>
      <c r="U14" s="14"/>
    </row>
    <row r="15" spans="1:24" x14ac:dyDescent="0.25">
      <c r="A15" s="708"/>
      <c r="B15" s="60"/>
      <c r="C15" s="115"/>
      <c r="D15" s="13"/>
      <c r="E15" s="13"/>
      <c r="F15" s="13"/>
      <c r="G15" s="13"/>
      <c r="H15" s="13"/>
      <c r="I15" s="13"/>
      <c r="J15" s="13"/>
      <c r="K15" s="14"/>
      <c r="L15" s="13"/>
      <c r="M15" s="14"/>
      <c r="N15" s="13"/>
      <c r="O15" s="14"/>
      <c r="P15" s="13"/>
      <c r="Q15" s="14"/>
      <c r="R15" s="13"/>
      <c r="S15" s="14"/>
      <c r="T15" s="14"/>
      <c r="U15" s="14"/>
    </row>
    <row r="16" spans="1:24" ht="13.8" thickBot="1" x14ac:dyDescent="0.3">
      <c r="A16" s="709"/>
      <c r="B16" s="583" t="s">
        <v>875</v>
      </c>
      <c r="C16" s="577">
        <f t="shared" ref="C16:S16" si="6">+C13</f>
        <v>79291.739999999991</v>
      </c>
      <c r="D16" s="21">
        <f t="shared" si="6"/>
        <v>68222.33</v>
      </c>
      <c r="E16" s="21">
        <f>+E13</f>
        <v>104258.47</v>
      </c>
      <c r="F16" s="21">
        <f>+F13</f>
        <v>74568.58</v>
      </c>
      <c r="G16" s="21">
        <f>+G13</f>
        <v>94990.93</v>
      </c>
      <c r="H16" s="21">
        <f>+H13</f>
        <v>78752.53</v>
      </c>
      <c r="I16" s="21">
        <f t="shared" si="6"/>
        <v>62050.99</v>
      </c>
      <c r="J16" s="21">
        <f t="shared" ref="J16" si="7">+J13</f>
        <v>47390.289999999994</v>
      </c>
      <c r="K16" s="22">
        <f t="shared" ref="K16:O16" si="8">+K13</f>
        <v>80000</v>
      </c>
      <c r="L16" s="21">
        <f t="shared" si="8"/>
        <v>51028.08</v>
      </c>
      <c r="M16" s="22">
        <f t="shared" si="8"/>
        <v>85000</v>
      </c>
      <c r="N16" s="21">
        <f t="shared" ref="N16" si="9">+N13</f>
        <v>62525.78</v>
      </c>
      <c r="O16" s="22">
        <f t="shared" si="8"/>
        <v>75000</v>
      </c>
      <c r="P16" s="21">
        <f t="shared" ref="P16" si="10">+P13</f>
        <v>66146.42</v>
      </c>
      <c r="Q16" s="22">
        <f t="shared" ref="Q16" si="11">+Q13</f>
        <v>80000</v>
      </c>
      <c r="R16" s="21">
        <f t="shared" si="6"/>
        <v>23713.21</v>
      </c>
      <c r="S16" s="22">
        <f t="shared" si="6"/>
        <v>87475</v>
      </c>
      <c r="T16" s="22">
        <f>+S16</f>
        <v>87475</v>
      </c>
      <c r="U16" s="22">
        <f>+S16</f>
        <v>87475</v>
      </c>
    </row>
    <row r="17" spans="1:24" ht="13.8" thickTop="1" x14ac:dyDescent="0.25">
      <c r="A17" s="703"/>
      <c r="B17" s="584"/>
      <c r="C17" s="23"/>
      <c r="D17" s="23"/>
      <c r="E17" s="23"/>
      <c r="F17" s="23"/>
      <c r="G17" s="23"/>
      <c r="H17" s="23"/>
      <c r="I17" s="23"/>
      <c r="J17" s="23"/>
      <c r="K17" s="23"/>
      <c r="L17" s="23"/>
      <c r="M17" s="23"/>
      <c r="N17" s="23"/>
      <c r="O17" s="23"/>
      <c r="P17" s="23"/>
      <c r="Q17" s="23"/>
      <c r="R17" s="181" t="s">
        <v>732</v>
      </c>
      <c r="S17" s="1001">
        <f>+S16-Q16</f>
        <v>7475</v>
      </c>
      <c r="T17" s="1002">
        <f>ROUND((+S17/Q16),4)</f>
        <v>9.3399999999999997E-2</v>
      </c>
      <c r="U17" s="23"/>
      <c r="V17" s="25"/>
      <c r="W17" s="25"/>
      <c r="X17" s="25"/>
    </row>
    <row r="18" spans="1:24" ht="13.8" thickBot="1" x14ac:dyDescent="0.3">
      <c r="A18" s="63"/>
      <c r="B18" s="584"/>
      <c r="C18" s="23"/>
      <c r="D18" s="23"/>
      <c r="E18" s="23"/>
      <c r="F18" s="23"/>
      <c r="G18" s="23"/>
      <c r="H18" s="23"/>
      <c r="I18" s="23"/>
      <c r="J18" s="23"/>
      <c r="K18" s="23"/>
      <c r="L18" s="23"/>
      <c r="M18" s="23"/>
      <c r="N18" s="23"/>
      <c r="O18" s="23"/>
      <c r="P18" s="23"/>
      <c r="Q18" s="23"/>
      <c r="R18" s="25"/>
      <c r="S18" s="23"/>
      <c r="T18" s="23"/>
      <c r="U18" s="23"/>
      <c r="V18" s="25"/>
      <c r="W18" s="25"/>
      <c r="X18" s="25"/>
    </row>
    <row r="19" spans="1:24" ht="13.8" thickTop="1" x14ac:dyDescent="0.25">
      <c r="A19" s="718"/>
      <c r="B19" s="585"/>
      <c r="C19" s="578" t="s">
        <v>256</v>
      </c>
      <c r="D19" s="351" t="s">
        <v>256</v>
      </c>
      <c r="E19" s="351" t="s">
        <v>256</v>
      </c>
      <c r="F19" s="194"/>
      <c r="G19" s="194"/>
      <c r="H19" s="194"/>
      <c r="I19" s="194"/>
      <c r="J19" s="194"/>
      <c r="K19" s="194"/>
      <c r="L19" s="194"/>
      <c r="O19" s="352" t="s">
        <v>255</v>
      </c>
      <c r="P19" s="353" t="s">
        <v>716</v>
      </c>
      <c r="Q19" s="354" t="s">
        <v>730</v>
      </c>
      <c r="R19" s="353" t="s">
        <v>731</v>
      </c>
      <c r="S19" s="355"/>
      <c r="T19" s="550"/>
      <c r="U19" s="354"/>
      <c r="V19" s="25"/>
      <c r="W19" s="25"/>
      <c r="X19" s="25"/>
    </row>
    <row r="20" spans="1:24" ht="13.8" thickBot="1" x14ac:dyDescent="0.3">
      <c r="A20" s="719" t="s">
        <v>715</v>
      </c>
      <c r="B20" s="356"/>
      <c r="C20" s="357" t="s">
        <v>243</v>
      </c>
      <c r="D20" s="357" t="s">
        <v>244</v>
      </c>
      <c r="E20" s="358" t="s">
        <v>245</v>
      </c>
      <c r="F20" s="194"/>
      <c r="G20" s="194"/>
      <c r="H20" s="194"/>
      <c r="I20" s="194"/>
      <c r="J20" s="194"/>
      <c r="K20" s="194"/>
      <c r="L20" s="194"/>
      <c r="O20" s="359" t="s">
        <v>469</v>
      </c>
      <c r="P20" s="359" t="s">
        <v>1345</v>
      </c>
      <c r="Q20" s="358" t="s">
        <v>732</v>
      </c>
      <c r="R20" s="360" t="s">
        <v>732</v>
      </c>
      <c r="S20" s="361" t="s">
        <v>733</v>
      </c>
      <c r="T20" s="551"/>
      <c r="U20" s="359"/>
      <c r="V20" s="25"/>
      <c r="W20" s="25"/>
      <c r="X20" s="25"/>
    </row>
    <row r="21" spans="1:24" ht="13.8" thickTop="1" x14ac:dyDescent="0.25">
      <c r="A21" s="726"/>
      <c r="B21" s="376"/>
      <c r="C21" s="365"/>
      <c r="D21" s="365"/>
      <c r="E21" s="365"/>
      <c r="F21" s="194"/>
      <c r="G21" s="194"/>
      <c r="H21" s="194"/>
      <c r="I21" s="194"/>
      <c r="J21" s="194"/>
      <c r="K21" s="194"/>
      <c r="L21" s="194"/>
      <c r="O21" s="366"/>
      <c r="P21" s="365"/>
      <c r="Q21" s="368"/>
      <c r="R21" s="374"/>
      <c r="S21" s="367"/>
      <c r="T21" s="553"/>
      <c r="U21" s="368"/>
      <c r="V21" s="25"/>
      <c r="W21" s="25"/>
      <c r="X21" s="25"/>
    </row>
    <row r="22" spans="1:24" x14ac:dyDescent="0.25">
      <c r="A22" s="724">
        <v>5301</v>
      </c>
      <c r="B22" s="369" t="s">
        <v>873</v>
      </c>
      <c r="C22" s="373">
        <v>13833</v>
      </c>
      <c r="D22" s="373">
        <v>14157.5</v>
      </c>
      <c r="E22" s="373">
        <v>18901.330000000002</v>
      </c>
      <c r="F22" s="194"/>
      <c r="G22" s="194"/>
      <c r="H22" s="194"/>
      <c r="I22" s="194"/>
      <c r="J22" s="194"/>
      <c r="K22" s="194"/>
      <c r="L22" s="194"/>
      <c r="O22" s="372">
        <f>+Q9</f>
        <v>20000</v>
      </c>
      <c r="P22" s="393">
        <f>+S9</f>
        <v>25000</v>
      </c>
      <c r="Q22" s="368">
        <f>+P22-O22</f>
        <v>5000</v>
      </c>
      <c r="R22" s="374">
        <f>IF(O22+P22&lt;&gt;0,IF(O22&lt;&gt;0,IF(Q22&lt;&gt;0,ROUND((+Q22/O22),4),""),1),"")</f>
        <v>0.25</v>
      </c>
      <c r="S22" s="367" t="s">
        <v>2377</v>
      </c>
      <c r="T22" s="553"/>
      <c r="U22" s="368"/>
      <c r="V22" s="25"/>
      <c r="W22" s="25"/>
      <c r="X22" s="25"/>
    </row>
    <row r="23" spans="1:24" x14ac:dyDescent="0.25">
      <c r="A23" s="724">
        <v>5302</v>
      </c>
      <c r="B23" s="369" t="s">
        <v>94</v>
      </c>
      <c r="C23" s="373">
        <v>13833</v>
      </c>
      <c r="D23" s="373">
        <v>14157.5</v>
      </c>
      <c r="E23" s="373">
        <v>18901.330000000002</v>
      </c>
      <c r="F23" s="194"/>
      <c r="G23" s="194"/>
      <c r="H23" s="194"/>
      <c r="I23" s="194"/>
      <c r="J23" s="194"/>
      <c r="K23" s="194"/>
      <c r="L23" s="194"/>
      <c r="O23" s="372">
        <f>+Q10</f>
        <v>55000</v>
      </c>
      <c r="P23" s="393">
        <f>+S10</f>
        <v>57475</v>
      </c>
      <c r="Q23" s="368">
        <f t="shared" ref="Q23:Q24" si="12">+P23-O23</f>
        <v>2475</v>
      </c>
      <c r="R23" s="374">
        <f>IF(O23+P23&lt;&gt;0,IF(O23&lt;&gt;0,IF(Q23&lt;&gt;0,ROUND((+Q23/O23),4),""),1),"")</f>
        <v>4.4999999999999998E-2</v>
      </c>
      <c r="S23" s="367" t="s">
        <v>2530</v>
      </c>
      <c r="T23" s="553"/>
      <c r="U23" s="368"/>
      <c r="V23" s="25"/>
      <c r="W23" s="25"/>
      <c r="X23" s="25"/>
    </row>
    <row r="24" spans="1:24" x14ac:dyDescent="0.25">
      <c r="A24" s="724">
        <v>5304</v>
      </c>
      <c r="B24" s="369" t="s">
        <v>1929</v>
      </c>
      <c r="C24" s="373">
        <v>13833</v>
      </c>
      <c r="D24" s="373">
        <v>14157.5</v>
      </c>
      <c r="E24" s="373">
        <v>18901.330000000002</v>
      </c>
      <c r="F24" s="194"/>
      <c r="G24" s="194"/>
      <c r="H24" s="194"/>
      <c r="I24" s="194"/>
      <c r="J24" s="194"/>
      <c r="K24" s="194"/>
      <c r="L24" s="194"/>
      <c r="O24" s="372">
        <f>+Q11</f>
        <v>5000</v>
      </c>
      <c r="P24" s="393">
        <f>+S11</f>
        <v>5000</v>
      </c>
      <c r="Q24" s="368">
        <f t="shared" si="12"/>
        <v>0</v>
      </c>
      <c r="R24" s="374" t="str">
        <f>IF(O24+P24&lt;&gt;0,IF(O24&lt;&gt;0,IF(Q24&lt;&gt;0,ROUND((+Q24/O24),4),""),1),"")</f>
        <v/>
      </c>
      <c r="S24" s="367"/>
      <c r="T24" s="553"/>
      <c r="U24" s="368"/>
      <c r="V24" s="25"/>
      <c r="W24" s="25"/>
      <c r="X24" s="25"/>
    </row>
    <row r="25" spans="1:24" x14ac:dyDescent="0.25">
      <c r="A25" s="703"/>
      <c r="B25" s="4"/>
      <c r="C25" s="23"/>
      <c r="D25" s="23"/>
      <c r="E25" s="23"/>
      <c r="F25" s="23"/>
      <c r="G25" s="23"/>
      <c r="H25" s="194"/>
      <c r="I25" s="194"/>
      <c r="J25" s="194"/>
      <c r="K25" s="194"/>
      <c r="L25" s="194"/>
      <c r="O25" s="23"/>
      <c r="P25" s="23"/>
      <c r="Q25" s="23"/>
      <c r="R25" s="25"/>
      <c r="S25" s="23"/>
      <c r="T25" s="23"/>
      <c r="U25" s="23"/>
      <c r="V25" s="25"/>
      <c r="W25" s="25"/>
      <c r="X25" s="25"/>
    </row>
    <row r="26" spans="1:24" x14ac:dyDescent="0.25">
      <c r="A26" s="703"/>
      <c r="B26" s="4" t="s">
        <v>735</v>
      </c>
      <c r="C26" s="23"/>
      <c r="D26" s="23"/>
      <c r="E26" s="23"/>
      <c r="F26" s="23"/>
      <c r="G26" s="23"/>
      <c r="H26" s="194"/>
      <c r="I26" s="194"/>
      <c r="J26" s="194"/>
      <c r="K26" s="194"/>
      <c r="L26" s="194"/>
      <c r="O26" s="597">
        <f>SUM(O22:O25)</f>
        <v>80000</v>
      </c>
      <c r="P26" s="597">
        <f>SUM(P22:P25)</f>
        <v>87475</v>
      </c>
      <c r="Q26" s="25">
        <f>+P26-O26</f>
        <v>7475</v>
      </c>
      <c r="R26" s="598">
        <f>IF(O26+P26&lt;&gt;0,IF(O26&lt;&gt;0,IF(Q26&lt;&gt;0,ROUND((+Q26/O26),4),""),1),"")</f>
        <v>9.3399999999999997E-2</v>
      </c>
      <c r="S26" s="23"/>
      <c r="T26" s="23"/>
      <c r="U26" s="23"/>
      <c r="V26" s="25"/>
      <c r="W26" s="25"/>
      <c r="X26" s="25"/>
    </row>
    <row r="27" spans="1:24" x14ac:dyDescent="0.25">
      <c r="A27" s="703"/>
      <c r="B27" s="4"/>
      <c r="C27" s="23"/>
      <c r="D27" s="23"/>
      <c r="E27" s="23"/>
      <c r="F27" s="23"/>
      <c r="G27" s="23"/>
      <c r="H27" s="23"/>
      <c r="I27" s="23"/>
      <c r="J27" s="23"/>
      <c r="K27" s="23"/>
      <c r="L27" s="23"/>
      <c r="M27" s="23"/>
      <c r="N27" s="23"/>
      <c r="O27" s="23"/>
      <c r="P27" s="23"/>
      <c r="Q27" s="23"/>
      <c r="R27" s="25"/>
      <c r="S27" s="23"/>
      <c r="T27" s="23"/>
      <c r="U27" s="23"/>
      <c r="V27" s="25"/>
      <c r="W27" s="25"/>
      <c r="X27" s="25"/>
    </row>
    <row r="28" spans="1:24" ht="14.4" x14ac:dyDescent="0.25">
      <c r="A28" s="63">
        <v>45573</v>
      </c>
      <c r="B28" s="479" t="s">
        <v>2531</v>
      </c>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5">
      <c r="A29" s="703"/>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5">
      <c r="A30" s="703"/>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5">
      <c r="A31" s="703"/>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5">
      <c r="A32" s="703"/>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5">
      <c r="A33" s="703"/>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5">
      <c r="A34" s="703"/>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5">
      <c r="A35" s="703"/>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5">
      <c r="A36" s="703"/>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5">
      <c r="A37" s="703"/>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5">
      <c r="A38" s="703"/>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5">
      <c r="A39" s="703"/>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5">
      <c r="A40" s="703"/>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5">
      <c r="A41" s="703"/>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5">
      <c r="A44" s="703"/>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5">
      <c r="A45" s="703"/>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5">
      <c r="A46" s="703"/>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5">
      <c r="A47" s="703"/>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5">
      <c r="A48" s="703"/>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5">
      <c r="A49" s="703"/>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5">
      <c r="A50" s="703"/>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5">
      <c r="A51" s="703"/>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5">
      <c r="A52" s="703"/>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5">
      <c r="A53" s="703"/>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5">
      <c r="A54" s="703"/>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5">
      <c r="A55" s="703"/>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5">
      <c r="A56" s="703"/>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5">
      <c r="A57" s="703"/>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5">
      <c r="A58" s="703"/>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5">
      <c r="A59" s="703"/>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5">
      <c r="A60" s="703"/>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5">
      <c r="A61" s="703"/>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5">
      <c r="A62" s="703"/>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5">
      <c r="A63" s="703"/>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5">
      <c r="A64" s="703"/>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5">
      <c r="A65" s="703"/>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5">
      <c r="A66" s="703"/>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5">
      <c r="A67" s="703"/>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5">
      <c r="A68" s="703"/>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5">
      <c r="A69" s="703"/>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5">
      <c r="A70" s="703"/>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5">
      <c r="A71" s="703"/>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5">
      <c r="A72" s="703"/>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5">
      <c r="A73" s="703"/>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5">
      <c r="A124" s="703"/>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5">
      <c r="C125" s="194"/>
      <c r="D125" s="194"/>
      <c r="E125" s="194"/>
      <c r="F125" s="194"/>
      <c r="G125" s="194"/>
      <c r="H125" s="194"/>
      <c r="I125" s="194"/>
      <c r="J125" s="194"/>
      <c r="K125" s="194"/>
      <c r="L125" s="194"/>
      <c r="M125" s="194"/>
      <c r="N125" s="194"/>
      <c r="O125" s="194"/>
      <c r="P125" s="194"/>
      <c r="Q125" s="194"/>
    </row>
    <row r="126" spans="1:24" x14ac:dyDescent="0.25">
      <c r="C126" s="194"/>
      <c r="D126" s="194"/>
      <c r="E126" s="194"/>
      <c r="F126" s="194"/>
      <c r="G126" s="194"/>
      <c r="H126" s="194"/>
      <c r="I126" s="194"/>
      <c r="J126" s="194"/>
      <c r="K126" s="194"/>
      <c r="L126" s="194"/>
      <c r="M126" s="194"/>
      <c r="N126" s="194"/>
      <c r="O126" s="194"/>
      <c r="P126" s="194"/>
      <c r="Q126" s="194"/>
    </row>
    <row r="127" spans="1:24" x14ac:dyDescent="0.25">
      <c r="C127" s="194"/>
      <c r="D127" s="194"/>
      <c r="E127" s="194"/>
      <c r="F127" s="194"/>
      <c r="G127" s="194"/>
      <c r="H127" s="194"/>
      <c r="I127" s="194"/>
      <c r="J127" s="194"/>
      <c r="K127" s="194"/>
      <c r="L127" s="194"/>
      <c r="M127" s="194"/>
      <c r="N127" s="194"/>
      <c r="O127" s="194"/>
      <c r="P127" s="194"/>
      <c r="Q127" s="194"/>
    </row>
    <row r="128" spans="1:24" x14ac:dyDescent="0.25">
      <c r="C128" s="194"/>
      <c r="D128" s="194"/>
      <c r="E128" s="194"/>
      <c r="F128" s="194"/>
      <c r="G128" s="194"/>
      <c r="H128" s="194"/>
      <c r="I128" s="194"/>
      <c r="J128" s="194"/>
      <c r="K128" s="194"/>
      <c r="L128" s="194"/>
      <c r="M128" s="194"/>
      <c r="N128" s="194"/>
      <c r="O128" s="194"/>
      <c r="P128" s="194"/>
      <c r="Q128" s="194"/>
    </row>
    <row r="129" spans="3:17" x14ac:dyDescent="0.25">
      <c r="C129" s="194"/>
      <c r="D129" s="194"/>
      <c r="E129" s="194"/>
      <c r="F129" s="194"/>
      <c r="G129" s="194"/>
      <c r="H129" s="194"/>
      <c r="I129" s="194"/>
      <c r="J129" s="194"/>
      <c r="K129" s="194"/>
      <c r="L129" s="194"/>
      <c r="M129" s="194"/>
      <c r="N129" s="194"/>
      <c r="O129" s="194"/>
      <c r="P129" s="194"/>
      <c r="Q129" s="194"/>
    </row>
    <row r="130" spans="3:17" x14ac:dyDescent="0.25">
      <c r="C130" s="194"/>
      <c r="D130" s="194"/>
      <c r="E130" s="194"/>
      <c r="F130" s="194"/>
      <c r="G130" s="194"/>
      <c r="H130" s="194"/>
      <c r="I130" s="194"/>
      <c r="J130" s="194"/>
      <c r="K130" s="194"/>
      <c r="L130" s="194"/>
      <c r="M130" s="194"/>
      <c r="N130" s="194"/>
      <c r="O130" s="194"/>
      <c r="P130" s="194"/>
      <c r="Q130" s="194"/>
    </row>
    <row r="131" spans="3:17" x14ac:dyDescent="0.25">
      <c r="C131" s="194"/>
    </row>
    <row r="132" spans="3:17" x14ac:dyDescent="0.25">
      <c r="C132" s="194"/>
    </row>
    <row r="133" spans="3:17" x14ac:dyDescent="0.25">
      <c r="C133" s="194"/>
    </row>
    <row r="134" spans="3:17" x14ac:dyDescent="0.25">
      <c r="C134" s="194"/>
    </row>
    <row r="135" spans="3:17" x14ac:dyDescent="0.25">
      <c r="C135" s="194"/>
    </row>
    <row r="136" spans="3:17" x14ac:dyDescent="0.25">
      <c r="C136" s="194"/>
    </row>
    <row r="137" spans="3:17" x14ac:dyDescent="0.25">
      <c r="C137" s="194"/>
    </row>
    <row r="138" spans="3:17" x14ac:dyDescent="0.25">
      <c r="C138" s="194"/>
    </row>
    <row r="139" spans="3:17" x14ac:dyDescent="0.25">
      <c r="C139" s="194"/>
    </row>
    <row r="140" spans="3:17" x14ac:dyDescent="0.25">
      <c r="C140" s="194"/>
    </row>
    <row r="141" spans="3:17" x14ac:dyDescent="0.25">
      <c r="C141" s="194"/>
    </row>
    <row r="142" spans="3:17" x14ac:dyDescent="0.25">
      <c r="C142" s="194"/>
    </row>
    <row r="143" spans="3:17" x14ac:dyDescent="0.25">
      <c r="C143" s="194"/>
    </row>
    <row r="144" spans="3:17"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sheetData>
  <phoneticPr fontId="0" type="noConversion"/>
  <hyperlinks>
    <hyperlink ref="A1" location="'Working Budget with funding det'!A1" display="Main " xr:uid="{00000000-0004-0000-1100-000000000000}"/>
    <hyperlink ref="B1" location="'Table of Contents'!A1" display="TOC" xr:uid="{00000000-0004-0000-1100-000001000000}"/>
  </hyperlinks>
  <pageMargins left="0.75" right="0.75" top="1" bottom="1" header="0.5" footer="0.5"/>
  <pageSetup scale="92" orientation="landscape" horizontalDpi="300" verticalDpi="300" r:id="rId1"/>
  <headerFooter alignWithMargins="0">
    <oddFooter xml:space="preserve">&amp;L&amp;D     &amp;T&amp;C&amp;F&amp;R&amp;A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AG64"/>
  <sheetViews>
    <sheetView topLeftCell="A7" zoomScaleNormal="100" workbookViewId="0">
      <selection activeCell="R30" sqref="R30"/>
    </sheetView>
  </sheetViews>
  <sheetFormatPr defaultRowHeight="13.2" x14ac:dyDescent="0.25"/>
  <cols>
    <col min="1" max="1" width="11.33203125" style="712" customWidth="1"/>
    <col min="2" max="2" width="39.6640625" customWidth="1"/>
    <col min="3" max="14" width="13" hidden="1" customWidth="1"/>
    <col min="15" max="21" width="13" customWidth="1"/>
    <col min="28" max="28" width="10.109375" customWidth="1"/>
  </cols>
  <sheetData>
    <row r="1" spans="1:33" ht="13.8" thickBot="1" x14ac:dyDescent="0.3">
      <c r="A1" s="701" t="s">
        <v>736</v>
      </c>
      <c r="B1" s="290" t="s">
        <v>194</v>
      </c>
      <c r="C1" s="23"/>
      <c r="D1" s="23"/>
      <c r="E1" s="23"/>
      <c r="F1" s="23"/>
      <c r="G1" s="23"/>
      <c r="H1" s="23"/>
      <c r="I1" s="23"/>
      <c r="J1" s="23"/>
      <c r="K1" s="23"/>
      <c r="L1" s="23"/>
      <c r="M1" s="23"/>
      <c r="N1" s="23"/>
      <c r="O1" s="23"/>
      <c r="P1" s="23"/>
      <c r="Q1" s="23"/>
      <c r="R1" s="4"/>
      <c r="S1" s="23"/>
      <c r="T1" s="23"/>
      <c r="U1" s="23"/>
    </row>
    <row r="2" spans="1:33" ht="13.8" x14ac:dyDescent="0.25">
      <c r="A2" s="703" t="s">
        <v>705</v>
      </c>
      <c r="B2" s="4"/>
      <c r="C2" s="23"/>
      <c r="F2" s="75" t="s">
        <v>522</v>
      </c>
      <c r="J2" s="23"/>
      <c r="K2" s="23"/>
      <c r="L2" s="23"/>
      <c r="M2" s="23"/>
      <c r="N2" s="23"/>
      <c r="O2" s="23"/>
      <c r="P2" s="23"/>
      <c r="Q2" s="23"/>
      <c r="R2" s="44" t="s">
        <v>876</v>
      </c>
      <c r="S2" s="23"/>
      <c r="T2" s="23"/>
      <c r="U2" s="74" t="s">
        <v>877</v>
      </c>
      <c r="W2" s="1279" t="s">
        <v>2432</v>
      </c>
      <c r="X2" s="279"/>
      <c r="Y2" s="279"/>
      <c r="Z2" s="279"/>
      <c r="AA2" s="279"/>
      <c r="AB2" s="279"/>
      <c r="AC2" s="279"/>
      <c r="AD2" s="1280"/>
      <c r="AE2" s="202"/>
      <c r="AF2" s="202"/>
      <c r="AG2" s="202"/>
    </row>
    <row r="3" spans="1:33" ht="13.8" thickBot="1" x14ac:dyDescent="0.3">
      <c r="A3" s="703"/>
      <c r="B3" s="4"/>
      <c r="C3" s="23"/>
      <c r="D3" s="23"/>
      <c r="E3" s="23"/>
      <c r="F3" s="23"/>
      <c r="G3" s="23"/>
      <c r="H3" s="23"/>
      <c r="I3" s="23"/>
      <c r="J3" s="23"/>
      <c r="K3" s="23"/>
      <c r="L3" s="23"/>
      <c r="M3" s="23"/>
      <c r="N3" s="23"/>
      <c r="O3" s="23"/>
      <c r="P3" s="23"/>
      <c r="Q3" s="23"/>
      <c r="R3" s="4"/>
      <c r="S3" s="23"/>
      <c r="T3" s="23"/>
      <c r="U3" s="4"/>
      <c r="W3" s="1281"/>
      <c r="X3" s="202"/>
      <c r="Y3" s="202"/>
      <c r="Z3" s="202"/>
      <c r="AA3" s="202"/>
      <c r="AB3" s="202"/>
      <c r="AC3" s="202"/>
      <c r="AD3" s="1282"/>
      <c r="AE3" s="202"/>
      <c r="AF3" s="202"/>
      <c r="AG3" s="202"/>
    </row>
    <row r="4" spans="1:33"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c r="W4" s="1281"/>
      <c r="X4" s="202" t="s">
        <v>2433</v>
      </c>
      <c r="Y4" s="202" t="s">
        <v>2434</v>
      </c>
      <c r="Z4" s="202" t="s">
        <v>2435</v>
      </c>
      <c r="AA4" s="202" t="s">
        <v>2436</v>
      </c>
      <c r="AB4" s="202"/>
      <c r="AC4" s="202"/>
      <c r="AD4" s="1282"/>
      <c r="AE4" s="202"/>
      <c r="AF4" s="202"/>
      <c r="AG4" s="202"/>
    </row>
    <row r="5" spans="1:33"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c r="W5" s="1281"/>
      <c r="X5" s="202" t="s">
        <v>2437</v>
      </c>
      <c r="Y5" s="1283">
        <v>8</v>
      </c>
      <c r="Z5" s="202">
        <v>1500</v>
      </c>
      <c r="AA5" s="202">
        <f>Y5*Z5</f>
        <v>12000</v>
      </c>
      <c r="AB5" s="202" t="s">
        <v>2438</v>
      </c>
      <c r="AC5" s="202"/>
      <c r="AD5" s="1282"/>
      <c r="AE5" s="202"/>
      <c r="AF5" s="202"/>
      <c r="AG5" s="202"/>
    </row>
    <row r="6" spans="1:33" x14ac:dyDescent="0.25">
      <c r="A6" s="705"/>
      <c r="B6" s="184"/>
      <c r="C6" s="112"/>
      <c r="D6" s="112"/>
      <c r="E6" s="112"/>
      <c r="F6" s="112"/>
      <c r="G6" s="112"/>
      <c r="H6" s="112"/>
      <c r="I6" s="83"/>
      <c r="J6" s="83"/>
      <c r="K6" s="83"/>
      <c r="L6" s="83"/>
      <c r="M6" s="83"/>
      <c r="N6" s="83"/>
      <c r="O6" s="83"/>
      <c r="P6" s="83"/>
      <c r="Q6" s="83"/>
      <c r="R6" s="112"/>
      <c r="S6" s="83" t="s">
        <v>713</v>
      </c>
      <c r="T6" s="83" t="s">
        <v>481</v>
      </c>
      <c r="U6" s="45" t="s">
        <v>714</v>
      </c>
      <c r="W6" s="1281"/>
      <c r="X6" s="202" t="s">
        <v>2439</v>
      </c>
      <c r="Y6" s="1283">
        <v>2</v>
      </c>
      <c r="Z6" s="202">
        <v>1300</v>
      </c>
      <c r="AA6" s="202">
        <f>Y6*Z6</f>
        <v>2600</v>
      </c>
      <c r="AB6" s="202" t="s">
        <v>2440</v>
      </c>
      <c r="AC6" s="202"/>
      <c r="AD6" s="1282"/>
      <c r="AE6" s="202"/>
      <c r="AF6" s="202"/>
      <c r="AG6" s="202"/>
    </row>
    <row r="7" spans="1:33"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c r="W7" s="1281"/>
      <c r="X7" s="202" t="s">
        <v>2441</v>
      </c>
      <c r="Y7" s="202"/>
      <c r="Z7" s="202"/>
      <c r="AA7" s="202">
        <v>2000</v>
      </c>
      <c r="AB7" s="202"/>
      <c r="AC7" s="202"/>
      <c r="AD7" s="1282"/>
      <c r="AE7" s="202"/>
      <c r="AF7" s="202"/>
      <c r="AG7" s="202"/>
    </row>
    <row r="8" spans="1:33" ht="13.8" thickTop="1" x14ac:dyDescent="0.25">
      <c r="A8" s="725"/>
      <c r="B8" s="185"/>
      <c r="C8" s="117"/>
      <c r="D8" s="18"/>
      <c r="E8" s="18"/>
      <c r="F8" s="18"/>
      <c r="G8" s="18"/>
      <c r="H8" s="18"/>
      <c r="I8" s="18"/>
      <c r="J8" s="18"/>
      <c r="K8" s="19"/>
      <c r="L8" s="18"/>
      <c r="M8" s="18"/>
      <c r="N8" s="18"/>
      <c r="O8" s="19"/>
      <c r="P8" s="18"/>
      <c r="Q8" s="19"/>
      <c r="R8" s="18"/>
      <c r="S8" s="19"/>
      <c r="T8" s="19"/>
      <c r="U8" s="19"/>
      <c r="W8" s="1281"/>
      <c r="X8" s="202" t="s">
        <v>255</v>
      </c>
      <c r="Y8" s="202"/>
      <c r="Z8" s="202"/>
      <c r="AA8" s="202">
        <f>SUM(AA5:AA7)</f>
        <v>16600</v>
      </c>
      <c r="AB8" s="202"/>
      <c r="AC8" s="202"/>
      <c r="AD8" s="1282"/>
      <c r="AE8" s="202"/>
      <c r="AF8" s="202"/>
      <c r="AG8" s="202"/>
    </row>
    <row r="9" spans="1:33" x14ac:dyDescent="0.25">
      <c r="A9" s="725">
        <v>5100</v>
      </c>
      <c r="B9" s="101" t="s">
        <v>878</v>
      </c>
      <c r="C9" s="312">
        <v>2000</v>
      </c>
      <c r="D9" s="111">
        <v>2000</v>
      </c>
      <c r="E9" s="111">
        <v>1885.16</v>
      </c>
      <c r="F9" s="111">
        <v>2000</v>
      </c>
      <c r="G9" s="111">
        <v>663.52</v>
      </c>
      <c r="H9" s="111">
        <v>1807.62</v>
      </c>
      <c r="I9" s="111">
        <v>2000</v>
      </c>
      <c r="J9" s="111">
        <v>2100</v>
      </c>
      <c r="K9" s="19">
        <v>2100</v>
      </c>
      <c r="L9" s="111">
        <v>2100</v>
      </c>
      <c r="M9" s="19">
        <v>2100</v>
      </c>
      <c r="N9" s="111">
        <v>2100</v>
      </c>
      <c r="O9" s="19">
        <v>2100</v>
      </c>
      <c r="P9" s="18">
        <v>2100</v>
      </c>
      <c r="Q9" s="19">
        <v>2100</v>
      </c>
      <c r="R9" s="111">
        <v>1050</v>
      </c>
      <c r="S9" s="19">
        <v>2352</v>
      </c>
      <c r="T9" s="19"/>
      <c r="U9" s="19"/>
      <c r="W9" s="1281"/>
      <c r="X9" s="202"/>
      <c r="Y9" s="202"/>
      <c r="Z9" s="202"/>
      <c r="AA9" s="202"/>
      <c r="AB9" s="202"/>
      <c r="AC9" s="202"/>
      <c r="AD9" s="1282"/>
      <c r="AE9" s="202"/>
      <c r="AF9" s="202"/>
      <c r="AG9" s="202"/>
    </row>
    <row r="10" spans="1:33" ht="13.8" thickBot="1" x14ac:dyDescent="0.3">
      <c r="A10" s="725">
        <v>5124</v>
      </c>
      <c r="B10" s="101" t="s">
        <v>879</v>
      </c>
      <c r="C10" s="116"/>
      <c r="D10" s="15"/>
      <c r="E10" s="15"/>
      <c r="F10" s="15"/>
      <c r="G10" s="15"/>
      <c r="H10" s="15"/>
      <c r="I10" s="252"/>
      <c r="J10" s="252"/>
      <c r="K10" s="16"/>
      <c r="L10" s="252">
        <v>799.89</v>
      </c>
      <c r="M10" s="16"/>
      <c r="N10" s="252"/>
      <c r="O10" s="16"/>
      <c r="P10" s="15"/>
      <c r="Q10" s="16"/>
      <c r="R10" s="15"/>
      <c r="S10" s="16"/>
      <c r="T10" s="16"/>
      <c r="U10" s="16"/>
      <c r="W10" s="1284"/>
      <c r="X10" s="1285" t="s">
        <v>2442</v>
      </c>
      <c r="Y10" s="1285"/>
      <c r="Z10" s="1285"/>
      <c r="AA10" s="1285"/>
      <c r="AB10" s="1285"/>
      <c r="AC10" s="1285"/>
      <c r="AD10" s="1286"/>
      <c r="AE10" s="202"/>
      <c r="AF10" s="202"/>
      <c r="AG10" s="202"/>
    </row>
    <row r="11" spans="1:33" x14ac:dyDescent="0.25">
      <c r="A11" s="725"/>
      <c r="B11" s="182" t="s">
        <v>880</v>
      </c>
      <c r="C11" s="117">
        <f>SUM(C9:C10)</f>
        <v>2000</v>
      </c>
      <c r="D11" s="18">
        <f>SUM(D9)</f>
        <v>2000</v>
      </c>
      <c r="E11" s="18">
        <f>SUM(E9)</f>
        <v>1885.16</v>
      </c>
      <c r="F11" s="18">
        <f>SUM(F9:F10)</f>
        <v>2000</v>
      </c>
      <c r="G11" s="18">
        <f>SUM(G9:G10)</f>
        <v>663.52</v>
      </c>
      <c r="H11" s="18">
        <f>SUM(H9:H10)</f>
        <v>1807.62</v>
      </c>
      <c r="I11" s="111">
        <f>SUM(I9)</f>
        <v>2000</v>
      </c>
      <c r="J11" s="111">
        <f>SUM(J9)</f>
        <v>2100</v>
      </c>
      <c r="K11" s="19">
        <f>SUM(K9)</f>
        <v>2100</v>
      </c>
      <c r="L11" s="111">
        <f>SUM(L9:L10)</f>
        <v>2899.89</v>
      </c>
      <c r="M11" s="19">
        <f t="shared" ref="M11" si="0">SUM(M9)</f>
        <v>2100</v>
      </c>
      <c r="N11" s="111">
        <f>SUM(N9:N10)</f>
        <v>2100</v>
      </c>
      <c r="O11" s="19">
        <f t="shared" ref="O11:P11" si="1">SUM(O9)</f>
        <v>2100</v>
      </c>
      <c r="P11" s="18">
        <f t="shared" si="1"/>
        <v>2100</v>
      </c>
      <c r="Q11" s="19">
        <f>SUM(Q9:Q10)</f>
        <v>2100</v>
      </c>
      <c r="R11" s="18">
        <f>SUM(R9:R10)</f>
        <v>1050</v>
      </c>
      <c r="S11" s="19">
        <f>SUM(S9:S10)</f>
        <v>2352</v>
      </c>
      <c r="T11" s="19"/>
      <c r="U11" s="19"/>
      <c r="W11" s="202"/>
      <c r="X11" s="202"/>
      <c r="Y11" s="202"/>
      <c r="Z11" s="202"/>
      <c r="AA11" s="202"/>
      <c r="AB11" s="202"/>
      <c r="AC11" s="202"/>
      <c r="AD11" s="202"/>
      <c r="AE11" s="202"/>
      <c r="AF11" s="202"/>
      <c r="AG11" s="202"/>
    </row>
    <row r="12" spans="1:33" x14ac:dyDescent="0.25">
      <c r="A12" s="725"/>
      <c r="B12" s="101"/>
      <c r="C12" s="117"/>
      <c r="D12" s="18"/>
      <c r="E12" s="18"/>
      <c r="F12" s="18"/>
      <c r="G12" s="18"/>
      <c r="H12" s="18"/>
      <c r="I12" s="111"/>
      <c r="J12" s="111"/>
      <c r="K12" s="19"/>
      <c r="L12" s="111"/>
      <c r="M12" s="19"/>
      <c r="N12" s="111"/>
      <c r="O12" s="19"/>
      <c r="P12" s="18"/>
      <c r="Q12" s="19"/>
      <c r="R12" s="18"/>
      <c r="S12" s="19"/>
      <c r="T12" s="19"/>
      <c r="U12" s="19"/>
      <c r="W12" s="202"/>
      <c r="X12" s="202"/>
      <c r="Y12" s="202"/>
      <c r="Z12" s="202"/>
      <c r="AA12" s="202"/>
      <c r="AB12" s="202"/>
      <c r="AC12" s="202"/>
      <c r="AD12" s="202"/>
      <c r="AE12" s="202"/>
      <c r="AF12" s="202"/>
      <c r="AG12" s="202"/>
    </row>
    <row r="13" spans="1:33" x14ac:dyDescent="0.25">
      <c r="A13" s="708">
        <v>5247</v>
      </c>
      <c r="B13" s="60" t="s">
        <v>881</v>
      </c>
      <c r="C13" s="311">
        <v>14500</v>
      </c>
      <c r="D13" s="127">
        <v>15250</v>
      </c>
      <c r="E13" s="127">
        <v>16000</v>
      </c>
      <c r="F13" s="127">
        <v>25000</v>
      </c>
      <c r="G13" s="127">
        <v>28000</v>
      </c>
      <c r="H13" s="127">
        <v>34000</v>
      </c>
      <c r="I13" s="127">
        <v>36000</v>
      </c>
      <c r="J13" s="127">
        <v>45472.5</v>
      </c>
      <c r="K13" s="14">
        <f>9000+44000</f>
        <v>53000</v>
      </c>
      <c r="L13" s="127">
        <v>44525</v>
      </c>
      <c r="M13" s="14">
        <v>33000</v>
      </c>
      <c r="N13" s="127">
        <v>33760</v>
      </c>
      <c r="O13" s="14">
        <v>33100</v>
      </c>
      <c r="P13" s="13">
        <v>32955.9</v>
      </c>
      <c r="Q13" s="14">
        <v>34000</v>
      </c>
      <c r="R13" s="127">
        <v>16601.52</v>
      </c>
      <c r="S13" s="14">
        <v>45000</v>
      </c>
      <c r="T13" s="14"/>
      <c r="U13" s="14"/>
      <c r="W13" s="1287"/>
      <c r="X13" s="1287"/>
      <c r="Y13" s="1287"/>
      <c r="Z13" s="1287"/>
      <c r="AA13" s="1287"/>
      <c r="AB13" s="1288"/>
      <c r="AC13" s="1289"/>
      <c r="AD13" s="1289"/>
      <c r="AE13" s="1289"/>
      <c r="AF13" s="1289"/>
      <c r="AG13" s="1289"/>
    </row>
    <row r="14" spans="1:33" ht="13.8" thickBot="1" x14ac:dyDescent="0.3">
      <c r="A14" s="708">
        <v>5341</v>
      </c>
      <c r="B14" s="60" t="s">
        <v>882</v>
      </c>
      <c r="C14" s="568">
        <v>1333.75</v>
      </c>
      <c r="D14" s="200">
        <v>1245.3900000000001</v>
      </c>
      <c r="E14" s="200">
        <v>1072.8</v>
      </c>
      <c r="F14" s="200">
        <v>1136.7</v>
      </c>
      <c r="G14" s="200">
        <v>1481.98</v>
      </c>
      <c r="H14" s="200">
        <v>1651.23</v>
      </c>
      <c r="I14" s="200">
        <v>1882.24</v>
      </c>
      <c r="J14" s="200">
        <v>1962.74</v>
      </c>
      <c r="K14" s="36">
        <v>2000</v>
      </c>
      <c r="L14" s="200">
        <v>2605.94</v>
      </c>
      <c r="M14" s="36">
        <v>10000</v>
      </c>
      <c r="N14" s="200">
        <v>2528.1</v>
      </c>
      <c r="O14" s="36">
        <v>3000</v>
      </c>
      <c r="P14" s="35">
        <v>2998.61</v>
      </c>
      <c r="Q14" s="36">
        <v>3000</v>
      </c>
      <c r="R14" s="127">
        <v>1695.89</v>
      </c>
      <c r="S14" s="36">
        <v>3000</v>
      </c>
      <c r="T14" s="36"/>
      <c r="U14" s="36"/>
      <c r="W14" s="202"/>
      <c r="X14" s="202"/>
      <c r="Y14" s="202"/>
      <c r="Z14" s="202"/>
      <c r="AA14" s="202"/>
      <c r="AB14" s="202"/>
      <c r="AC14" s="202"/>
      <c r="AD14" s="202"/>
      <c r="AE14" s="202"/>
      <c r="AF14" s="202"/>
      <c r="AG14" s="202"/>
    </row>
    <row r="15" spans="1:33" ht="15.6" x14ac:dyDescent="0.3">
      <c r="A15" s="1250">
        <v>5346</v>
      </c>
      <c r="B15" s="1251" t="s">
        <v>2378</v>
      </c>
      <c r="C15" s="311"/>
      <c r="D15" s="127"/>
      <c r="E15" s="127"/>
      <c r="F15" s="127"/>
      <c r="G15" s="127"/>
      <c r="H15" s="127">
        <v>1082.3800000000001</v>
      </c>
      <c r="I15" s="127"/>
      <c r="J15" s="127">
        <v>875</v>
      </c>
      <c r="K15" s="14">
        <v>1100</v>
      </c>
      <c r="L15" s="127">
        <v>706.8</v>
      </c>
      <c r="M15" s="14">
        <v>0</v>
      </c>
      <c r="N15" s="127"/>
      <c r="O15" s="14"/>
      <c r="P15" s="13"/>
      <c r="Q15" s="1253">
        <v>1100</v>
      </c>
      <c r="R15" s="127"/>
      <c r="S15" s="1253">
        <v>2400</v>
      </c>
      <c r="T15" s="14"/>
      <c r="U15" s="14"/>
      <c r="W15" s="1290" t="s">
        <v>2443</v>
      </c>
      <c r="X15" s="279"/>
      <c r="Y15" s="279"/>
      <c r="Z15" s="279"/>
      <c r="AA15" s="279"/>
      <c r="AB15" s="279"/>
      <c r="AC15" s="279"/>
      <c r="AD15" s="279"/>
      <c r="AE15" s="279"/>
      <c r="AF15" s="279"/>
      <c r="AG15" s="1280"/>
    </row>
    <row r="16" spans="1:33" x14ac:dyDescent="0.25">
      <c r="A16" s="1255">
        <v>5347</v>
      </c>
      <c r="B16" s="1256" t="s">
        <v>2379</v>
      </c>
      <c r="C16" s="311">
        <v>125</v>
      </c>
      <c r="D16" s="127">
        <v>275</v>
      </c>
      <c r="E16" s="127">
        <v>125</v>
      </c>
      <c r="F16" s="127">
        <v>304.99</v>
      </c>
      <c r="G16" s="127">
        <v>125</v>
      </c>
      <c r="H16" s="127">
        <v>400</v>
      </c>
      <c r="I16" s="127">
        <v>400</v>
      </c>
      <c r="J16" s="127">
        <v>400</v>
      </c>
      <c r="K16" s="14">
        <v>400</v>
      </c>
      <c r="L16" s="127">
        <v>400</v>
      </c>
      <c r="M16" s="14">
        <v>400</v>
      </c>
      <c r="N16" s="127"/>
      <c r="O16" s="14">
        <v>400</v>
      </c>
      <c r="P16" s="13"/>
      <c r="Q16" s="1257">
        <v>600</v>
      </c>
      <c r="R16" s="127"/>
      <c r="S16" s="1257">
        <v>2100</v>
      </c>
      <c r="T16" s="14"/>
      <c r="U16" s="14"/>
      <c r="W16" s="1281"/>
      <c r="X16" s="202"/>
      <c r="Y16" s="202"/>
      <c r="Z16" s="202"/>
      <c r="AA16" s="202"/>
      <c r="AB16" s="202"/>
      <c r="AC16" s="202"/>
      <c r="AD16" s="202"/>
      <c r="AE16" s="202"/>
      <c r="AF16" s="202"/>
      <c r="AG16" s="1282"/>
    </row>
    <row r="17" spans="1:33" x14ac:dyDescent="0.25">
      <c r="A17" s="708">
        <v>5348</v>
      </c>
      <c r="B17" s="1256" t="s">
        <v>1908</v>
      </c>
      <c r="C17" s="311">
        <v>2950</v>
      </c>
      <c r="D17" s="127">
        <v>2950</v>
      </c>
      <c r="E17" s="127">
        <v>3050</v>
      </c>
      <c r="F17" s="127">
        <v>3050</v>
      </c>
      <c r="G17" s="127">
        <v>3050</v>
      </c>
      <c r="H17" s="127">
        <v>1870.84</v>
      </c>
      <c r="I17" s="127">
        <v>600</v>
      </c>
      <c r="J17" s="127">
        <v>675</v>
      </c>
      <c r="K17" s="14">
        <v>600</v>
      </c>
      <c r="L17" s="127">
        <v>720</v>
      </c>
      <c r="M17" s="14">
        <v>800</v>
      </c>
      <c r="N17" s="127">
        <v>780</v>
      </c>
      <c r="O17" s="14">
        <v>800</v>
      </c>
      <c r="P17" s="13">
        <v>980</v>
      </c>
      <c r="Q17" s="1257">
        <v>800</v>
      </c>
      <c r="R17" s="127">
        <v>900</v>
      </c>
      <c r="S17" s="14"/>
      <c r="T17" s="14"/>
      <c r="U17" s="14"/>
      <c r="W17" s="1281"/>
      <c r="X17" s="202"/>
      <c r="Y17" s="202"/>
      <c r="Z17" s="202"/>
      <c r="AA17" s="202"/>
      <c r="AB17" s="202"/>
      <c r="AC17" s="288" t="s">
        <v>1345</v>
      </c>
      <c r="AD17" s="202"/>
      <c r="AE17" s="202"/>
      <c r="AF17" s="202"/>
      <c r="AG17" s="1282"/>
    </row>
    <row r="18" spans="1:33" x14ac:dyDescent="0.25">
      <c r="A18" s="708">
        <v>5349</v>
      </c>
      <c r="B18" s="1256" t="s">
        <v>1911</v>
      </c>
      <c r="C18" s="311">
        <v>161.97999999999999</v>
      </c>
      <c r="D18" s="127">
        <v>0</v>
      </c>
      <c r="E18" s="127">
        <v>179.98</v>
      </c>
      <c r="F18" s="127"/>
      <c r="G18" s="127"/>
      <c r="H18" s="127">
        <v>299.98</v>
      </c>
      <c r="I18" s="127">
        <v>0</v>
      </c>
      <c r="J18" s="127">
        <v>399.98</v>
      </c>
      <c r="K18" s="14">
        <v>400</v>
      </c>
      <c r="L18" s="127"/>
      <c r="M18" s="14">
        <v>400</v>
      </c>
      <c r="N18" s="127">
        <v>499.98</v>
      </c>
      <c r="O18" s="14">
        <v>400</v>
      </c>
      <c r="P18" s="13"/>
      <c r="Q18" s="1257">
        <v>600</v>
      </c>
      <c r="R18" s="127"/>
      <c r="S18" s="14"/>
      <c r="T18" s="14"/>
      <c r="U18" s="14"/>
      <c r="W18" s="1291" t="s">
        <v>2444</v>
      </c>
      <c r="X18" s="202"/>
      <c r="Y18" s="202"/>
      <c r="Z18" s="202"/>
      <c r="AA18" s="202"/>
      <c r="AB18" s="202"/>
      <c r="AC18" s="288" t="s">
        <v>710</v>
      </c>
      <c r="AD18" s="202"/>
      <c r="AE18" s="202"/>
      <c r="AF18" s="202"/>
      <c r="AG18" s="1282"/>
    </row>
    <row r="19" spans="1:33" x14ac:dyDescent="0.25">
      <c r="A19" s="1259">
        <v>5350</v>
      </c>
      <c r="B19" s="1258" t="s">
        <v>2380</v>
      </c>
      <c r="C19" s="311"/>
      <c r="D19" s="127"/>
      <c r="E19" s="127"/>
      <c r="F19" s="127"/>
      <c r="G19" s="127"/>
      <c r="H19" s="127"/>
      <c r="I19" s="127"/>
      <c r="J19" s="127"/>
      <c r="K19" s="14"/>
      <c r="L19" s="127"/>
      <c r="M19" s="14">
        <v>3000</v>
      </c>
      <c r="N19" s="127">
        <v>2599.8000000000002</v>
      </c>
      <c r="O19" s="14">
        <v>1500</v>
      </c>
      <c r="P19" s="13">
        <v>2253.16</v>
      </c>
      <c r="Q19" s="440">
        <v>2800</v>
      </c>
      <c r="R19" s="127"/>
      <c r="S19" s="440">
        <v>17800</v>
      </c>
      <c r="T19" s="14"/>
      <c r="U19" s="14"/>
      <c r="W19" s="1281"/>
      <c r="X19" s="202"/>
      <c r="Y19" s="270"/>
      <c r="Z19" s="270"/>
      <c r="AA19" s="270"/>
      <c r="AB19" s="1292"/>
      <c r="AC19" s="1293" t="s">
        <v>713</v>
      </c>
      <c r="AD19" s="270"/>
      <c r="AE19" s="270"/>
      <c r="AF19" s="202"/>
      <c r="AG19" s="1282"/>
    </row>
    <row r="20" spans="1:33" ht="13.8" thickBot="1" x14ac:dyDescent="0.3">
      <c r="A20" s="708">
        <v>5351</v>
      </c>
      <c r="B20" s="1258" t="s">
        <v>883</v>
      </c>
      <c r="C20" s="311"/>
      <c r="D20" s="127"/>
      <c r="E20" s="127"/>
      <c r="F20" s="127"/>
      <c r="G20" s="127"/>
      <c r="H20" s="127"/>
      <c r="I20" s="127"/>
      <c r="J20" s="127"/>
      <c r="K20" s="14"/>
      <c r="L20" s="127"/>
      <c r="M20" s="14">
        <v>8500</v>
      </c>
      <c r="N20" s="127">
        <v>8410</v>
      </c>
      <c r="O20" s="14">
        <v>9700</v>
      </c>
      <c r="P20" s="13">
        <v>7813.29</v>
      </c>
      <c r="Q20" s="440">
        <v>9000</v>
      </c>
      <c r="R20" s="127">
        <v>154</v>
      </c>
      <c r="S20" s="14"/>
      <c r="T20" s="14"/>
      <c r="U20" s="14"/>
      <c r="W20" s="1281"/>
      <c r="X20" s="202"/>
      <c r="Y20" s="1294" t="s">
        <v>253</v>
      </c>
      <c r="Z20" s="1294" t="s">
        <v>253</v>
      </c>
      <c r="AA20" s="1295" t="s">
        <v>469</v>
      </c>
      <c r="AB20" s="1296">
        <v>45291</v>
      </c>
      <c r="AC20" s="1297" t="s">
        <v>716</v>
      </c>
      <c r="AD20" s="270"/>
      <c r="AE20" s="270"/>
      <c r="AF20" s="202"/>
      <c r="AG20" s="1282"/>
    </row>
    <row r="21" spans="1:33" ht="13.8" thickTop="1" x14ac:dyDescent="0.25">
      <c r="A21" s="708">
        <v>5352</v>
      </c>
      <c r="B21" s="1258" t="s">
        <v>1909</v>
      </c>
      <c r="C21" s="311"/>
      <c r="D21" s="127"/>
      <c r="E21" s="127"/>
      <c r="F21" s="127"/>
      <c r="G21" s="127"/>
      <c r="H21" s="127"/>
      <c r="I21" s="127"/>
      <c r="J21" s="127"/>
      <c r="K21" s="14"/>
      <c r="L21" s="127"/>
      <c r="M21" s="14"/>
      <c r="N21" s="127"/>
      <c r="O21" s="14"/>
      <c r="P21" s="13">
        <v>3302.22</v>
      </c>
      <c r="Q21" s="440">
        <v>3500</v>
      </c>
      <c r="R21" s="127"/>
      <c r="S21" s="14"/>
      <c r="T21" s="14"/>
      <c r="U21" s="14"/>
      <c r="W21" s="1281"/>
      <c r="X21" s="202"/>
      <c r="Y21" s="202"/>
      <c r="Z21" s="202"/>
      <c r="AA21" s="202"/>
      <c r="AB21" s="202"/>
      <c r="AC21" s="288"/>
      <c r="AD21" s="202"/>
      <c r="AE21" s="202"/>
      <c r="AF21" s="202"/>
      <c r="AG21" s="1282"/>
    </row>
    <row r="22" spans="1:33" x14ac:dyDescent="0.25">
      <c r="A22" s="708">
        <v>5353</v>
      </c>
      <c r="B22" s="1258" t="s">
        <v>1910</v>
      </c>
      <c r="C22" s="311"/>
      <c r="D22" s="127"/>
      <c r="E22" s="127"/>
      <c r="F22" s="127"/>
      <c r="G22" s="127"/>
      <c r="H22" s="127"/>
      <c r="I22" s="127"/>
      <c r="J22" s="127"/>
      <c r="K22" s="14"/>
      <c r="L22" s="127"/>
      <c r="M22" s="14"/>
      <c r="N22" s="127"/>
      <c r="O22" s="14"/>
      <c r="P22" s="13"/>
      <c r="Q22" s="440">
        <v>1000</v>
      </c>
      <c r="R22" s="127"/>
      <c r="S22" s="14"/>
      <c r="T22" s="14"/>
      <c r="U22" s="14"/>
      <c r="W22" s="1298">
        <v>5346</v>
      </c>
      <c r="X22" s="60" t="s">
        <v>2445</v>
      </c>
      <c r="Y22" s="1299"/>
      <c r="Z22" s="987"/>
      <c r="AA22" s="1299">
        <v>1100</v>
      </c>
      <c r="AB22" s="992"/>
      <c r="AC22" s="1300">
        <v>1100</v>
      </c>
      <c r="AD22" s="202"/>
      <c r="AE22" s="202"/>
      <c r="AF22" s="202"/>
      <c r="AG22" s="1282"/>
    </row>
    <row r="23" spans="1:33" x14ac:dyDescent="0.25">
      <c r="A23" s="708">
        <v>5354</v>
      </c>
      <c r="B23" s="1258" t="s">
        <v>1992</v>
      </c>
      <c r="C23" s="311"/>
      <c r="D23" s="127"/>
      <c r="E23" s="127"/>
      <c r="F23" s="127"/>
      <c r="G23" s="127"/>
      <c r="H23" s="127"/>
      <c r="I23" s="127"/>
      <c r="J23" s="127"/>
      <c r="K23" s="14"/>
      <c r="L23" s="127"/>
      <c r="M23" s="14"/>
      <c r="N23" s="127"/>
      <c r="O23" s="14"/>
      <c r="P23" s="13">
        <v>815.52</v>
      </c>
      <c r="Q23" s="14"/>
      <c r="R23" s="127">
        <v>1415.41</v>
      </c>
      <c r="S23" s="14"/>
      <c r="T23" s="14"/>
      <c r="U23" s="14"/>
      <c r="W23" s="1298">
        <v>5355</v>
      </c>
      <c r="X23" s="1301" t="s">
        <v>2068</v>
      </c>
      <c r="Y23" s="1302"/>
      <c r="Z23" s="1303"/>
      <c r="AA23" s="1304">
        <v>1300</v>
      </c>
      <c r="AB23" s="1305"/>
      <c r="AC23" s="1306">
        <v>1300</v>
      </c>
      <c r="AD23" s="1307"/>
      <c r="AE23" s="202"/>
      <c r="AF23" s="202"/>
      <c r="AG23" s="1282"/>
    </row>
    <row r="24" spans="1:33" x14ac:dyDescent="0.25">
      <c r="A24" s="708">
        <v>5355</v>
      </c>
      <c r="B24" s="1252" t="s">
        <v>2068</v>
      </c>
      <c r="C24" s="311"/>
      <c r="D24" s="127"/>
      <c r="E24" s="127"/>
      <c r="F24" s="127"/>
      <c r="G24" s="127"/>
      <c r="H24" s="127"/>
      <c r="I24" s="127"/>
      <c r="J24" s="127"/>
      <c r="K24" s="14"/>
      <c r="L24" s="127"/>
      <c r="M24" s="14"/>
      <c r="N24" s="127"/>
      <c r="O24" s="14"/>
      <c r="P24" s="1254">
        <v>1300</v>
      </c>
      <c r="Q24" s="14"/>
      <c r="R24" s="127"/>
      <c r="S24" s="14"/>
      <c r="T24" s="14"/>
      <c r="U24" s="14"/>
      <c r="W24" s="1281"/>
      <c r="X24" s="202"/>
      <c r="Y24" s="202"/>
      <c r="Z24" s="202"/>
      <c r="AA24" s="202"/>
      <c r="AB24" s="202"/>
      <c r="AC24" s="288">
        <f>SUM(AC22:AC23)</f>
        <v>2400</v>
      </c>
      <c r="AD24" s="202"/>
      <c r="AE24" s="202"/>
      <c r="AF24" s="202"/>
      <c r="AG24" s="1282"/>
    </row>
    <row r="25" spans="1:33" x14ac:dyDescent="0.25">
      <c r="A25" s="708">
        <v>5580</v>
      </c>
      <c r="B25" s="322" t="s">
        <v>884</v>
      </c>
      <c r="C25" s="127"/>
      <c r="D25" s="127"/>
      <c r="E25" s="127"/>
      <c r="F25" s="127"/>
      <c r="G25" s="127">
        <v>493.79</v>
      </c>
      <c r="H25" s="127">
        <v>2237.65</v>
      </c>
      <c r="I25" s="127">
        <v>5441.36</v>
      </c>
      <c r="J25" s="127">
        <v>4117.0200000000004</v>
      </c>
      <c r="K25" s="14">
        <f>3000+4000</f>
        <v>7000</v>
      </c>
      <c r="L25" s="127">
        <v>9641</v>
      </c>
      <c r="M25" s="14">
        <v>6500</v>
      </c>
      <c r="N25" s="127">
        <v>2840</v>
      </c>
      <c r="O25" s="14">
        <v>8000</v>
      </c>
      <c r="P25" s="13">
        <v>3577.62</v>
      </c>
      <c r="Q25" s="14">
        <v>3000</v>
      </c>
      <c r="R25" s="127">
        <v>2026.43</v>
      </c>
      <c r="S25" s="14">
        <v>3000</v>
      </c>
      <c r="T25" s="14"/>
      <c r="U25" s="14"/>
      <c r="W25" s="1281"/>
      <c r="X25" s="202"/>
      <c r="Y25" s="202"/>
      <c r="Z25" s="202"/>
      <c r="AA25" s="202"/>
      <c r="AB25" s="202"/>
      <c r="AC25" s="202"/>
      <c r="AD25" s="202"/>
      <c r="AE25" s="202"/>
      <c r="AF25" s="202"/>
      <c r="AG25" s="1282"/>
    </row>
    <row r="26" spans="1:33" hidden="1" x14ac:dyDescent="0.25">
      <c r="A26" s="708"/>
      <c r="B26" s="322" t="s">
        <v>885</v>
      </c>
      <c r="C26" s="127"/>
      <c r="D26" s="127"/>
      <c r="E26" s="127"/>
      <c r="F26" s="127"/>
      <c r="G26" s="127"/>
      <c r="H26" s="127"/>
      <c r="I26" s="127"/>
      <c r="J26" s="127"/>
      <c r="K26" s="14"/>
      <c r="L26" s="127">
        <v>3442.5</v>
      </c>
      <c r="M26" s="14"/>
      <c r="N26" s="127"/>
      <c r="O26" s="14"/>
      <c r="P26" s="13"/>
      <c r="Q26" s="14"/>
      <c r="R26" s="127"/>
      <c r="S26" s="14"/>
      <c r="T26" s="14"/>
      <c r="U26" s="14"/>
      <c r="W26" s="1281"/>
      <c r="X26" s="202"/>
      <c r="Y26" s="202" t="s">
        <v>255</v>
      </c>
      <c r="Z26" s="202" t="s">
        <v>256</v>
      </c>
      <c r="AA26" s="202" t="s">
        <v>255</v>
      </c>
      <c r="AB26" s="202" t="s">
        <v>708</v>
      </c>
      <c r="AC26" s="288" t="s">
        <v>1345</v>
      </c>
      <c r="AD26" s="202"/>
      <c r="AE26" s="202"/>
      <c r="AF26" s="202"/>
      <c r="AG26" s="1282"/>
    </row>
    <row r="27" spans="1:33" ht="13.8" thickBot="1" x14ac:dyDescent="0.3">
      <c r="A27" s="725">
        <v>5590</v>
      </c>
      <c r="B27" s="4" t="s">
        <v>886</v>
      </c>
      <c r="C27" s="37"/>
      <c r="D27" s="37"/>
      <c r="E27" s="37"/>
      <c r="F27" s="37"/>
      <c r="G27" s="37"/>
      <c r="H27" s="37"/>
      <c r="I27" s="37"/>
      <c r="J27" s="37"/>
      <c r="K27" s="38">
        <v>7500</v>
      </c>
      <c r="L27" s="253">
        <v>6339</v>
      </c>
      <c r="M27" s="38">
        <v>33100</v>
      </c>
      <c r="N27" s="253">
        <v>1188.47</v>
      </c>
      <c r="O27" s="38">
        <v>20000</v>
      </c>
      <c r="P27" s="37">
        <v>15451.6</v>
      </c>
      <c r="Q27" s="38">
        <v>19000</v>
      </c>
      <c r="R27" s="37"/>
      <c r="S27" s="38">
        <v>16600</v>
      </c>
      <c r="T27" s="38"/>
      <c r="U27" s="38"/>
      <c r="W27" s="1281"/>
      <c r="X27" s="202"/>
      <c r="Y27" s="202"/>
      <c r="Z27" s="202"/>
      <c r="AA27" s="202"/>
      <c r="AB27" s="202" t="s">
        <v>709</v>
      </c>
      <c r="AC27" s="288" t="s">
        <v>710</v>
      </c>
      <c r="AD27" s="202"/>
      <c r="AE27" s="202"/>
      <c r="AF27" s="202"/>
      <c r="AG27" s="1282"/>
    </row>
    <row r="28" spans="1:33" x14ac:dyDescent="0.25">
      <c r="A28" s="708"/>
      <c r="B28" s="17" t="s">
        <v>728</v>
      </c>
      <c r="C28" s="35">
        <f t="shared" ref="C28:U28" si="2">SUM(C13:C27)</f>
        <v>19070.73</v>
      </c>
      <c r="D28" s="35">
        <f t="shared" si="2"/>
        <v>19720.39</v>
      </c>
      <c r="E28" s="35">
        <f t="shared" si="2"/>
        <v>20427.78</v>
      </c>
      <c r="F28" s="35">
        <f t="shared" si="2"/>
        <v>29491.690000000002</v>
      </c>
      <c r="G28" s="35">
        <f t="shared" si="2"/>
        <v>33150.769999999997</v>
      </c>
      <c r="H28" s="35">
        <f t="shared" si="2"/>
        <v>41542.080000000002</v>
      </c>
      <c r="I28" s="35">
        <f t="shared" si="2"/>
        <v>44323.6</v>
      </c>
      <c r="J28" s="35">
        <f t="shared" si="2"/>
        <v>53902.240000000005</v>
      </c>
      <c r="K28" s="36">
        <f t="shared" si="2"/>
        <v>72000</v>
      </c>
      <c r="L28" s="35">
        <f t="shared" si="2"/>
        <v>68380.240000000005</v>
      </c>
      <c r="M28" s="36">
        <f t="shared" si="2"/>
        <v>95700</v>
      </c>
      <c r="N28" s="35">
        <f t="shared" ref="N28" si="3">SUM(N13:N27)</f>
        <v>52606.350000000006</v>
      </c>
      <c r="O28" s="36">
        <f t="shared" si="2"/>
        <v>76900</v>
      </c>
      <c r="P28" s="35">
        <f t="shared" ref="P28" si="4">SUM(P13:P27)</f>
        <v>71447.92</v>
      </c>
      <c r="Q28" s="36">
        <f t="shared" ref="Q28" si="5">SUM(Q13:Q27)</f>
        <v>78400</v>
      </c>
      <c r="R28" s="35">
        <f t="shared" si="2"/>
        <v>22793.25</v>
      </c>
      <c r="S28" s="36">
        <f t="shared" si="2"/>
        <v>89900</v>
      </c>
      <c r="T28" s="36"/>
      <c r="U28" s="36">
        <f t="shared" si="2"/>
        <v>0</v>
      </c>
      <c r="W28" s="1291" t="s">
        <v>2446</v>
      </c>
      <c r="X28" s="202"/>
      <c r="Y28" s="202"/>
      <c r="Z28" s="202"/>
      <c r="AA28" s="202"/>
      <c r="AB28" s="202"/>
      <c r="AC28" s="288" t="s">
        <v>713</v>
      </c>
      <c r="AD28" s="202"/>
      <c r="AE28" s="202"/>
      <c r="AF28" s="202"/>
      <c r="AG28" s="1282"/>
    </row>
    <row r="29" spans="1:33" x14ac:dyDescent="0.25">
      <c r="A29" s="708"/>
      <c r="B29" s="17"/>
      <c r="C29" s="35"/>
      <c r="D29" s="35"/>
      <c r="E29" s="35"/>
      <c r="F29" s="35"/>
      <c r="G29" s="35"/>
      <c r="H29" s="35"/>
      <c r="I29" s="35"/>
      <c r="J29" s="35"/>
      <c r="K29" s="36"/>
      <c r="L29" s="35"/>
      <c r="M29" s="36"/>
      <c r="N29" s="35"/>
      <c r="O29" s="36"/>
      <c r="P29" s="35"/>
      <c r="Q29" s="36"/>
      <c r="R29" s="35"/>
      <c r="S29" s="36"/>
      <c r="T29" s="36"/>
      <c r="U29" s="36"/>
      <c r="W29" s="1281"/>
      <c r="X29" s="202"/>
      <c r="Y29" s="202" t="s">
        <v>253</v>
      </c>
      <c r="Z29" s="202" t="s">
        <v>253</v>
      </c>
      <c r="AA29" s="202" t="s">
        <v>469</v>
      </c>
      <c r="AB29" s="1308">
        <v>45291</v>
      </c>
      <c r="AC29" s="288" t="s">
        <v>716</v>
      </c>
      <c r="AD29" s="202"/>
      <c r="AE29" s="202"/>
      <c r="AF29" s="202"/>
      <c r="AG29" s="1282"/>
    </row>
    <row r="30" spans="1:33" ht="13.8" thickBot="1" x14ac:dyDescent="0.3">
      <c r="A30" s="709"/>
      <c r="B30" s="20" t="s">
        <v>887</v>
      </c>
      <c r="C30" s="21">
        <f t="shared" ref="C30:S30" si="6">+C28+C11</f>
        <v>21070.73</v>
      </c>
      <c r="D30" s="21">
        <f t="shared" si="6"/>
        <v>21720.39</v>
      </c>
      <c r="E30" s="21">
        <f t="shared" si="6"/>
        <v>22312.94</v>
      </c>
      <c r="F30" s="21">
        <f t="shared" si="6"/>
        <v>31491.690000000002</v>
      </c>
      <c r="G30" s="21">
        <f t="shared" si="6"/>
        <v>33814.289999999994</v>
      </c>
      <c r="H30" s="21">
        <f t="shared" si="6"/>
        <v>43349.700000000004</v>
      </c>
      <c r="I30" s="21">
        <f t="shared" si="6"/>
        <v>46323.6</v>
      </c>
      <c r="J30" s="21">
        <f t="shared" si="6"/>
        <v>56002.240000000005</v>
      </c>
      <c r="K30" s="39">
        <f t="shared" si="6"/>
        <v>74100</v>
      </c>
      <c r="L30" s="21">
        <f t="shared" si="6"/>
        <v>71280.13</v>
      </c>
      <c r="M30" s="39">
        <f t="shared" si="6"/>
        <v>97800</v>
      </c>
      <c r="N30" s="21">
        <f t="shared" ref="N30" si="7">+N28+N11</f>
        <v>54706.350000000006</v>
      </c>
      <c r="O30" s="39">
        <f t="shared" si="6"/>
        <v>79000</v>
      </c>
      <c r="P30" s="21">
        <f t="shared" ref="P30" si="8">+P28+P11</f>
        <v>73547.92</v>
      </c>
      <c r="Q30" s="39">
        <f t="shared" ref="Q30" si="9">+Q28+Q11</f>
        <v>80500</v>
      </c>
      <c r="R30" s="21">
        <f t="shared" si="6"/>
        <v>23843.25</v>
      </c>
      <c r="S30" s="39">
        <f t="shared" si="6"/>
        <v>92252</v>
      </c>
      <c r="T30" s="39">
        <f>+S30</f>
        <v>92252</v>
      </c>
      <c r="U30" s="266">
        <f>+S30</f>
        <v>92252</v>
      </c>
      <c r="W30" s="1309">
        <v>5350</v>
      </c>
      <c r="X30" s="1301" t="s">
        <v>2447</v>
      </c>
      <c r="Y30" s="1299">
        <v>1500</v>
      </c>
      <c r="Z30" s="987">
        <v>2253.16</v>
      </c>
      <c r="AA30" s="1299">
        <v>2800</v>
      </c>
      <c r="AB30" s="992"/>
      <c r="AC30" s="1300">
        <v>2800</v>
      </c>
      <c r="AD30" s="202" t="s">
        <v>2448</v>
      </c>
      <c r="AE30" s="202"/>
      <c r="AF30" s="202"/>
      <c r="AG30" s="1282"/>
    </row>
    <row r="31" spans="1:33" ht="13.8" thickTop="1" x14ac:dyDescent="0.25">
      <c r="A31" s="703"/>
      <c r="B31" s="4"/>
      <c r="C31" s="23"/>
      <c r="D31" s="23"/>
      <c r="E31" s="23"/>
      <c r="F31" s="23"/>
      <c r="G31" s="23"/>
      <c r="H31" s="23"/>
      <c r="I31" s="23"/>
      <c r="J31" s="23"/>
      <c r="K31" s="23"/>
      <c r="L31" s="23"/>
      <c r="M31" s="23"/>
      <c r="N31" s="23"/>
      <c r="O31" s="23"/>
      <c r="P31" s="23"/>
      <c r="Q31" s="23"/>
      <c r="R31" s="181" t="s">
        <v>732</v>
      </c>
      <c r="S31" s="1001">
        <f>+S30-Q30</f>
        <v>11752</v>
      </c>
      <c r="T31" s="1002">
        <f>ROUND((+S31/Q30),4)</f>
        <v>0.14599999999999999</v>
      </c>
      <c r="U31" s="73"/>
      <c r="W31" s="1309">
        <v>5351</v>
      </c>
      <c r="X31" s="1301" t="s">
        <v>883</v>
      </c>
      <c r="Y31" s="1299">
        <v>9700</v>
      </c>
      <c r="Z31" s="987">
        <v>7813.29</v>
      </c>
      <c r="AA31" s="1299">
        <v>9000</v>
      </c>
      <c r="AB31" s="992"/>
      <c r="AC31" s="1300">
        <v>9000</v>
      </c>
      <c r="AD31" s="202"/>
      <c r="AE31" s="202"/>
      <c r="AF31" s="202"/>
      <c r="AG31" s="1282"/>
    </row>
    <row r="32" spans="1:33" x14ac:dyDescent="0.25">
      <c r="A32" s="708"/>
      <c r="B32" s="600"/>
      <c r="C32" s="23"/>
      <c r="D32" s="23"/>
      <c r="E32" s="23"/>
      <c r="F32" s="23"/>
      <c r="G32" s="23"/>
      <c r="H32" s="23"/>
      <c r="I32" s="23"/>
      <c r="J32" s="23"/>
      <c r="K32" s="23"/>
      <c r="L32" s="23"/>
      <c r="M32" s="23"/>
      <c r="N32" s="23"/>
      <c r="O32" s="23"/>
      <c r="P32" s="23"/>
      <c r="Q32" s="23"/>
      <c r="R32" s="4"/>
      <c r="S32" s="23"/>
      <c r="T32" s="23"/>
      <c r="U32" s="23"/>
      <c r="W32" s="1309">
        <v>5352</v>
      </c>
      <c r="X32" s="1301" t="s">
        <v>1909</v>
      </c>
      <c r="Y32" s="1299"/>
      <c r="Z32" s="987">
        <v>3302.22</v>
      </c>
      <c r="AA32" s="1299">
        <v>3500</v>
      </c>
      <c r="AB32" s="992"/>
      <c r="AC32" s="1300">
        <v>3500</v>
      </c>
      <c r="AD32" s="202"/>
      <c r="AE32" s="202"/>
      <c r="AF32" s="202"/>
      <c r="AG32" s="1282"/>
    </row>
    <row r="33" spans="1:33" x14ac:dyDescent="0.25">
      <c r="A33" s="703"/>
      <c r="B33" s="4"/>
      <c r="C33" s="23"/>
      <c r="D33" s="23"/>
      <c r="E33" s="23"/>
      <c r="F33" s="23"/>
      <c r="G33" s="23"/>
      <c r="H33" s="23"/>
      <c r="I33" s="23"/>
      <c r="J33" s="23"/>
      <c r="K33" s="23"/>
      <c r="L33" s="23"/>
      <c r="M33" s="23"/>
      <c r="N33" s="23"/>
      <c r="O33" s="23"/>
      <c r="P33" s="23"/>
      <c r="Q33" s="23"/>
      <c r="R33" s="4"/>
      <c r="S33" s="23"/>
      <c r="T33" s="23"/>
      <c r="U33" s="23"/>
      <c r="W33" s="1309">
        <v>5353</v>
      </c>
      <c r="X33" s="1301" t="s">
        <v>1910</v>
      </c>
      <c r="Y33" s="1299"/>
      <c r="Z33" s="987"/>
      <c r="AA33" s="1299">
        <v>1000</v>
      </c>
      <c r="AB33" s="992"/>
      <c r="AC33" s="1300">
        <v>1000</v>
      </c>
      <c r="AD33" s="202"/>
      <c r="AE33" s="202"/>
      <c r="AF33" s="202"/>
      <c r="AG33" s="1282"/>
    </row>
    <row r="34" spans="1:33" x14ac:dyDescent="0.25">
      <c r="A34" s="703"/>
      <c r="B34" s="4"/>
      <c r="C34" s="23"/>
      <c r="D34" s="23"/>
      <c r="E34" s="23"/>
      <c r="F34" s="23"/>
      <c r="G34" s="23"/>
      <c r="H34" s="23"/>
      <c r="I34" s="23"/>
      <c r="J34" s="23"/>
      <c r="K34" s="23"/>
      <c r="L34" s="23"/>
      <c r="M34" s="23"/>
      <c r="N34" s="23"/>
      <c r="O34" s="23"/>
      <c r="P34" s="23"/>
      <c r="Q34" s="23"/>
      <c r="R34" s="4"/>
      <c r="S34" s="23"/>
      <c r="T34" s="23"/>
      <c r="U34" s="23"/>
      <c r="W34" s="1309">
        <v>5354</v>
      </c>
      <c r="X34" s="1301" t="s">
        <v>1992</v>
      </c>
      <c r="Y34" s="1299"/>
      <c r="Z34" s="987">
        <v>815.52</v>
      </c>
      <c r="AA34" s="1299"/>
      <c r="AB34" s="992"/>
      <c r="AC34" s="1300">
        <v>1500</v>
      </c>
      <c r="AD34" s="202"/>
      <c r="AE34" s="202"/>
      <c r="AF34" s="202"/>
      <c r="AG34" s="1282"/>
    </row>
    <row r="35" spans="1:33" x14ac:dyDescent="0.25">
      <c r="A35" s="703"/>
      <c r="B35" s="4"/>
      <c r="C35" s="23"/>
      <c r="D35" s="23"/>
      <c r="E35" s="23"/>
      <c r="F35" s="23"/>
      <c r="G35" s="23"/>
      <c r="H35" s="23"/>
      <c r="I35" s="23"/>
      <c r="J35" s="23"/>
      <c r="K35" s="23"/>
      <c r="L35" s="23"/>
      <c r="M35" s="23"/>
      <c r="N35" s="23"/>
      <c r="O35" s="23"/>
      <c r="P35" s="23"/>
      <c r="Q35" s="23"/>
      <c r="R35" s="4"/>
      <c r="S35" s="23"/>
      <c r="T35" s="23"/>
      <c r="U35" s="23"/>
      <c r="W35" s="1281"/>
      <c r="X35" s="202"/>
      <c r="Y35" s="202"/>
      <c r="Z35" s="202"/>
      <c r="AA35" s="202">
        <f>SUM(AA30:AA34)</f>
        <v>16300</v>
      </c>
      <c r="AB35" s="202"/>
      <c r="AC35" s="202">
        <f>SUM(AC30:AC34)</f>
        <v>17800</v>
      </c>
      <c r="AD35" s="202"/>
      <c r="AE35" s="202"/>
      <c r="AF35" s="202"/>
      <c r="AG35" s="1282"/>
    </row>
    <row r="36" spans="1:33" x14ac:dyDescent="0.25">
      <c r="A36" s="703"/>
      <c r="C36" s="23"/>
      <c r="D36" s="23"/>
      <c r="E36" s="23"/>
      <c r="F36" s="23"/>
      <c r="G36" s="23"/>
      <c r="H36" s="23"/>
      <c r="I36" s="23"/>
      <c r="J36" s="23"/>
      <c r="K36" s="23"/>
      <c r="L36" s="23"/>
      <c r="M36" s="23"/>
      <c r="N36" s="23"/>
      <c r="O36" s="23"/>
      <c r="P36" s="23"/>
      <c r="Q36" s="23"/>
      <c r="R36" s="4"/>
      <c r="S36" s="23"/>
      <c r="T36" s="23"/>
      <c r="U36" s="23"/>
      <c r="W36" s="1281"/>
      <c r="X36" s="202"/>
      <c r="Y36" s="202"/>
      <c r="Z36" s="202"/>
      <c r="AA36" s="202"/>
      <c r="AB36" s="202"/>
      <c r="AC36" s="202"/>
      <c r="AD36" s="202"/>
      <c r="AE36" s="202"/>
      <c r="AF36" s="202"/>
      <c r="AG36" s="1282"/>
    </row>
    <row r="37" spans="1:33" x14ac:dyDescent="0.25">
      <c r="A37" s="703"/>
      <c r="C37" s="23"/>
      <c r="D37" s="23"/>
      <c r="E37" s="23"/>
      <c r="F37" s="23"/>
      <c r="G37" s="23"/>
      <c r="H37" s="23"/>
      <c r="I37" s="23"/>
      <c r="J37" s="23"/>
      <c r="K37" s="23"/>
      <c r="L37" s="23"/>
      <c r="M37" s="23"/>
      <c r="N37" s="23"/>
      <c r="O37" s="23"/>
      <c r="P37" s="23"/>
      <c r="Q37" s="23"/>
      <c r="R37" s="4"/>
      <c r="S37" s="23"/>
      <c r="T37" s="23"/>
      <c r="U37" s="23"/>
      <c r="W37" s="1281"/>
      <c r="X37" s="202"/>
      <c r="Y37" s="202"/>
      <c r="Z37" s="202"/>
      <c r="AA37" s="202"/>
      <c r="AB37" s="202"/>
      <c r="AC37" s="202"/>
      <c r="AD37" s="202"/>
      <c r="AE37" s="202"/>
      <c r="AF37" s="202"/>
      <c r="AG37" s="1310" t="s">
        <v>1345</v>
      </c>
    </row>
    <row r="38" spans="1:33" x14ac:dyDescent="0.25">
      <c r="A38" s="703"/>
      <c r="C38" s="23"/>
      <c r="D38" s="23"/>
      <c r="E38" s="23"/>
      <c r="F38" s="23"/>
      <c r="G38" s="23"/>
      <c r="H38" s="23"/>
      <c r="I38" s="23"/>
      <c r="J38" s="23"/>
      <c r="K38" s="23"/>
      <c r="L38" s="23"/>
      <c r="M38" s="23"/>
      <c r="N38" s="23"/>
      <c r="O38" s="23"/>
      <c r="P38" s="23"/>
      <c r="Q38" s="23"/>
      <c r="R38" s="4"/>
      <c r="S38" s="23"/>
      <c r="T38" s="23"/>
      <c r="U38" s="23"/>
      <c r="W38" s="1281"/>
      <c r="X38" s="202"/>
      <c r="Y38" s="202"/>
      <c r="Z38" s="202"/>
      <c r="AA38" s="202"/>
      <c r="AB38" s="202"/>
      <c r="AC38" s="202"/>
      <c r="AD38" s="202"/>
      <c r="AE38" s="202"/>
      <c r="AF38" s="202" t="s">
        <v>708</v>
      </c>
      <c r="AG38" s="1310" t="s">
        <v>710</v>
      </c>
    </row>
    <row r="39" spans="1:33" ht="13.8" thickBot="1" x14ac:dyDescent="0.3">
      <c r="B39" s="4"/>
      <c r="W39" s="1291" t="s">
        <v>2449</v>
      </c>
      <c r="X39" s="202"/>
      <c r="Y39" s="202"/>
      <c r="Z39" s="202"/>
      <c r="AA39" s="202"/>
      <c r="AB39" s="202"/>
      <c r="AC39" s="202" t="s">
        <v>255</v>
      </c>
      <c r="AD39" s="202" t="s">
        <v>256</v>
      </c>
      <c r="AE39" s="202" t="s">
        <v>255</v>
      </c>
      <c r="AF39" s="202" t="s">
        <v>709</v>
      </c>
      <c r="AG39" s="1310" t="s">
        <v>713</v>
      </c>
    </row>
    <row r="40" spans="1:33" ht="13.8" thickTop="1" x14ac:dyDescent="0.25">
      <c r="A40" s="718"/>
      <c r="B40" s="349"/>
      <c r="C40" s="350" t="s">
        <v>256</v>
      </c>
      <c r="D40" s="351" t="s">
        <v>256</v>
      </c>
      <c r="E40" s="351" t="s">
        <v>256</v>
      </c>
      <c r="O40" s="352" t="s">
        <v>255</v>
      </c>
      <c r="P40" s="353" t="s">
        <v>716</v>
      </c>
      <c r="Q40" s="354" t="s">
        <v>730</v>
      </c>
      <c r="R40" s="353" t="s">
        <v>731</v>
      </c>
      <c r="S40" s="355"/>
      <c r="T40" s="550"/>
      <c r="U40" s="354"/>
      <c r="W40" s="1281"/>
      <c r="X40" s="202"/>
      <c r="Y40" s="202"/>
      <c r="Z40" s="202"/>
      <c r="AA40" s="202"/>
      <c r="AB40" s="202"/>
      <c r="AC40" s="202" t="s">
        <v>253</v>
      </c>
      <c r="AD40" s="202" t="s">
        <v>253</v>
      </c>
      <c r="AE40" s="202" t="s">
        <v>469</v>
      </c>
      <c r="AF40" s="1308">
        <v>45291</v>
      </c>
      <c r="AG40" s="1310" t="s">
        <v>716</v>
      </c>
    </row>
    <row r="41" spans="1:33" ht="13.8" thickBot="1" x14ac:dyDescent="0.3">
      <c r="A41" s="719" t="s">
        <v>715</v>
      </c>
      <c r="B41" s="356"/>
      <c r="C41" s="357" t="s">
        <v>243</v>
      </c>
      <c r="D41" s="357" t="s">
        <v>244</v>
      </c>
      <c r="E41" s="358" t="s">
        <v>245</v>
      </c>
      <c r="O41" s="359" t="s">
        <v>469</v>
      </c>
      <c r="P41" s="359" t="s">
        <v>1345</v>
      </c>
      <c r="Q41" s="358" t="s">
        <v>732</v>
      </c>
      <c r="R41" s="360" t="s">
        <v>732</v>
      </c>
      <c r="S41" s="361" t="s">
        <v>733</v>
      </c>
      <c r="T41" s="551"/>
      <c r="U41" s="359"/>
      <c r="W41" s="1311">
        <v>5347</v>
      </c>
      <c r="X41" s="321" t="s">
        <v>1907</v>
      </c>
      <c r="Y41" s="321"/>
      <c r="Z41" s="321"/>
      <c r="AA41" s="321"/>
      <c r="AB41" s="321"/>
      <c r="AC41" s="1299">
        <v>400</v>
      </c>
      <c r="AD41" s="987"/>
      <c r="AE41" s="1299">
        <v>600</v>
      </c>
      <c r="AF41" s="992"/>
      <c r="AG41" s="1312">
        <v>600</v>
      </c>
    </row>
    <row r="42" spans="1:33" ht="13.8" thickTop="1" x14ac:dyDescent="0.25">
      <c r="A42" s="726"/>
      <c r="B42" s="376"/>
      <c r="C42" s="365"/>
      <c r="D42" s="365"/>
      <c r="E42" s="365"/>
      <c r="O42" s="366"/>
      <c r="P42" s="392"/>
      <c r="Q42" s="368"/>
      <c r="R42" s="374"/>
      <c r="S42" s="367"/>
      <c r="T42" s="553"/>
      <c r="U42" s="368"/>
      <c r="W42" s="1311">
        <v>5348</v>
      </c>
      <c r="X42" s="321" t="s">
        <v>1908</v>
      </c>
      <c r="Y42" s="321"/>
      <c r="Z42" s="321"/>
      <c r="AA42" s="321"/>
      <c r="AB42" s="321"/>
      <c r="AC42" s="1299">
        <v>800</v>
      </c>
      <c r="AD42" s="987">
        <v>980</v>
      </c>
      <c r="AE42" s="1299">
        <v>800</v>
      </c>
      <c r="AF42" s="992"/>
      <c r="AG42" s="1312">
        <v>900</v>
      </c>
    </row>
    <row r="43" spans="1:33" x14ac:dyDescent="0.25">
      <c r="A43" s="726">
        <v>5100</v>
      </c>
      <c r="B43" s="376" t="s">
        <v>878</v>
      </c>
      <c r="C43" s="365">
        <v>2000</v>
      </c>
      <c r="D43" s="365">
        <v>2000</v>
      </c>
      <c r="E43" s="365">
        <v>1885.16</v>
      </c>
      <c r="O43" s="366">
        <f>+Q9</f>
        <v>2100</v>
      </c>
      <c r="P43" s="392">
        <f>+S9</f>
        <v>2352</v>
      </c>
      <c r="Q43" s="368">
        <f t="shared" ref="Q43:Q56" si="10">+P43-O43</f>
        <v>252</v>
      </c>
      <c r="R43" s="374">
        <f t="shared" ref="R43:R57" si="11">IF(O43+P43&lt;&gt;0,IF(O43&lt;&gt;0,IF(Q43&lt;&gt;0,ROUND((+Q43/O43),4),""),1),"")</f>
        <v>0.12</v>
      </c>
      <c r="S43" s="367" t="s">
        <v>2381</v>
      </c>
      <c r="T43" s="553"/>
      <c r="U43" s="368"/>
      <c r="W43" s="1311">
        <v>5349</v>
      </c>
      <c r="X43" s="321" t="s">
        <v>1911</v>
      </c>
      <c r="Y43" s="321"/>
      <c r="Z43" s="321"/>
      <c r="AA43" s="321"/>
      <c r="AB43" s="321"/>
      <c r="AC43" s="1299">
        <v>400</v>
      </c>
      <c r="AD43" s="987"/>
      <c r="AE43" s="1299">
        <v>600</v>
      </c>
      <c r="AF43" s="992"/>
      <c r="AG43" s="1312">
        <v>600</v>
      </c>
    </row>
    <row r="44" spans="1:33" ht="13.8" thickBot="1" x14ac:dyDescent="0.3">
      <c r="A44" s="724">
        <v>5247</v>
      </c>
      <c r="B44" s="369" t="s">
        <v>881</v>
      </c>
      <c r="C44" s="373">
        <v>14500</v>
      </c>
      <c r="D44" s="373">
        <v>15250</v>
      </c>
      <c r="E44" s="373">
        <v>16000</v>
      </c>
      <c r="O44" s="372">
        <f t="shared" ref="O44:O53" si="12">+Q13</f>
        <v>34000</v>
      </c>
      <c r="P44" s="392">
        <f t="shared" ref="P44:P53" si="13">+S13</f>
        <v>45000</v>
      </c>
      <c r="Q44" s="368">
        <f t="shared" si="10"/>
        <v>11000</v>
      </c>
      <c r="R44" s="374">
        <f t="shared" si="11"/>
        <v>0.32350000000000001</v>
      </c>
      <c r="S44" s="367" t="s">
        <v>2382</v>
      </c>
      <c r="T44" s="553"/>
      <c r="U44" s="368"/>
      <c r="W44" s="1284"/>
      <c r="X44" s="1285"/>
      <c r="Y44" s="1285"/>
      <c r="Z44" s="1285"/>
      <c r="AA44" s="1285"/>
      <c r="AB44" s="1285"/>
      <c r="AC44" s="1285"/>
      <c r="AD44" s="1285"/>
      <c r="AE44" s="1285">
        <f>SUM(AE41:AE43)</f>
        <v>2000</v>
      </c>
      <c r="AF44" s="1285"/>
      <c r="AG44" s="1313">
        <f>SUM(AG41:AG43)</f>
        <v>2100</v>
      </c>
    </row>
    <row r="45" spans="1:33" x14ac:dyDescent="0.25">
      <c r="A45" s="724">
        <v>5341</v>
      </c>
      <c r="B45" s="397" t="s">
        <v>882</v>
      </c>
      <c r="C45" s="373"/>
      <c r="D45" s="373"/>
      <c r="E45" s="373"/>
      <c r="O45" s="372">
        <f t="shared" si="12"/>
        <v>3000</v>
      </c>
      <c r="P45" s="392">
        <f t="shared" si="13"/>
        <v>3000</v>
      </c>
      <c r="Q45" s="368">
        <f t="shared" si="10"/>
        <v>0</v>
      </c>
      <c r="R45" s="374" t="str">
        <f t="shared" si="11"/>
        <v/>
      </c>
      <c r="S45" s="367"/>
      <c r="T45" s="553"/>
      <c r="U45" s="368"/>
    </row>
    <row r="46" spans="1:33" x14ac:dyDescent="0.25">
      <c r="A46" s="1250">
        <v>5346</v>
      </c>
      <c r="B46" s="1251" t="s">
        <v>2378</v>
      </c>
      <c r="C46" s="373">
        <v>125</v>
      </c>
      <c r="D46" s="373">
        <v>275</v>
      </c>
      <c r="E46" s="373">
        <v>125</v>
      </c>
      <c r="O46" s="1266">
        <f t="shared" si="12"/>
        <v>1100</v>
      </c>
      <c r="P46" s="1267">
        <f t="shared" si="13"/>
        <v>2400</v>
      </c>
      <c r="Q46" s="368">
        <f t="shared" si="10"/>
        <v>1300</v>
      </c>
      <c r="R46" s="374">
        <f t="shared" si="11"/>
        <v>1.1818</v>
      </c>
      <c r="S46" s="367" t="s">
        <v>2383</v>
      </c>
      <c r="T46" s="553"/>
      <c r="U46" s="368"/>
    </row>
    <row r="47" spans="1:33" x14ac:dyDescent="0.25">
      <c r="A47" s="1260">
        <v>5347</v>
      </c>
      <c r="B47" s="1261" t="s">
        <v>1907</v>
      </c>
      <c r="C47" s="1262">
        <v>2950</v>
      </c>
      <c r="D47" s="1262">
        <v>2950</v>
      </c>
      <c r="E47" s="1262">
        <v>3050</v>
      </c>
      <c r="F47" s="1263"/>
      <c r="G47" s="1263"/>
      <c r="H47" s="1263"/>
      <c r="I47" s="1263"/>
      <c r="J47" s="1263"/>
      <c r="K47" s="1263"/>
      <c r="L47" s="1263"/>
      <c r="M47" s="1263"/>
      <c r="N47" s="1263"/>
      <c r="O47" s="1264">
        <f t="shared" si="12"/>
        <v>600</v>
      </c>
      <c r="P47" s="1265">
        <f t="shared" si="13"/>
        <v>2100</v>
      </c>
      <c r="Q47" s="1269">
        <f t="shared" si="10"/>
        <v>1500</v>
      </c>
      <c r="R47" s="374">
        <f t="shared" si="11"/>
        <v>2.5</v>
      </c>
      <c r="S47" s="367" t="s">
        <v>2384</v>
      </c>
      <c r="T47" s="553"/>
      <c r="U47" s="368"/>
    </row>
    <row r="48" spans="1:33" x14ac:dyDescent="0.25">
      <c r="A48" s="1260">
        <v>5348</v>
      </c>
      <c r="B48" s="1261" t="s">
        <v>1908</v>
      </c>
      <c r="C48" s="1262">
        <v>161.97999999999999</v>
      </c>
      <c r="D48" s="1262">
        <v>0</v>
      </c>
      <c r="E48" s="1262">
        <v>179.98</v>
      </c>
      <c r="F48" s="1263"/>
      <c r="G48" s="1263"/>
      <c r="H48" s="1263"/>
      <c r="I48" s="1263"/>
      <c r="J48" s="1263"/>
      <c r="K48" s="1263"/>
      <c r="L48" s="1263"/>
      <c r="M48" s="1263"/>
      <c r="N48" s="1263"/>
      <c r="O48" s="1264">
        <f t="shared" si="12"/>
        <v>800</v>
      </c>
      <c r="P48" s="392">
        <f t="shared" si="13"/>
        <v>0</v>
      </c>
      <c r="Q48" s="1269">
        <f t="shared" si="10"/>
        <v>-800</v>
      </c>
      <c r="R48" s="374">
        <f t="shared" si="11"/>
        <v>-1</v>
      </c>
      <c r="S48" s="367" t="s">
        <v>2384</v>
      </c>
      <c r="T48" s="553"/>
      <c r="U48" s="368"/>
    </row>
    <row r="49" spans="1:21" x14ac:dyDescent="0.25">
      <c r="A49" s="1260">
        <v>5349</v>
      </c>
      <c r="B49" s="1261" t="s">
        <v>1911</v>
      </c>
      <c r="C49" s="1262">
        <v>161.97999999999999</v>
      </c>
      <c r="D49" s="1262">
        <v>0</v>
      </c>
      <c r="E49" s="1262">
        <v>179.98</v>
      </c>
      <c r="F49" s="1263"/>
      <c r="G49" s="1263"/>
      <c r="H49" s="1263"/>
      <c r="I49" s="1263"/>
      <c r="J49" s="1263"/>
      <c r="K49" s="1263"/>
      <c r="L49" s="1263"/>
      <c r="M49" s="1263"/>
      <c r="N49" s="1263"/>
      <c r="O49" s="1264">
        <f t="shared" si="12"/>
        <v>600</v>
      </c>
      <c r="P49" s="392">
        <f t="shared" si="13"/>
        <v>0</v>
      </c>
      <c r="Q49" s="1269">
        <f t="shared" si="10"/>
        <v>-600</v>
      </c>
      <c r="R49" s="374">
        <f t="shared" si="11"/>
        <v>-1</v>
      </c>
      <c r="S49" s="367" t="s">
        <v>2384</v>
      </c>
      <c r="T49" s="553"/>
      <c r="U49" s="368"/>
    </row>
    <row r="50" spans="1:21" x14ac:dyDescent="0.25">
      <c r="A50" s="1259">
        <v>5350</v>
      </c>
      <c r="B50" s="1258" t="s">
        <v>2380</v>
      </c>
      <c r="C50" s="373"/>
      <c r="D50" s="373"/>
      <c r="E50" s="373"/>
      <c r="O50" s="440">
        <f t="shared" si="12"/>
        <v>2800</v>
      </c>
      <c r="P50" s="1268">
        <f t="shared" si="13"/>
        <v>17800</v>
      </c>
      <c r="Q50" s="368">
        <f t="shared" si="10"/>
        <v>15000</v>
      </c>
      <c r="R50" s="374">
        <f t="shared" si="11"/>
        <v>5.3571</v>
      </c>
      <c r="S50" s="367" t="s">
        <v>2385</v>
      </c>
      <c r="T50" s="553"/>
      <c r="U50" s="368"/>
    </row>
    <row r="51" spans="1:21" x14ac:dyDescent="0.25">
      <c r="A51" s="724">
        <v>5351</v>
      </c>
      <c r="B51" s="1258" t="s">
        <v>883</v>
      </c>
      <c r="C51" s="373"/>
      <c r="D51" s="373"/>
      <c r="E51" s="373"/>
      <c r="O51" s="440">
        <f t="shared" si="12"/>
        <v>9000</v>
      </c>
      <c r="P51" s="392">
        <f t="shared" si="13"/>
        <v>0</v>
      </c>
      <c r="Q51" s="368">
        <f t="shared" si="10"/>
        <v>-9000</v>
      </c>
      <c r="R51" s="374">
        <f t="shared" si="11"/>
        <v>-1</v>
      </c>
      <c r="S51" s="367" t="s">
        <v>2385</v>
      </c>
      <c r="T51" s="553"/>
      <c r="U51" s="368"/>
    </row>
    <row r="52" spans="1:21" x14ac:dyDescent="0.25">
      <c r="A52" s="724">
        <v>5352</v>
      </c>
      <c r="B52" s="1258" t="s">
        <v>1909</v>
      </c>
      <c r="C52" s="373"/>
      <c r="D52" s="373"/>
      <c r="E52" s="373"/>
      <c r="O52" s="440">
        <f t="shared" si="12"/>
        <v>3500</v>
      </c>
      <c r="P52" s="392">
        <f t="shared" si="13"/>
        <v>0</v>
      </c>
      <c r="Q52" s="368">
        <f t="shared" si="10"/>
        <v>-3500</v>
      </c>
      <c r="R52" s="374">
        <f t="shared" si="11"/>
        <v>-1</v>
      </c>
      <c r="S52" s="367" t="s">
        <v>2385</v>
      </c>
      <c r="T52" s="553"/>
      <c r="U52" s="368"/>
    </row>
    <row r="53" spans="1:21" x14ac:dyDescent="0.25">
      <c r="A53" s="724">
        <v>5353</v>
      </c>
      <c r="B53" s="1258" t="s">
        <v>1910</v>
      </c>
      <c r="C53" s="373"/>
      <c r="D53" s="373"/>
      <c r="E53" s="373"/>
      <c r="O53" s="440">
        <f t="shared" si="12"/>
        <v>1000</v>
      </c>
      <c r="P53" s="392">
        <f t="shared" si="13"/>
        <v>0</v>
      </c>
      <c r="Q53" s="368">
        <f t="shared" si="10"/>
        <v>-1000</v>
      </c>
      <c r="R53" s="374">
        <f t="shared" si="11"/>
        <v>-1</v>
      </c>
      <c r="S53" s="367" t="s">
        <v>2385</v>
      </c>
      <c r="T53" s="553"/>
      <c r="U53" s="368"/>
    </row>
    <row r="54" spans="1:21" x14ac:dyDescent="0.25">
      <c r="A54" s="724">
        <v>5355</v>
      </c>
      <c r="B54" s="1252" t="s">
        <v>2068</v>
      </c>
      <c r="C54" s="373"/>
      <c r="D54" s="373"/>
      <c r="E54" s="373"/>
      <c r="O54" s="1266"/>
      <c r="P54" s="392"/>
      <c r="Q54" s="368"/>
      <c r="R54" s="374"/>
      <c r="S54" s="367" t="s">
        <v>2383</v>
      </c>
      <c r="T54" s="553"/>
      <c r="U54" s="368"/>
    </row>
    <row r="55" spans="1:21" x14ac:dyDescent="0.25">
      <c r="A55" s="724">
        <v>5580</v>
      </c>
      <c r="B55" s="382" t="s">
        <v>884</v>
      </c>
      <c r="C55" s="373"/>
      <c r="D55" s="373"/>
      <c r="E55" s="373"/>
      <c r="O55" s="372">
        <f>+Q25</f>
        <v>3000</v>
      </c>
      <c r="P55" s="392">
        <f>+S25</f>
        <v>3000</v>
      </c>
      <c r="Q55" s="368">
        <f t="shared" si="10"/>
        <v>0</v>
      </c>
      <c r="R55" s="374" t="str">
        <f t="shared" si="11"/>
        <v/>
      </c>
      <c r="S55" s="367"/>
      <c r="T55" s="553"/>
      <c r="U55" s="368"/>
    </row>
    <row r="56" spans="1:21" x14ac:dyDescent="0.25">
      <c r="A56" s="726">
        <v>5590</v>
      </c>
      <c r="B56" s="388" t="s">
        <v>886</v>
      </c>
      <c r="C56" s="590"/>
      <c r="D56" s="590"/>
      <c r="E56" s="590"/>
      <c r="O56" s="392">
        <f>+Q27</f>
        <v>19000</v>
      </c>
      <c r="P56" s="392">
        <f>+S27</f>
        <v>16600</v>
      </c>
      <c r="Q56" s="368">
        <f t="shared" si="10"/>
        <v>-2400</v>
      </c>
      <c r="R56" s="374">
        <f t="shared" si="11"/>
        <v>-0.1263</v>
      </c>
      <c r="S56" s="399"/>
      <c r="T56" s="399"/>
      <c r="U56" s="399"/>
    </row>
    <row r="57" spans="1:21" x14ac:dyDescent="0.25">
      <c r="B57" s="4" t="s">
        <v>735</v>
      </c>
      <c r="C57" s="23"/>
      <c r="D57" s="23"/>
      <c r="E57" s="23"/>
      <c r="F57" s="23"/>
      <c r="G57" s="23"/>
      <c r="O57" s="597">
        <f>SUM(O42:O56)</f>
        <v>80500</v>
      </c>
      <c r="P57" s="597">
        <f>SUM(P42:P56)</f>
        <v>92252</v>
      </c>
      <c r="Q57" s="25">
        <f>+P57-O57</f>
        <v>11752</v>
      </c>
      <c r="R57" s="598">
        <f t="shared" si="11"/>
        <v>0.14599999999999999</v>
      </c>
    </row>
    <row r="58" spans="1:21" x14ac:dyDescent="0.25">
      <c r="A58" s="744" t="s">
        <v>888</v>
      </c>
      <c r="M58" s="202" t="s">
        <v>889</v>
      </c>
      <c r="N58" s="202" t="s">
        <v>191</v>
      </c>
      <c r="O58" s="202" t="s">
        <v>890</v>
      </c>
      <c r="P58" s="202"/>
      <c r="Q58" s="202"/>
    </row>
    <row r="59" spans="1:21" x14ac:dyDescent="0.25">
      <c r="A59" s="712">
        <v>42755</v>
      </c>
      <c r="B59" s="388" t="s">
        <v>891</v>
      </c>
      <c r="M59" s="152">
        <v>43850</v>
      </c>
      <c r="N59">
        <v>700</v>
      </c>
      <c r="O59" s="202" t="s">
        <v>468</v>
      </c>
      <c r="P59" s="202"/>
      <c r="Q59" s="202"/>
    </row>
    <row r="60" spans="1:21" x14ac:dyDescent="0.25">
      <c r="A60" s="712">
        <v>42967</v>
      </c>
      <c r="B60" s="388" t="s">
        <v>892</v>
      </c>
      <c r="M60" s="152">
        <v>44063</v>
      </c>
      <c r="N60">
        <v>1100</v>
      </c>
      <c r="O60" s="202" t="s">
        <v>251</v>
      </c>
      <c r="P60" s="202"/>
      <c r="Q60" s="202"/>
    </row>
    <row r="62" spans="1:21" x14ac:dyDescent="0.25">
      <c r="B62" t="s">
        <v>893</v>
      </c>
    </row>
    <row r="63" spans="1:21" x14ac:dyDescent="0.25">
      <c r="B63" t="s">
        <v>894</v>
      </c>
    </row>
    <row r="64" spans="1:21" x14ac:dyDescent="0.25">
      <c r="B64" t="s">
        <v>895</v>
      </c>
    </row>
  </sheetData>
  <hyperlinks>
    <hyperlink ref="A1" location="'Working Budget with funding det'!A1" display="Main " xr:uid="{00000000-0004-0000-1200-000000000000}"/>
    <hyperlink ref="B1" location="'Table of Contents'!A1" display="TOC" xr:uid="{00000000-0004-0000-1200-000001000000}"/>
  </hyperlinks>
  <pageMargins left="0.7" right="0.7" top="0.75" bottom="0.75" header="0.3" footer="0.3"/>
  <pageSetup scale="96" fitToHeight="0" orientation="landscape" r:id="rId1"/>
  <headerFooter>
    <oddFooter>&amp;L&amp;D &amp;T&amp;C&amp;F&amp;R&amp;A</oddFooter>
  </headerFooter>
  <rowBreaks count="1" manualBreakCount="1">
    <brk id="38" max="1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Y48"/>
  <sheetViews>
    <sheetView topLeftCell="A3" workbookViewId="0">
      <selection activeCell="V23" sqref="V23"/>
    </sheetView>
  </sheetViews>
  <sheetFormatPr defaultRowHeight="13.2" x14ac:dyDescent="0.25"/>
  <cols>
    <col min="1" max="1" width="10.77734375" style="703" customWidth="1"/>
    <col min="2" max="2" width="37.77734375" style="4" customWidth="1"/>
    <col min="3" max="14" width="14.44140625" style="23" hidden="1" customWidth="1"/>
    <col min="15" max="17" width="14.44140625" style="23" customWidth="1"/>
    <col min="18" max="18" width="14.44140625" style="4" customWidth="1"/>
    <col min="19" max="22" width="14.44140625" style="23" customWidth="1"/>
    <col min="23" max="25" width="14.44140625" style="4" customWidth="1"/>
    <col min="26" max="26" width="14.6640625" customWidth="1"/>
  </cols>
  <sheetData>
    <row r="1" spans="1:22" x14ac:dyDescent="0.25">
      <c r="A1" s="701" t="s">
        <v>736</v>
      </c>
      <c r="B1" s="290" t="s">
        <v>194</v>
      </c>
      <c r="V1" s="4"/>
    </row>
    <row r="2" spans="1:22" x14ac:dyDescent="0.25">
      <c r="A2" s="703" t="s">
        <v>705</v>
      </c>
      <c r="I2" s="23" t="s">
        <v>706</v>
      </c>
      <c r="R2" s="75" t="s">
        <v>523</v>
      </c>
      <c r="U2" s="74" t="s">
        <v>896</v>
      </c>
    </row>
    <row r="3" spans="1:22" ht="13.8" thickBot="1" x14ac:dyDescent="0.3">
      <c r="U3" s="4"/>
      <c r="V3" s="4"/>
    </row>
    <row r="4" spans="1:22"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2"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2"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2"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2" ht="13.8" thickTop="1" x14ac:dyDescent="0.25">
      <c r="A8" s="725"/>
      <c r="B8" s="185"/>
      <c r="C8" s="117"/>
      <c r="D8" s="18"/>
      <c r="E8" s="18"/>
      <c r="F8" s="18"/>
      <c r="G8" s="18"/>
      <c r="H8" s="18"/>
      <c r="I8" s="18"/>
      <c r="J8" s="18"/>
      <c r="K8" s="19"/>
      <c r="L8" s="19"/>
      <c r="M8" s="19"/>
      <c r="N8" s="19"/>
      <c r="O8" s="19"/>
      <c r="P8" s="19"/>
      <c r="Q8" s="19"/>
      <c r="R8" s="18"/>
      <c r="S8" s="19"/>
      <c r="T8" s="19"/>
      <c r="U8" s="19"/>
    </row>
    <row r="9" spans="1:22" x14ac:dyDescent="0.25">
      <c r="A9" s="708">
        <v>5249</v>
      </c>
      <c r="B9" s="60" t="s">
        <v>897</v>
      </c>
      <c r="C9" s="115">
        <v>4821.76</v>
      </c>
      <c r="D9" s="13">
        <v>3599.04</v>
      </c>
      <c r="E9" s="13">
        <v>4277.18</v>
      </c>
      <c r="F9" s="13">
        <v>3350.66</v>
      </c>
      <c r="G9" s="13">
        <v>3252.3</v>
      </c>
      <c r="H9" s="13">
        <v>3636.21</v>
      </c>
      <c r="I9" s="127">
        <v>3711.79</v>
      </c>
      <c r="J9" s="127">
        <v>3992.02</v>
      </c>
      <c r="K9" s="14">
        <v>4400</v>
      </c>
      <c r="L9" s="127">
        <v>3838.75</v>
      </c>
      <c r="M9" s="14">
        <v>4400</v>
      </c>
      <c r="N9" s="127">
        <v>4132.46</v>
      </c>
      <c r="O9" s="14">
        <v>4400</v>
      </c>
      <c r="P9" s="13">
        <v>4131.7</v>
      </c>
      <c r="Q9" s="14">
        <v>4400</v>
      </c>
      <c r="R9" s="13">
        <v>1580.9</v>
      </c>
      <c r="S9" s="14">
        <v>5000</v>
      </c>
      <c r="T9" s="14"/>
      <c r="U9" s="14"/>
    </row>
    <row r="10" spans="1:22" x14ac:dyDescent="0.25">
      <c r="A10" s="708">
        <v>5304</v>
      </c>
      <c r="B10" s="60" t="s">
        <v>898</v>
      </c>
      <c r="C10" s="115">
        <v>30500</v>
      </c>
      <c r="D10" s="127">
        <v>28500</v>
      </c>
      <c r="E10" s="127">
        <v>28500</v>
      </c>
      <c r="F10" s="127">
        <v>28500</v>
      </c>
      <c r="G10" s="127">
        <v>26000</v>
      </c>
      <c r="H10" s="127">
        <v>26000</v>
      </c>
      <c r="I10" s="127">
        <v>27500</v>
      </c>
      <c r="J10" s="127">
        <v>28000</v>
      </c>
      <c r="K10" s="14">
        <v>31000</v>
      </c>
      <c r="L10" s="127">
        <v>28000</v>
      </c>
      <c r="M10" s="14">
        <v>34000</v>
      </c>
      <c r="N10" s="127">
        <v>28500</v>
      </c>
      <c r="O10" s="14">
        <v>34000</v>
      </c>
      <c r="P10" s="13">
        <v>31000</v>
      </c>
      <c r="Q10" s="14">
        <v>40000</v>
      </c>
      <c r="R10" s="13">
        <v>35000</v>
      </c>
      <c r="S10" s="14">
        <v>44000</v>
      </c>
      <c r="T10" s="14"/>
      <c r="U10" s="14"/>
      <c r="V10" s="23" t="s">
        <v>2285</v>
      </c>
    </row>
    <row r="11" spans="1:22" x14ac:dyDescent="0.25">
      <c r="A11" s="708">
        <v>5305</v>
      </c>
      <c r="B11" s="60" t="s">
        <v>899</v>
      </c>
      <c r="C11" s="115"/>
      <c r="D11" s="13">
        <v>0</v>
      </c>
      <c r="E11" s="13"/>
      <c r="F11" s="13"/>
      <c r="G11" s="13">
        <v>783.99</v>
      </c>
      <c r="H11" s="13">
        <v>467.88</v>
      </c>
      <c r="I11" s="127">
        <v>421.75</v>
      </c>
      <c r="J11" s="127"/>
      <c r="K11" s="14">
        <v>800</v>
      </c>
      <c r="L11" s="127"/>
      <c r="M11" s="14">
        <v>100</v>
      </c>
      <c r="N11" s="127"/>
      <c r="O11" s="14">
        <v>100</v>
      </c>
      <c r="P11" s="13"/>
      <c r="Q11" s="14"/>
      <c r="R11" s="13"/>
      <c r="S11" s="14"/>
      <c r="T11" s="14"/>
      <c r="U11" s="14"/>
    </row>
    <row r="12" spans="1:22" x14ac:dyDescent="0.25">
      <c r="A12" s="708">
        <v>5306</v>
      </c>
      <c r="B12" s="60" t="s">
        <v>900</v>
      </c>
      <c r="C12" s="210"/>
      <c r="D12" s="35">
        <v>3250</v>
      </c>
      <c r="E12" s="35"/>
      <c r="F12" s="35"/>
      <c r="G12" s="35">
        <v>975</v>
      </c>
      <c r="H12" s="35">
        <v>3400</v>
      </c>
      <c r="I12" s="200">
        <v>3740</v>
      </c>
      <c r="J12" s="200">
        <v>3600</v>
      </c>
      <c r="K12" s="36">
        <v>3500</v>
      </c>
      <c r="L12" s="200">
        <v>1440</v>
      </c>
      <c r="M12" s="36">
        <v>3800</v>
      </c>
      <c r="N12" s="200">
        <v>3720</v>
      </c>
      <c r="O12" s="36">
        <v>3800</v>
      </c>
      <c r="P12" s="35">
        <v>1490</v>
      </c>
      <c r="Q12" s="36">
        <v>3800</v>
      </c>
      <c r="R12" s="13">
        <v>3870</v>
      </c>
      <c r="S12" s="36">
        <v>3800</v>
      </c>
      <c r="T12" s="36"/>
      <c r="U12" s="36"/>
    </row>
    <row r="13" spans="1:22" x14ac:dyDescent="0.25">
      <c r="A13" s="708">
        <v>5307</v>
      </c>
      <c r="B13" s="60" t="s">
        <v>901</v>
      </c>
      <c r="C13" s="210">
        <v>1500</v>
      </c>
      <c r="D13" s="35">
        <v>1500</v>
      </c>
      <c r="E13" s="35">
        <v>250</v>
      </c>
      <c r="F13" s="35">
        <v>1500</v>
      </c>
      <c r="G13" s="35">
        <v>1500</v>
      </c>
      <c r="H13" s="35">
        <v>1500</v>
      </c>
      <c r="I13" s="200">
        <v>500</v>
      </c>
      <c r="J13" s="200">
        <v>500</v>
      </c>
      <c r="K13" s="36">
        <v>2000</v>
      </c>
      <c r="L13" s="200">
        <v>2000</v>
      </c>
      <c r="M13" s="36">
        <v>2000</v>
      </c>
      <c r="N13" s="200">
        <v>500</v>
      </c>
      <c r="O13" s="36">
        <v>2000</v>
      </c>
      <c r="P13" s="35">
        <v>2000</v>
      </c>
      <c r="Q13" s="36">
        <v>2250</v>
      </c>
      <c r="R13" s="13"/>
      <c r="S13" s="36">
        <v>2250</v>
      </c>
      <c r="T13" s="36"/>
      <c r="U13" s="36"/>
    </row>
    <row r="14" spans="1:22" x14ac:dyDescent="0.25">
      <c r="A14" s="708">
        <v>5310</v>
      </c>
      <c r="B14" s="60" t="s">
        <v>902</v>
      </c>
      <c r="C14" s="210"/>
      <c r="D14" s="35"/>
      <c r="E14" s="35"/>
      <c r="F14" s="35"/>
      <c r="G14" s="35"/>
      <c r="H14" s="35">
        <v>16500</v>
      </c>
      <c r="I14" s="200">
        <v>16500</v>
      </c>
      <c r="J14" s="200">
        <v>1500</v>
      </c>
      <c r="K14" s="36">
        <v>6000</v>
      </c>
      <c r="L14" s="200">
        <v>6000</v>
      </c>
      <c r="M14" s="36">
        <v>6000</v>
      </c>
      <c r="N14" s="200">
        <v>6000</v>
      </c>
      <c r="O14" s="36">
        <v>6000</v>
      </c>
      <c r="P14" s="35">
        <v>6000</v>
      </c>
      <c r="Q14" s="36">
        <v>6000</v>
      </c>
      <c r="R14" s="13"/>
      <c r="S14" s="36">
        <v>6000</v>
      </c>
      <c r="T14" s="36"/>
      <c r="U14" s="36"/>
      <c r="V14" s="23" t="s">
        <v>2467</v>
      </c>
    </row>
    <row r="15" spans="1:22" x14ac:dyDescent="0.25">
      <c r="A15" s="708">
        <v>5340</v>
      </c>
      <c r="B15" s="60" t="s">
        <v>903</v>
      </c>
      <c r="C15" s="115">
        <v>459</v>
      </c>
      <c r="D15" s="13">
        <v>0</v>
      </c>
      <c r="E15" s="13">
        <v>201.2</v>
      </c>
      <c r="F15" s="13"/>
      <c r="G15" s="13">
        <v>192.25</v>
      </c>
      <c r="H15" s="13">
        <v>10355.67</v>
      </c>
      <c r="I15" s="127">
        <v>10765.91</v>
      </c>
      <c r="J15" s="127">
        <v>11264.31</v>
      </c>
      <c r="K15" s="14">
        <v>15000</v>
      </c>
      <c r="L15" s="127">
        <v>13334.82</v>
      </c>
      <c r="M15" s="14">
        <v>15000</v>
      </c>
      <c r="N15" s="127">
        <v>12934.79</v>
      </c>
      <c r="O15" s="14">
        <v>15000</v>
      </c>
      <c r="P15" s="13">
        <v>11845.61</v>
      </c>
      <c r="Q15" s="14">
        <v>15000</v>
      </c>
      <c r="R15" s="13">
        <v>6213.41</v>
      </c>
      <c r="S15" s="14">
        <v>15000</v>
      </c>
      <c r="T15" s="14"/>
      <c r="U15" s="14"/>
      <c r="V15" s="23" t="s">
        <v>904</v>
      </c>
    </row>
    <row r="16" spans="1:22" x14ac:dyDescent="0.25">
      <c r="A16" s="708">
        <v>5344</v>
      </c>
      <c r="B16" s="60" t="s">
        <v>905</v>
      </c>
      <c r="C16" s="117">
        <v>2250.5300000000002</v>
      </c>
      <c r="D16" s="18">
        <v>2192.2199999999998</v>
      </c>
      <c r="E16" s="18">
        <v>2291.04</v>
      </c>
      <c r="F16" s="18">
        <v>2358.7600000000002</v>
      </c>
      <c r="G16" s="18">
        <v>2834.65</v>
      </c>
      <c r="H16" s="18">
        <v>3092.19</v>
      </c>
      <c r="I16" s="111">
        <v>3798.65</v>
      </c>
      <c r="J16" s="111">
        <v>3979.96</v>
      </c>
      <c r="K16" s="19">
        <v>3900</v>
      </c>
      <c r="L16" s="111">
        <v>3890.3</v>
      </c>
      <c r="M16" s="19">
        <v>4000</v>
      </c>
      <c r="N16" s="111">
        <v>3543.96</v>
      </c>
      <c r="O16" s="19">
        <v>4500</v>
      </c>
      <c r="P16" s="18">
        <v>4777.17</v>
      </c>
      <c r="Q16" s="19">
        <v>4578</v>
      </c>
      <c r="R16" s="18">
        <v>2834.57</v>
      </c>
      <c r="S16" s="19">
        <v>7500</v>
      </c>
      <c r="T16" s="19"/>
      <c r="U16" s="19"/>
    </row>
    <row r="17" spans="1:21" x14ac:dyDescent="0.25">
      <c r="A17" s="708">
        <v>5350</v>
      </c>
      <c r="B17" s="238" t="s">
        <v>2401</v>
      </c>
      <c r="C17" s="311"/>
      <c r="D17" s="127"/>
      <c r="E17" s="127">
        <v>6309</v>
      </c>
      <c r="F17" s="127">
        <v>6309</v>
      </c>
      <c r="G17" s="127">
        <v>6309</v>
      </c>
      <c r="H17" s="127">
        <v>6309</v>
      </c>
      <c r="I17" s="127">
        <v>12618</v>
      </c>
      <c r="J17" s="127">
        <v>6309</v>
      </c>
      <c r="K17" s="14">
        <v>6309</v>
      </c>
      <c r="L17" s="127">
        <v>3559</v>
      </c>
      <c r="M17" s="14">
        <f>250+6309</f>
        <v>6559</v>
      </c>
      <c r="N17" s="127">
        <v>6559</v>
      </c>
      <c r="O17" s="14">
        <f>250+6309</f>
        <v>6559</v>
      </c>
      <c r="P17" s="13">
        <v>6609</v>
      </c>
      <c r="Q17" s="14">
        <f>250+6309</f>
        <v>6559</v>
      </c>
      <c r="R17" s="127"/>
      <c r="S17" s="14">
        <v>6609</v>
      </c>
      <c r="T17" s="14"/>
      <c r="U17" s="232"/>
    </row>
    <row r="18" spans="1:21" x14ac:dyDescent="0.25">
      <c r="A18" s="708">
        <v>5355</v>
      </c>
      <c r="B18" s="60" t="s">
        <v>2386</v>
      </c>
      <c r="C18" s="210"/>
      <c r="D18" s="35"/>
      <c r="E18" s="35"/>
      <c r="F18" s="35"/>
      <c r="G18" s="35"/>
      <c r="H18" s="35"/>
      <c r="I18" s="200"/>
      <c r="J18" s="200"/>
      <c r="K18" s="36"/>
      <c r="L18" s="200"/>
      <c r="M18" s="36"/>
      <c r="N18" s="200"/>
      <c r="O18" s="36"/>
      <c r="P18" s="35"/>
      <c r="Q18" s="36"/>
      <c r="R18" s="13">
        <v>1.91</v>
      </c>
      <c r="S18" s="36">
        <v>720</v>
      </c>
      <c r="T18" s="14"/>
      <c r="U18" s="232"/>
    </row>
    <row r="19" spans="1:21" x14ac:dyDescent="0.25">
      <c r="A19" s="708">
        <v>5420</v>
      </c>
      <c r="B19" s="60" t="s">
        <v>907</v>
      </c>
      <c r="C19" s="115">
        <v>1590.17</v>
      </c>
      <c r="D19" s="13">
        <f>737+737</f>
        <v>1474</v>
      </c>
      <c r="E19" s="13">
        <v>1474</v>
      </c>
      <c r="F19" s="13">
        <v>1556.76</v>
      </c>
      <c r="G19" s="13">
        <v>1474</v>
      </c>
      <c r="H19" s="13">
        <v>737</v>
      </c>
      <c r="I19" s="127">
        <v>1499</v>
      </c>
      <c r="J19" s="127">
        <v>308.12</v>
      </c>
      <c r="K19" s="14">
        <v>1600</v>
      </c>
      <c r="L19" s="127">
        <v>273.54000000000002</v>
      </c>
      <c r="M19" s="14">
        <v>1600</v>
      </c>
      <c r="N19" s="127">
        <v>123.9</v>
      </c>
      <c r="O19" s="14">
        <v>1600</v>
      </c>
      <c r="P19" s="13">
        <v>1029.43</v>
      </c>
      <c r="Q19" s="14">
        <v>3200</v>
      </c>
      <c r="R19" s="13"/>
      <c r="S19" s="14">
        <v>2500</v>
      </c>
      <c r="T19" s="14"/>
      <c r="U19" s="14"/>
    </row>
    <row r="20" spans="1:21" x14ac:dyDescent="0.25">
      <c r="A20" s="708">
        <v>5580</v>
      </c>
      <c r="B20" s="12" t="s">
        <v>908</v>
      </c>
      <c r="C20" s="13">
        <v>175.91</v>
      </c>
      <c r="D20" s="13">
        <f>-737+765.3</f>
        <v>28.299999999999955</v>
      </c>
      <c r="E20" s="13">
        <v>85</v>
      </c>
      <c r="F20" s="13">
        <v>88.5</v>
      </c>
      <c r="G20" s="13"/>
      <c r="H20" s="13">
        <v>118.5</v>
      </c>
      <c r="I20" s="127"/>
      <c r="J20" s="127"/>
      <c r="K20" s="14">
        <v>250</v>
      </c>
      <c r="L20" s="127"/>
      <c r="M20" s="14">
        <v>120</v>
      </c>
      <c r="N20" s="127"/>
      <c r="O20" s="14">
        <v>120</v>
      </c>
      <c r="P20" s="13"/>
      <c r="Q20" s="14">
        <v>120</v>
      </c>
      <c r="R20" s="13"/>
      <c r="S20" s="14">
        <v>120</v>
      </c>
      <c r="T20" s="14"/>
      <c r="U20" s="14"/>
    </row>
    <row r="21" spans="1:21" ht="13.8" thickBot="1" x14ac:dyDescent="0.3">
      <c r="A21" s="708"/>
      <c r="C21" s="37"/>
      <c r="D21" s="37"/>
      <c r="E21" s="37"/>
      <c r="F21" s="37"/>
      <c r="G21" s="37"/>
      <c r="H21" s="37"/>
      <c r="I21" s="37"/>
      <c r="J21" s="37"/>
      <c r="K21" s="38"/>
      <c r="L21" s="253"/>
      <c r="M21" s="38"/>
      <c r="N21" s="253"/>
      <c r="O21" s="38"/>
      <c r="P21" s="37"/>
      <c r="Q21" s="38"/>
      <c r="R21" s="37"/>
      <c r="S21" s="38"/>
      <c r="T21" s="38"/>
      <c r="U21" s="38"/>
    </row>
    <row r="22" spans="1:21" x14ac:dyDescent="0.25">
      <c r="A22" s="708"/>
      <c r="B22" s="17" t="s">
        <v>728</v>
      </c>
      <c r="C22" s="35">
        <f t="shared" ref="C22:S22" si="0">SUM(C9:C21)</f>
        <v>41297.370000000003</v>
      </c>
      <c r="D22" s="35">
        <f t="shared" si="0"/>
        <v>40543.560000000005</v>
      </c>
      <c r="E22" s="35">
        <f t="shared" si="0"/>
        <v>43387.42</v>
      </c>
      <c r="F22" s="35">
        <f t="shared" si="0"/>
        <v>43663.680000000008</v>
      </c>
      <c r="G22" s="35">
        <f t="shared" si="0"/>
        <v>43321.19</v>
      </c>
      <c r="H22" s="35">
        <f t="shared" si="0"/>
        <v>72116.45</v>
      </c>
      <c r="I22" s="35">
        <f t="shared" si="0"/>
        <v>81055.099999999991</v>
      </c>
      <c r="J22" s="35">
        <f t="shared" si="0"/>
        <v>59453.41</v>
      </c>
      <c r="K22" s="36">
        <f t="shared" si="0"/>
        <v>74759</v>
      </c>
      <c r="L22" s="35">
        <f t="shared" si="0"/>
        <v>62336.41</v>
      </c>
      <c r="M22" s="36">
        <f t="shared" si="0"/>
        <v>77579</v>
      </c>
      <c r="N22" s="35">
        <f t="shared" si="0"/>
        <v>66014.109999999986</v>
      </c>
      <c r="O22" s="36">
        <f t="shared" si="0"/>
        <v>78079</v>
      </c>
      <c r="P22" s="35">
        <f t="shared" si="0"/>
        <v>68882.909999999989</v>
      </c>
      <c r="Q22" s="36">
        <f t="shared" si="0"/>
        <v>85907</v>
      </c>
      <c r="R22" s="35">
        <f t="shared" si="0"/>
        <v>49500.79</v>
      </c>
      <c r="S22" s="36">
        <f t="shared" si="0"/>
        <v>93499</v>
      </c>
      <c r="T22" s="36"/>
      <c r="U22" s="36">
        <f>+S22</f>
        <v>93499</v>
      </c>
    </row>
    <row r="23" spans="1:21" x14ac:dyDescent="0.25">
      <c r="A23" s="708"/>
      <c r="B23" s="17"/>
      <c r="C23" s="35"/>
      <c r="D23" s="35"/>
      <c r="E23" s="35"/>
      <c r="F23" s="35"/>
      <c r="G23" s="35"/>
      <c r="H23" s="35"/>
      <c r="I23" s="35"/>
      <c r="J23" s="35"/>
      <c r="K23" s="36"/>
      <c r="L23" s="35"/>
      <c r="M23" s="36"/>
      <c r="N23" s="35"/>
      <c r="O23" s="36"/>
      <c r="P23" s="35"/>
      <c r="Q23" s="36"/>
      <c r="R23" s="35"/>
      <c r="S23" s="36"/>
      <c r="T23" s="36"/>
      <c r="U23" s="36"/>
    </row>
    <row r="24" spans="1:21" ht="13.8" thickBot="1" x14ac:dyDescent="0.3">
      <c r="A24" s="709"/>
      <c r="B24" s="20" t="s">
        <v>887</v>
      </c>
      <c r="C24" s="21">
        <f t="shared" ref="C24:S24" si="1">+C22</f>
        <v>41297.370000000003</v>
      </c>
      <c r="D24" s="21">
        <f t="shared" si="1"/>
        <v>40543.560000000005</v>
      </c>
      <c r="E24" s="21">
        <f t="shared" si="1"/>
        <v>43387.42</v>
      </c>
      <c r="F24" s="21">
        <f>+F22</f>
        <v>43663.680000000008</v>
      </c>
      <c r="G24" s="21">
        <f>+G22</f>
        <v>43321.19</v>
      </c>
      <c r="H24" s="21">
        <f>+H22</f>
        <v>72116.45</v>
      </c>
      <c r="I24" s="21">
        <f t="shared" si="1"/>
        <v>81055.099999999991</v>
      </c>
      <c r="J24" s="21">
        <f t="shared" ref="J24" si="2">+J22</f>
        <v>59453.41</v>
      </c>
      <c r="K24" s="39">
        <f t="shared" ref="K24:O24" si="3">+K22</f>
        <v>74759</v>
      </c>
      <c r="L24" s="21">
        <f t="shared" si="3"/>
        <v>62336.41</v>
      </c>
      <c r="M24" s="39">
        <f t="shared" si="3"/>
        <v>77579</v>
      </c>
      <c r="N24" s="21">
        <f t="shared" ref="N24" si="4">+N22</f>
        <v>66014.109999999986</v>
      </c>
      <c r="O24" s="39">
        <f t="shared" si="3"/>
        <v>78079</v>
      </c>
      <c r="P24" s="21">
        <f t="shared" ref="P24" si="5">+P22</f>
        <v>68882.909999999989</v>
      </c>
      <c r="Q24" s="39">
        <f t="shared" ref="Q24" si="6">+Q22</f>
        <v>85907</v>
      </c>
      <c r="R24" s="21">
        <f t="shared" si="1"/>
        <v>49500.79</v>
      </c>
      <c r="S24" s="39">
        <f t="shared" si="1"/>
        <v>93499</v>
      </c>
      <c r="T24" s="39">
        <f>+S24</f>
        <v>93499</v>
      </c>
      <c r="U24" s="39">
        <f>+S24</f>
        <v>93499</v>
      </c>
    </row>
    <row r="25" spans="1:21" ht="13.8" thickTop="1" x14ac:dyDescent="0.25">
      <c r="A25" s="54"/>
      <c r="R25" s="181" t="s">
        <v>732</v>
      </c>
      <c r="S25" s="1001">
        <f>+S24-Q24</f>
        <v>7592</v>
      </c>
      <c r="T25" s="1002">
        <f>ROUND((+S25/Q24),4)</f>
        <v>8.8400000000000006E-2</v>
      </c>
      <c r="U25" s="73"/>
    </row>
    <row r="26" spans="1:21" ht="13.8" thickBot="1" x14ac:dyDescent="0.3"/>
    <row r="27" spans="1:21" ht="13.8" thickTop="1" x14ac:dyDescent="0.25">
      <c r="A27" s="718"/>
      <c r="B27" s="349"/>
      <c r="C27" s="350" t="s">
        <v>256</v>
      </c>
      <c r="D27" s="351" t="s">
        <v>256</v>
      </c>
      <c r="E27" s="351"/>
      <c r="O27" s="352" t="s">
        <v>255</v>
      </c>
      <c r="P27" s="353" t="s">
        <v>716</v>
      </c>
      <c r="Q27" s="354" t="s">
        <v>730</v>
      </c>
      <c r="R27" s="353" t="s">
        <v>731</v>
      </c>
      <c r="S27" s="355"/>
      <c r="T27" s="550"/>
      <c r="U27" s="354"/>
    </row>
    <row r="28" spans="1:21" ht="13.8" thickBot="1" x14ac:dyDescent="0.3">
      <c r="A28" s="719" t="s">
        <v>715</v>
      </c>
      <c r="B28" s="356"/>
      <c r="C28" s="357" t="s">
        <v>243</v>
      </c>
      <c r="D28" s="357" t="s">
        <v>244</v>
      </c>
      <c r="E28" s="357"/>
      <c r="O28" s="359" t="s">
        <v>469</v>
      </c>
      <c r="P28" s="359" t="s">
        <v>1345</v>
      </c>
      <c r="Q28" s="358" t="s">
        <v>732</v>
      </c>
      <c r="R28" s="360" t="s">
        <v>732</v>
      </c>
      <c r="S28" s="361" t="s">
        <v>733</v>
      </c>
      <c r="T28" s="551"/>
      <c r="U28" s="359"/>
    </row>
    <row r="29" spans="1:21" ht="13.8" thickTop="1" x14ac:dyDescent="0.25">
      <c r="A29" s="726"/>
      <c r="B29" s="376"/>
      <c r="C29" s="365"/>
      <c r="D29" s="365"/>
      <c r="E29" s="365"/>
      <c r="O29" s="366"/>
      <c r="P29" s="365"/>
      <c r="Q29" s="368"/>
      <c r="R29" s="374"/>
      <c r="S29" s="367"/>
      <c r="T29" s="553"/>
      <c r="U29" s="368"/>
    </row>
    <row r="30" spans="1:21" x14ac:dyDescent="0.25">
      <c r="A30" s="724">
        <v>5249</v>
      </c>
      <c r="B30" s="369" t="s">
        <v>897</v>
      </c>
      <c r="C30" s="373">
        <v>4821.76</v>
      </c>
      <c r="D30" s="373">
        <v>3599.04</v>
      </c>
      <c r="E30" s="373"/>
      <c r="O30" s="372">
        <f t="shared" ref="O30:O39" si="7">+Q9</f>
        <v>4400</v>
      </c>
      <c r="P30" s="393">
        <f t="shared" ref="P30:P39" si="8">+S9</f>
        <v>5000</v>
      </c>
      <c r="Q30" s="368">
        <f t="shared" ref="Q30:Q41" si="9">+P30-O30</f>
        <v>600</v>
      </c>
      <c r="R30" s="374">
        <f t="shared" ref="R30:R41" si="10">IF(O30+P30&lt;&gt;0,IF(O30&lt;&gt;0,IF(Q30&lt;&gt;0,ROUND((+Q30/O30),4),""),1),"")</f>
        <v>0.13639999999999999</v>
      </c>
      <c r="S30" s="367" t="s">
        <v>2389</v>
      </c>
      <c r="T30" s="553"/>
      <c r="U30" s="368"/>
    </row>
    <row r="31" spans="1:21" x14ac:dyDescent="0.25">
      <c r="A31" s="724">
        <v>5304</v>
      </c>
      <c r="B31" s="369" t="s">
        <v>898</v>
      </c>
      <c r="C31" s="373">
        <v>30500</v>
      </c>
      <c r="D31" s="373">
        <v>28500</v>
      </c>
      <c r="E31" s="373"/>
      <c r="O31" s="372">
        <f t="shared" si="7"/>
        <v>40000</v>
      </c>
      <c r="P31" s="393">
        <f t="shared" si="8"/>
        <v>44000</v>
      </c>
      <c r="Q31" s="368">
        <f t="shared" si="9"/>
        <v>4000</v>
      </c>
      <c r="R31" s="374">
        <f t="shared" si="10"/>
        <v>0.1</v>
      </c>
      <c r="S31" s="367" t="s">
        <v>2387</v>
      </c>
      <c r="T31" s="553"/>
      <c r="U31" s="368"/>
    </row>
    <row r="32" spans="1:21" x14ac:dyDescent="0.25">
      <c r="A32" s="724">
        <v>5305</v>
      </c>
      <c r="B32" s="369" t="s">
        <v>899</v>
      </c>
      <c r="C32" s="373"/>
      <c r="D32" s="373">
        <v>0</v>
      </c>
      <c r="E32" s="373"/>
      <c r="O32" s="372">
        <f t="shared" si="7"/>
        <v>0</v>
      </c>
      <c r="P32" s="393">
        <f t="shared" si="8"/>
        <v>0</v>
      </c>
      <c r="Q32" s="368">
        <f t="shared" si="9"/>
        <v>0</v>
      </c>
      <c r="R32" s="374" t="str">
        <f t="shared" si="10"/>
        <v/>
      </c>
      <c r="S32" s="367"/>
      <c r="T32" s="553"/>
      <c r="U32" s="368"/>
    </row>
    <row r="33" spans="1:21" x14ac:dyDescent="0.25">
      <c r="A33" s="724">
        <v>5306</v>
      </c>
      <c r="B33" s="369" t="s">
        <v>900</v>
      </c>
      <c r="C33" s="375"/>
      <c r="D33" s="375">
        <v>3250</v>
      </c>
      <c r="E33" s="375"/>
      <c r="O33" s="372">
        <f t="shared" si="7"/>
        <v>3800</v>
      </c>
      <c r="P33" s="393">
        <f t="shared" si="8"/>
        <v>3800</v>
      </c>
      <c r="Q33" s="368">
        <f t="shared" si="9"/>
        <v>0</v>
      </c>
      <c r="R33" s="374" t="str">
        <f t="shared" si="10"/>
        <v/>
      </c>
      <c r="S33" s="367"/>
      <c r="T33" s="553"/>
      <c r="U33" s="368"/>
    </row>
    <row r="34" spans="1:21" x14ac:dyDescent="0.25">
      <c r="A34" s="724">
        <v>5307</v>
      </c>
      <c r="B34" s="369" t="s">
        <v>901</v>
      </c>
      <c r="C34" s="375">
        <v>1500</v>
      </c>
      <c r="D34" s="375">
        <v>1500</v>
      </c>
      <c r="E34" s="375"/>
      <c r="O34" s="372">
        <f t="shared" si="7"/>
        <v>2250</v>
      </c>
      <c r="P34" s="393">
        <f t="shared" si="8"/>
        <v>2250</v>
      </c>
      <c r="Q34" s="368">
        <f t="shared" si="9"/>
        <v>0</v>
      </c>
      <c r="R34" s="374" t="str">
        <f t="shared" si="10"/>
        <v/>
      </c>
      <c r="S34" s="367"/>
      <c r="T34" s="553"/>
      <c r="U34" s="368"/>
    </row>
    <row r="35" spans="1:21" x14ac:dyDescent="0.25">
      <c r="A35" s="724">
        <v>5310</v>
      </c>
      <c r="B35" s="369" t="s">
        <v>909</v>
      </c>
      <c r="C35" s="375"/>
      <c r="D35" s="375"/>
      <c r="E35" s="375"/>
      <c r="O35" s="372">
        <f t="shared" si="7"/>
        <v>6000</v>
      </c>
      <c r="P35" s="393">
        <f t="shared" si="8"/>
        <v>6000</v>
      </c>
      <c r="Q35" s="368">
        <f t="shared" si="9"/>
        <v>0</v>
      </c>
      <c r="R35" s="374" t="str">
        <f t="shared" si="10"/>
        <v/>
      </c>
      <c r="S35" s="367" t="s">
        <v>2388</v>
      </c>
      <c r="T35" s="553"/>
      <c r="U35" s="368"/>
    </row>
    <row r="36" spans="1:21" x14ac:dyDescent="0.25">
      <c r="A36" s="724">
        <v>5340</v>
      </c>
      <c r="B36" s="369" t="s">
        <v>903</v>
      </c>
      <c r="C36" s="373">
        <v>459</v>
      </c>
      <c r="D36" s="373">
        <v>0</v>
      </c>
      <c r="E36" s="373"/>
      <c r="O36" s="372">
        <f t="shared" si="7"/>
        <v>15000</v>
      </c>
      <c r="P36" s="393">
        <f t="shared" si="8"/>
        <v>15000</v>
      </c>
      <c r="Q36" s="368">
        <f t="shared" si="9"/>
        <v>0</v>
      </c>
      <c r="R36" s="374" t="str">
        <f t="shared" si="10"/>
        <v/>
      </c>
      <c r="S36" s="367"/>
      <c r="T36" s="553"/>
      <c r="U36" s="368"/>
    </row>
    <row r="37" spans="1:21" x14ac:dyDescent="0.25">
      <c r="A37" s="724">
        <v>5344</v>
      </c>
      <c r="B37" s="369" t="s">
        <v>905</v>
      </c>
      <c r="C37" s="365">
        <v>2250.5300000000002</v>
      </c>
      <c r="D37" s="365">
        <v>2192.2199999999998</v>
      </c>
      <c r="E37" s="365"/>
      <c r="O37" s="372">
        <f t="shared" si="7"/>
        <v>4578</v>
      </c>
      <c r="P37" s="393">
        <f t="shared" si="8"/>
        <v>7500</v>
      </c>
      <c r="Q37" s="368">
        <f t="shared" si="9"/>
        <v>2922</v>
      </c>
      <c r="R37" s="374">
        <f t="shared" si="10"/>
        <v>0.63829999999999998</v>
      </c>
      <c r="S37" s="367" t="s">
        <v>2323</v>
      </c>
      <c r="T37" s="553"/>
      <c r="U37" s="368"/>
    </row>
    <row r="38" spans="1:21" x14ac:dyDescent="0.25">
      <c r="A38" s="724">
        <v>5350</v>
      </c>
      <c r="B38" s="369" t="s">
        <v>906</v>
      </c>
      <c r="C38" s="373"/>
      <c r="D38" s="373"/>
      <c r="E38" s="373"/>
      <c r="O38" s="372">
        <f t="shared" si="7"/>
        <v>6559</v>
      </c>
      <c r="P38" s="393">
        <f t="shared" si="8"/>
        <v>6609</v>
      </c>
      <c r="Q38" s="368">
        <f t="shared" si="9"/>
        <v>50</v>
      </c>
      <c r="R38" s="374">
        <f t="shared" si="10"/>
        <v>7.6E-3</v>
      </c>
      <c r="S38" s="367"/>
      <c r="T38" s="553"/>
      <c r="U38" s="368"/>
    </row>
    <row r="39" spans="1:21" x14ac:dyDescent="0.25">
      <c r="A39" s="724">
        <v>5355</v>
      </c>
      <c r="B39" s="397" t="s">
        <v>2386</v>
      </c>
      <c r="C39" s="373"/>
      <c r="D39" s="373"/>
      <c r="E39" s="373"/>
      <c r="O39" s="372">
        <f t="shared" si="7"/>
        <v>0</v>
      </c>
      <c r="P39" s="393">
        <f t="shared" si="8"/>
        <v>720</v>
      </c>
      <c r="Q39" s="368">
        <f t="shared" ref="Q39" si="11">+P39-O39</f>
        <v>720</v>
      </c>
      <c r="R39" s="374">
        <f t="shared" ref="R39" si="12">IF(O39+P39&lt;&gt;0,IF(O39&lt;&gt;0,IF(Q39&lt;&gt;0,ROUND((+Q39/O39),4),""),1),"")</f>
        <v>1</v>
      </c>
      <c r="S39" s="367"/>
      <c r="T39" s="553"/>
      <c r="U39" s="368"/>
    </row>
    <row r="40" spans="1:21" x14ac:dyDescent="0.25">
      <c r="A40" s="724">
        <v>5420</v>
      </c>
      <c r="B40" s="369" t="s">
        <v>907</v>
      </c>
      <c r="C40" s="373">
        <v>1590.17</v>
      </c>
      <c r="D40" s="373">
        <f>737+737</f>
        <v>1474</v>
      </c>
      <c r="E40" s="373"/>
      <c r="O40" s="372">
        <f t="shared" ref="O40:O41" si="13">+Q19</f>
        <v>3200</v>
      </c>
      <c r="P40" s="393">
        <f t="shared" ref="P40:P41" si="14">+S19</f>
        <v>2500</v>
      </c>
      <c r="Q40" s="368">
        <f t="shared" si="9"/>
        <v>-700</v>
      </c>
      <c r="R40" s="374">
        <f t="shared" si="10"/>
        <v>-0.21879999999999999</v>
      </c>
      <c r="S40" s="367"/>
      <c r="T40" s="553"/>
      <c r="U40" s="368"/>
    </row>
    <row r="41" spans="1:21" x14ac:dyDescent="0.25">
      <c r="A41" s="724">
        <v>5580</v>
      </c>
      <c r="B41" s="369" t="s">
        <v>908</v>
      </c>
      <c r="C41" s="373">
        <v>175.91</v>
      </c>
      <c r="D41" s="373">
        <f>-737+765.3</f>
        <v>28.299999999999955</v>
      </c>
      <c r="E41" s="373"/>
      <c r="O41" s="372">
        <f t="shared" si="13"/>
        <v>120</v>
      </c>
      <c r="P41" s="393">
        <f t="shared" si="14"/>
        <v>120</v>
      </c>
      <c r="Q41" s="368">
        <f t="shared" si="9"/>
        <v>0</v>
      </c>
      <c r="R41" s="374" t="str">
        <f t="shared" si="10"/>
        <v/>
      </c>
      <c r="S41" s="367"/>
      <c r="T41" s="553"/>
      <c r="U41" s="368"/>
    </row>
    <row r="43" spans="1:21" x14ac:dyDescent="0.25">
      <c r="B43" s="4" t="s">
        <v>735</v>
      </c>
      <c r="O43" s="597">
        <f>SUM(O30:O42)</f>
        <v>85907</v>
      </c>
      <c r="P43" s="597">
        <f>SUM(P30:P42)</f>
        <v>93499</v>
      </c>
      <c r="Q43" s="25">
        <f>+P43-O43</f>
        <v>7592</v>
      </c>
      <c r="R43" s="598">
        <f>IF(O43+P43&lt;&gt;0,IF(O43&lt;&gt;0,IF(Q43&lt;&gt;0,ROUND((+Q43/O43),4),""),1),"")</f>
        <v>8.8400000000000006E-2</v>
      </c>
    </row>
    <row r="45" spans="1:21" x14ac:dyDescent="0.25">
      <c r="A45" s="703" t="s">
        <v>910</v>
      </c>
    </row>
    <row r="46" spans="1:21" x14ac:dyDescent="0.25">
      <c r="A46" s="703" t="s">
        <v>253</v>
      </c>
      <c r="B46" s="4">
        <v>31000</v>
      </c>
      <c r="I46" s="23" t="s">
        <v>911</v>
      </c>
    </row>
    <row r="47" spans="1:21" x14ac:dyDescent="0.25">
      <c r="A47" s="703" t="s">
        <v>469</v>
      </c>
      <c r="B47" s="4">
        <v>31500</v>
      </c>
      <c r="I47" s="23" t="s">
        <v>911</v>
      </c>
    </row>
    <row r="48" spans="1:21" x14ac:dyDescent="0.25">
      <c r="B48" s="4" t="s">
        <v>912</v>
      </c>
    </row>
  </sheetData>
  <phoneticPr fontId="0" type="noConversion"/>
  <hyperlinks>
    <hyperlink ref="A1" location="'Working Budget with funding det'!A1" display="Main " xr:uid="{00000000-0004-0000-1300-000000000000}"/>
    <hyperlink ref="B1" location="'Table of Contents'!A1" display="TOC" xr:uid="{00000000-0004-0000-1300-000001000000}"/>
  </hyperlinks>
  <pageMargins left="0.75" right="0.75" top="1" bottom="1" header="0.5" footer="0.5"/>
  <pageSetup scale="90" fitToHeight="0" orientation="landscape" r:id="rId1"/>
  <headerFooter alignWithMargins="0">
    <oddFooter xml:space="preserve">&amp;L&amp;D  &amp;T&amp;C&amp;F&amp;R&amp;A  </oddFooter>
  </headerFooter>
  <rowBreaks count="1" manualBreakCount="1">
    <brk id="26"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AB190"/>
  <sheetViews>
    <sheetView workbookViewId="0">
      <pane ySplit="7" topLeftCell="A24" activePane="bottomLeft" state="frozen"/>
      <selection activeCell="S36" sqref="S36"/>
      <selection pane="bottomLeft" activeCell="R41" sqref="R41"/>
    </sheetView>
  </sheetViews>
  <sheetFormatPr defaultRowHeight="13.2" x14ac:dyDescent="0.25"/>
  <cols>
    <col min="1" max="1" width="12"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 min="23" max="23" width="14.44140625" customWidth="1"/>
    <col min="24" max="24" width="21.6640625" customWidth="1"/>
    <col min="27" max="28" width="12" customWidth="1"/>
  </cols>
  <sheetData>
    <row r="1" spans="1:22" x14ac:dyDescent="0.25">
      <c r="A1" s="701" t="s">
        <v>736</v>
      </c>
      <c r="B1" s="290" t="s">
        <v>194</v>
      </c>
      <c r="D1" s="194"/>
      <c r="E1" s="194"/>
      <c r="F1" s="194"/>
      <c r="G1" s="194"/>
      <c r="H1" s="194"/>
      <c r="I1" s="194"/>
      <c r="J1" s="194"/>
      <c r="K1" s="194"/>
      <c r="L1" s="194"/>
      <c r="M1" s="194"/>
      <c r="N1" s="194"/>
      <c r="O1" s="194"/>
      <c r="P1" s="194"/>
      <c r="Q1" s="194"/>
      <c r="V1"/>
    </row>
    <row r="2" spans="1:22" ht="13.8" x14ac:dyDescent="0.25">
      <c r="A2" s="702" t="s">
        <v>705</v>
      </c>
      <c r="B2" s="43"/>
      <c r="D2" s="194"/>
      <c r="E2" s="194"/>
      <c r="F2" s="194"/>
      <c r="G2" s="194"/>
      <c r="H2" s="194"/>
      <c r="I2" s="125" t="s">
        <v>706</v>
      </c>
      <c r="J2" s="125"/>
      <c r="K2" s="125"/>
      <c r="L2" s="125"/>
      <c r="M2" s="125"/>
      <c r="N2" s="125"/>
      <c r="O2" s="125"/>
      <c r="P2" s="125"/>
      <c r="Q2" s="125"/>
      <c r="R2" s="58" t="s">
        <v>524</v>
      </c>
      <c r="U2" s="44" t="s">
        <v>913</v>
      </c>
    </row>
    <row r="3" spans="1:22" ht="13.8" thickBot="1" x14ac:dyDescent="0.3">
      <c r="A3" s="703"/>
      <c r="B3" s="4"/>
      <c r="C3" s="23"/>
      <c r="D3" s="23"/>
      <c r="E3" s="23"/>
      <c r="F3" s="23"/>
      <c r="G3" s="23"/>
      <c r="H3" s="23"/>
      <c r="I3" s="23"/>
      <c r="J3" s="23"/>
      <c r="K3" s="23"/>
      <c r="L3" s="23"/>
      <c r="M3" s="23"/>
      <c r="N3" s="23"/>
      <c r="O3" s="23"/>
      <c r="P3" s="23"/>
      <c r="Q3" s="23"/>
      <c r="R3" s="4"/>
      <c r="S3" s="23"/>
      <c r="T3" s="23"/>
      <c r="U3" s="4"/>
      <c r="V3" s="4"/>
    </row>
    <row r="4" spans="1:22"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2"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2"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2"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2" ht="13.8" thickTop="1" x14ac:dyDescent="0.25">
      <c r="A8" s="725"/>
      <c r="B8" s="185"/>
      <c r="C8" s="117"/>
      <c r="D8" s="18"/>
      <c r="E8" s="18"/>
      <c r="F8" s="18"/>
      <c r="G8" s="18"/>
      <c r="H8" s="18"/>
      <c r="I8" s="19"/>
      <c r="J8" s="19"/>
      <c r="K8" s="19"/>
      <c r="L8" s="19"/>
      <c r="M8" s="19"/>
      <c r="N8" s="19"/>
      <c r="O8" s="19"/>
      <c r="P8" s="19"/>
      <c r="Q8" s="19"/>
      <c r="R8" s="18"/>
      <c r="S8" s="19"/>
      <c r="T8" s="19"/>
      <c r="U8" s="19"/>
    </row>
    <row r="9" spans="1:22" x14ac:dyDescent="0.25">
      <c r="A9" s="708">
        <v>5111</v>
      </c>
      <c r="B9" s="60" t="s">
        <v>738</v>
      </c>
      <c r="C9" s="115">
        <v>92859.54</v>
      </c>
      <c r="D9" s="13">
        <v>97657.39</v>
      </c>
      <c r="E9" s="13">
        <v>100549.35</v>
      </c>
      <c r="F9" s="13">
        <v>104069.72</v>
      </c>
      <c r="G9" s="13">
        <v>106930.4</v>
      </c>
      <c r="H9" s="13">
        <v>110663.2</v>
      </c>
      <c r="I9" s="13">
        <v>118676.41</v>
      </c>
      <c r="J9" s="13">
        <v>118841.02</v>
      </c>
      <c r="K9" s="14">
        <v>120391</v>
      </c>
      <c r="L9" s="13">
        <v>118781.94</v>
      </c>
      <c r="M9" s="14">
        <v>123870</v>
      </c>
      <c r="N9" s="13">
        <v>124075.49</v>
      </c>
      <c r="O9" s="14">
        <f>1407+2284+124753</f>
        <v>128444</v>
      </c>
      <c r="P9" s="13">
        <v>132228.81</v>
      </c>
      <c r="Q9" s="14">
        <v>169758</v>
      </c>
      <c r="R9" s="127">
        <v>55750.61</v>
      </c>
      <c r="S9" s="14">
        <f>ROUND((+R60),0)</f>
        <v>162549</v>
      </c>
      <c r="T9" s="14"/>
      <c r="U9" s="14"/>
    </row>
    <row r="10" spans="1:22" x14ac:dyDescent="0.25">
      <c r="A10" s="708">
        <v>5113</v>
      </c>
      <c r="B10" s="60" t="s">
        <v>2328</v>
      </c>
      <c r="C10" s="115">
        <v>338</v>
      </c>
      <c r="D10" s="13">
        <v>500</v>
      </c>
      <c r="E10" s="13">
        <v>500</v>
      </c>
      <c r="F10" s="13">
        <v>500</v>
      </c>
      <c r="G10" s="13">
        <v>500</v>
      </c>
      <c r="H10" s="13">
        <v>500</v>
      </c>
      <c r="I10" s="13">
        <v>500</v>
      </c>
      <c r="J10" s="13">
        <v>525</v>
      </c>
      <c r="K10" s="14">
        <v>525</v>
      </c>
      <c r="L10" s="13">
        <v>525</v>
      </c>
      <c r="M10" s="14">
        <v>525</v>
      </c>
      <c r="N10" s="13">
        <v>525</v>
      </c>
      <c r="O10" s="14">
        <v>1575</v>
      </c>
      <c r="P10" s="13">
        <v>1575</v>
      </c>
      <c r="Q10" s="14">
        <v>1875</v>
      </c>
      <c r="R10" s="127">
        <v>937.5</v>
      </c>
      <c r="S10" s="14">
        <v>1875</v>
      </c>
      <c r="T10" s="14"/>
      <c r="U10" s="14"/>
    </row>
    <row r="11" spans="1:22" hidden="1" x14ac:dyDescent="0.25">
      <c r="A11" s="708"/>
      <c r="B11" s="60" t="s">
        <v>914</v>
      </c>
      <c r="C11" s="115">
        <v>338</v>
      </c>
      <c r="D11" s="13">
        <v>500</v>
      </c>
      <c r="E11" s="13">
        <v>500</v>
      </c>
      <c r="F11" s="13">
        <v>500</v>
      </c>
      <c r="G11" s="13">
        <v>500</v>
      </c>
      <c r="H11" s="13">
        <v>500</v>
      </c>
      <c r="I11" s="13">
        <v>500</v>
      </c>
      <c r="J11" s="13">
        <v>525</v>
      </c>
      <c r="K11" s="14">
        <v>525</v>
      </c>
      <c r="L11" s="13">
        <v>525</v>
      </c>
      <c r="M11" s="14">
        <v>525</v>
      </c>
      <c r="N11" s="13">
        <v>525</v>
      </c>
      <c r="O11" s="14"/>
      <c r="P11" s="13"/>
      <c r="Q11" s="14"/>
      <c r="R11" s="127"/>
      <c r="S11" s="14"/>
      <c r="T11" s="14"/>
      <c r="U11" s="14"/>
    </row>
    <row r="12" spans="1:22" hidden="1" x14ac:dyDescent="0.25">
      <c r="A12" s="708"/>
      <c r="B12" s="60" t="s">
        <v>915</v>
      </c>
      <c r="C12" s="115">
        <v>338</v>
      </c>
      <c r="D12" s="13">
        <v>500</v>
      </c>
      <c r="E12" s="13">
        <v>500</v>
      </c>
      <c r="F12" s="13">
        <v>500</v>
      </c>
      <c r="G12" s="13">
        <v>500</v>
      </c>
      <c r="H12" s="13">
        <v>500</v>
      </c>
      <c r="I12" s="13">
        <v>500</v>
      </c>
      <c r="J12" s="13">
        <v>525</v>
      </c>
      <c r="K12" s="14">
        <v>525</v>
      </c>
      <c r="L12" s="13">
        <v>525</v>
      </c>
      <c r="M12" s="14">
        <v>525</v>
      </c>
      <c r="N12" s="13">
        <v>525</v>
      </c>
      <c r="O12" s="14"/>
      <c r="P12" s="13"/>
      <c r="Q12" s="14"/>
      <c r="R12" s="127"/>
      <c r="S12" s="14"/>
      <c r="T12" s="14"/>
      <c r="U12" s="14"/>
    </row>
    <row r="13" spans="1:22" x14ac:dyDescent="0.25">
      <c r="A13" s="708">
        <v>5124</v>
      </c>
      <c r="B13" s="60" t="s">
        <v>2329</v>
      </c>
      <c r="C13" s="115">
        <v>23326</v>
      </c>
      <c r="D13" s="13">
        <v>3758</v>
      </c>
      <c r="E13" s="13">
        <v>17514.5</v>
      </c>
      <c r="F13" s="13">
        <v>14613</v>
      </c>
      <c r="G13" s="13">
        <v>18440.5</v>
      </c>
      <c r="H13" s="13">
        <v>6230.5</v>
      </c>
      <c r="I13" s="13">
        <v>19458.5</v>
      </c>
      <c r="J13" s="13">
        <v>10531.73</v>
      </c>
      <c r="K13" s="14">
        <v>23000</v>
      </c>
      <c r="L13" s="13">
        <v>17065.900000000001</v>
      </c>
      <c r="M13" s="14">
        <f>-1902+6000</f>
        <v>4098</v>
      </c>
      <c r="N13" s="13">
        <v>7815.42</v>
      </c>
      <c r="O13" s="14">
        <v>25500</v>
      </c>
      <c r="P13" s="13">
        <v>19482.990000000002</v>
      </c>
      <c r="Q13" s="14">
        <v>20000</v>
      </c>
      <c r="R13" s="13">
        <v>604.95000000000005</v>
      </c>
      <c r="S13" s="14">
        <v>20000</v>
      </c>
      <c r="T13" s="14"/>
      <c r="U13" s="14"/>
      <c r="V13" s="542"/>
    </row>
    <row r="14" spans="1:22" x14ac:dyDescent="0.25">
      <c r="A14" s="1246">
        <v>5125</v>
      </c>
      <c r="B14" s="60" t="s">
        <v>916</v>
      </c>
      <c r="C14" s="210"/>
      <c r="D14" s="35"/>
      <c r="E14" s="35"/>
      <c r="F14" s="35"/>
      <c r="G14" s="13"/>
      <c r="H14" s="13"/>
      <c r="I14" s="13"/>
      <c r="J14" s="13"/>
      <c r="K14" s="14"/>
      <c r="L14" s="13"/>
      <c r="M14" s="14"/>
      <c r="N14" s="13"/>
      <c r="O14" s="14"/>
      <c r="P14" s="13"/>
      <c r="Q14" s="14"/>
      <c r="R14" s="13">
        <v>459.36</v>
      </c>
      <c r="S14" s="14">
        <v>500</v>
      </c>
      <c r="T14" s="14"/>
      <c r="U14" s="14"/>
      <c r="V14" s="542"/>
    </row>
    <row r="15" spans="1:22" ht="13.8" thickBot="1" x14ac:dyDescent="0.3">
      <c r="A15" s="708">
        <v>5144</v>
      </c>
      <c r="B15" s="60" t="s">
        <v>27</v>
      </c>
      <c r="C15" s="116">
        <v>150</v>
      </c>
      <c r="D15" s="15">
        <v>150</v>
      </c>
      <c r="E15" s="15">
        <v>150</v>
      </c>
      <c r="F15" s="15">
        <v>200</v>
      </c>
      <c r="G15" s="13">
        <v>800</v>
      </c>
      <c r="H15" s="13">
        <v>800</v>
      </c>
      <c r="I15" s="13">
        <v>800</v>
      </c>
      <c r="J15" s="13">
        <v>300</v>
      </c>
      <c r="K15" s="14">
        <v>300</v>
      </c>
      <c r="L15" s="13">
        <v>300</v>
      </c>
      <c r="M15" s="14">
        <v>300</v>
      </c>
      <c r="N15" s="13">
        <v>300</v>
      </c>
      <c r="O15" s="14">
        <v>300</v>
      </c>
      <c r="P15" s="13">
        <v>300</v>
      </c>
      <c r="Q15" s="14">
        <v>300</v>
      </c>
      <c r="R15" s="13">
        <v>500</v>
      </c>
      <c r="S15" s="14">
        <f>+V60</f>
        <v>1000</v>
      </c>
      <c r="T15" s="14"/>
      <c r="U15" s="14"/>
    </row>
    <row r="16" spans="1:22" ht="13.8" hidden="1" thickBot="1" x14ac:dyDescent="0.3">
      <c r="A16" s="708">
        <v>5193</v>
      </c>
      <c r="B16" s="60" t="s">
        <v>918</v>
      </c>
      <c r="C16" s="572"/>
      <c r="D16" s="28"/>
      <c r="E16" s="28"/>
      <c r="F16" s="28"/>
      <c r="G16" s="13"/>
      <c r="H16" s="13"/>
      <c r="I16" s="13">
        <v>3522.22</v>
      </c>
      <c r="J16" s="13"/>
      <c r="K16" s="14"/>
      <c r="L16" s="13"/>
      <c r="M16" s="14"/>
      <c r="N16" s="13"/>
      <c r="O16" s="14"/>
      <c r="P16" s="13"/>
      <c r="Q16" s="14"/>
      <c r="R16" s="13"/>
      <c r="S16" s="14"/>
      <c r="T16" s="14"/>
      <c r="U16" s="14"/>
    </row>
    <row r="17" spans="1:22" ht="13.8" hidden="1" thickBot="1" x14ac:dyDescent="0.3">
      <c r="A17" s="708">
        <v>5194</v>
      </c>
      <c r="B17" s="60" t="s">
        <v>919</v>
      </c>
      <c r="C17" s="572"/>
      <c r="D17" s="28"/>
      <c r="E17" s="28"/>
      <c r="F17" s="28"/>
      <c r="G17" s="15"/>
      <c r="H17" s="15"/>
      <c r="I17" s="35">
        <v>388.85</v>
      </c>
      <c r="J17" s="35"/>
      <c r="K17" s="36"/>
      <c r="L17" s="35"/>
      <c r="M17" s="36"/>
      <c r="N17" s="35"/>
      <c r="O17" s="36"/>
      <c r="P17" s="35"/>
      <c r="Q17" s="36"/>
      <c r="R17" s="35"/>
      <c r="S17" s="36"/>
      <c r="T17" s="36"/>
      <c r="U17" s="36"/>
    </row>
    <row r="18" spans="1:22" x14ac:dyDescent="0.25">
      <c r="A18" s="708"/>
      <c r="B18" s="61" t="s">
        <v>718</v>
      </c>
      <c r="C18" s="117">
        <f t="shared" ref="C18:D18" si="0">SUM(C9:C15)</f>
        <v>117349.54</v>
      </c>
      <c r="D18" s="18">
        <f t="shared" si="0"/>
        <v>103065.39</v>
      </c>
      <c r="E18" s="18">
        <f>SUM(E9:E15)</f>
        <v>119713.85</v>
      </c>
      <c r="F18" s="18">
        <f>SUM(F9:F15)</f>
        <v>120382.72</v>
      </c>
      <c r="G18" s="18">
        <f t="shared" ref="G18:H18" si="1">SUM(G9:G17)</f>
        <v>127670.9</v>
      </c>
      <c r="H18" s="18">
        <f t="shared" si="1"/>
        <v>119193.7</v>
      </c>
      <c r="I18" s="30">
        <f>SUM(I9:I17)</f>
        <v>144345.98000000001</v>
      </c>
      <c r="J18" s="30">
        <f>SUM(J9:J17)</f>
        <v>131247.75</v>
      </c>
      <c r="K18" s="31">
        <f>SUM(K9:K17)</f>
        <v>145266</v>
      </c>
      <c r="L18" s="30">
        <f t="shared" ref="L18:P18" si="2">SUM(L9:L17)</f>
        <v>137722.84</v>
      </c>
      <c r="M18" s="31">
        <f t="shared" si="2"/>
        <v>129843</v>
      </c>
      <c r="N18" s="30">
        <f t="shared" si="2"/>
        <v>133765.91</v>
      </c>
      <c r="O18" s="31">
        <f t="shared" si="2"/>
        <v>155819</v>
      </c>
      <c r="P18" s="30">
        <f t="shared" si="2"/>
        <v>153586.79999999999</v>
      </c>
      <c r="Q18" s="31">
        <f>SUM(Q9:Q17)</f>
        <v>191933</v>
      </c>
      <c r="R18" s="30">
        <f>SUM(R9:R17)</f>
        <v>58252.42</v>
      </c>
      <c r="S18" s="31">
        <f>SUM(S9:S17)</f>
        <v>185924</v>
      </c>
      <c r="T18" s="31"/>
      <c r="U18" s="31">
        <f>SUM(U9:U15)</f>
        <v>0</v>
      </c>
    </row>
    <row r="19" spans="1:22" x14ac:dyDescent="0.25">
      <c r="A19" s="708"/>
      <c r="B19" s="60"/>
      <c r="C19" s="117"/>
      <c r="D19" s="18"/>
      <c r="E19" s="18"/>
      <c r="F19" s="18"/>
      <c r="G19" s="18"/>
      <c r="H19" s="18"/>
      <c r="I19" s="18"/>
      <c r="J19" s="18"/>
      <c r="K19" s="19"/>
      <c r="L19" s="18"/>
      <c r="M19" s="19"/>
      <c r="N19" s="18"/>
      <c r="O19" s="19"/>
      <c r="P19" s="18"/>
      <c r="Q19" s="19"/>
      <c r="R19" s="18"/>
      <c r="S19" s="19"/>
      <c r="T19" s="19"/>
      <c r="U19" s="19"/>
    </row>
    <row r="20" spans="1:22" x14ac:dyDescent="0.25">
      <c r="A20" s="708">
        <v>5247</v>
      </c>
      <c r="B20" s="12" t="s">
        <v>920</v>
      </c>
      <c r="C20" s="13"/>
      <c r="D20" s="13">
        <v>0</v>
      </c>
      <c r="E20" s="13"/>
      <c r="F20" s="13"/>
      <c r="G20" s="13">
        <v>890</v>
      </c>
      <c r="H20" s="13">
        <v>3667.54</v>
      </c>
      <c r="I20" s="13">
        <v>3496.2</v>
      </c>
      <c r="J20" s="13">
        <v>3509.2</v>
      </c>
      <c r="K20" s="14">
        <v>3750</v>
      </c>
      <c r="L20" s="13">
        <v>2872.2</v>
      </c>
      <c r="M20" s="14">
        <v>6395</v>
      </c>
      <c r="N20" s="13">
        <v>5384.2</v>
      </c>
      <c r="O20" s="14">
        <v>10190</v>
      </c>
      <c r="P20" s="13">
        <v>8615.5</v>
      </c>
      <c r="Q20" s="14">
        <f>395+13178</f>
        <v>13573</v>
      </c>
      <c r="R20" s="13">
        <v>6210.83</v>
      </c>
      <c r="S20" s="14">
        <v>9500</v>
      </c>
      <c r="T20" s="14"/>
      <c r="U20" s="14"/>
    </row>
    <row r="21" spans="1:22" x14ac:dyDescent="0.25">
      <c r="A21" s="708">
        <v>5248</v>
      </c>
      <c r="B21" s="12" t="s">
        <v>787</v>
      </c>
      <c r="C21" s="13">
        <v>800</v>
      </c>
      <c r="D21" s="13">
        <v>0</v>
      </c>
      <c r="E21" s="13"/>
      <c r="F21" s="13"/>
      <c r="G21" s="13"/>
      <c r="H21" s="13"/>
      <c r="I21" s="13">
        <v>657.99</v>
      </c>
      <c r="J21" s="13"/>
      <c r="K21" s="14">
        <v>500</v>
      </c>
      <c r="L21" s="13"/>
      <c r="M21" s="14">
        <v>500</v>
      </c>
      <c r="N21" s="13">
        <v>65</v>
      </c>
      <c r="O21" s="14">
        <v>500</v>
      </c>
      <c r="P21" s="13"/>
      <c r="Q21" s="14">
        <v>500</v>
      </c>
      <c r="R21" s="13"/>
      <c r="S21" s="14">
        <v>500</v>
      </c>
      <c r="T21" s="14"/>
      <c r="U21" s="14"/>
      <c r="V21" s="542"/>
    </row>
    <row r="22" spans="1:22" hidden="1" x14ac:dyDescent="0.25">
      <c r="A22" s="708">
        <v>5279</v>
      </c>
      <c r="B22" s="12" t="s">
        <v>719</v>
      </c>
      <c r="C22" s="13">
        <v>950</v>
      </c>
      <c r="D22" s="13">
        <v>175</v>
      </c>
      <c r="E22" s="13">
        <v>825</v>
      </c>
      <c r="F22" s="13">
        <v>600</v>
      </c>
      <c r="G22" s="13">
        <v>650</v>
      </c>
      <c r="H22" s="13">
        <v>212.07</v>
      </c>
      <c r="I22" s="13">
        <v>922.36</v>
      </c>
      <c r="J22" s="13"/>
      <c r="K22" s="14"/>
      <c r="L22" s="13"/>
      <c r="M22" s="14"/>
      <c r="N22" s="13"/>
      <c r="O22" s="14"/>
      <c r="P22" s="13"/>
      <c r="Q22" s="14"/>
      <c r="R22" s="13"/>
      <c r="S22" s="14"/>
      <c r="T22" s="14"/>
      <c r="U22" s="14"/>
    </row>
    <row r="23" spans="1:22" x14ac:dyDescent="0.25">
      <c r="A23" s="708">
        <v>5305</v>
      </c>
      <c r="B23" s="12" t="s">
        <v>779</v>
      </c>
      <c r="C23" s="13">
        <f>2221.2+3364.97</f>
        <v>5586.17</v>
      </c>
      <c r="D23" s="13">
        <v>4208.42</v>
      </c>
      <c r="E23" s="13">
        <v>4524.41</v>
      </c>
      <c r="F23" s="13">
        <v>4085.91</v>
      </c>
      <c r="G23" s="13">
        <v>3225.89</v>
      </c>
      <c r="H23" s="13">
        <v>3531.52</v>
      </c>
      <c r="I23" s="13">
        <v>3715.75</v>
      </c>
      <c r="J23" s="13">
        <v>4349.83</v>
      </c>
      <c r="K23" s="14">
        <v>4500</v>
      </c>
      <c r="L23" s="13">
        <v>8266.09</v>
      </c>
      <c r="M23" s="14">
        <v>4500</v>
      </c>
      <c r="N23" s="13">
        <v>6625.16</v>
      </c>
      <c r="O23" s="14">
        <v>7000</v>
      </c>
      <c r="P23" s="13">
        <v>8187.23</v>
      </c>
      <c r="Q23" s="14">
        <v>9000</v>
      </c>
      <c r="R23" s="13">
        <v>608.96</v>
      </c>
      <c r="S23" s="14">
        <v>2000</v>
      </c>
      <c r="T23" s="14"/>
      <c r="U23" s="14"/>
    </row>
    <row r="24" spans="1:22" x14ac:dyDescent="0.25">
      <c r="A24" s="708">
        <v>5314</v>
      </c>
      <c r="B24" s="12" t="s">
        <v>749</v>
      </c>
      <c r="C24" s="13"/>
      <c r="D24" s="13">
        <v>88</v>
      </c>
      <c r="E24" s="13">
        <v>276</v>
      </c>
      <c r="F24" s="13">
        <v>341</v>
      </c>
      <c r="G24" s="13">
        <v>256</v>
      </c>
      <c r="H24" s="13">
        <v>582.32000000000005</v>
      </c>
      <c r="I24" s="13">
        <v>200</v>
      </c>
      <c r="J24" s="13">
        <v>100</v>
      </c>
      <c r="K24" s="14">
        <v>300</v>
      </c>
      <c r="L24" s="13">
        <v>100</v>
      </c>
      <c r="M24" s="14">
        <v>300</v>
      </c>
      <c r="N24" s="13">
        <v>250</v>
      </c>
      <c r="O24" s="14">
        <v>300</v>
      </c>
      <c r="P24" s="13">
        <v>100</v>
      </c>
      <c r="Q24" s="14">
        <v>300</v>
      </c>
      <c r="R24" s="13"/>
      <c r="S24" s="14">
        <v>400</v>
      </c>
      <c r="T24" s="14"/>
      <c r="U24" s="14"/>
      <c r="V24" s="194"/>
    </row>
    <row r="25" spans="1:22" x14ac:dyDescent="0.25">
      <c r="A25" s="708">
        <v>5315</v>
      </c>
      <c r="B25" s="12" t="s">
        <v>825</v>
      </c>
      <c r="C25" s="13"/>
      <c r="D25" s="13"/>
      <c r="E25" s="13">
        <v>2582.5700000000002</v>
      </c>
      <c r="F25" s="13">
        <v>2358.5</v>
      </c>
      <c r="G25" s="13">
        <v>1875.43</v>
      </c>
      <c r="H25" s="13">
        <v>1817.42</v>
      </c>
      <c r="I25" s="13">
        <v>2373.12</v>
      </c>
      <c r="J25" s="13">
        <v>5925.24</v>
      </c>
      <c r="K25" s="14">
        <v>2400</v>
      </c>
      <c r="L25" s="13">
        <v>4994.7299999999996</v>
      </c>
      <c r="M25" s="14">
        <v>3600</v>
      </c>
      <c r="N25" s="13">
        <v>5741.86</v>
      </c>
      <c r="O25" s="14">
        <v>6700</v>
      </c>
      <c r="P25" s="13">
        <v>8095.14</v>
      </c>
      <c r="Q25" s="14">
        <v>6700</v>
      </c>
      <c r="R25" s="13">
        <v>138</v>
      </c>
      <c r="S25" s="14">
        <v>1500</v>
      </c>
      <c r="T25" s="14"/>
      <c r="U25" s="14"/>
    </row>
    <row r="26" spans="1:22" x14ac:dyDescent="0.25">
      <c r="A26" s="708">
        <v>5316</v>
      </c>
      <c r="B26" s="12" t="s">
        <v>2336</v>
      </c>
      <c r="C26" s="13"/>
      <c r="D26" s="13"/>
      <c r="E26" s="13"/>
      <c r="F26" s="13"/>
      <c r="G26" s="13"/>
      <c r="H26" s="194"/>
      <c r="I26" s="13"/>
      <c r="J26" s="13"/>
      <c r="K26" s="14"/>
      <c r="L26" s="13"/>
      <c r="M26" s="14"/>
      <c r="N26" s="13"/>
      <c r="O26" s="14"/>
      <c r="P26" s="13"/>
      <c r="Q26" s="14"/>
      <c r="R26" s="13"/>
      <c r="S26" s="14">
        <v>10000</v>
      </c>
      <c r="T26" s="14"/>
      <c r="U26" s="14"/>
    </row>
    <row r="27" spans="1:22" x14ac:dyDescent="0.25">
      <c r="A27" s="708">
        <v>5317</v>
      </c>
      <c r="B27" s="12" t="s">
        <v>2337</v>
      </c>
      <c r="C27" s="13"/>
      <c r="D27" s="13"/>
      <c r="E27" s="13"/>
      <c r="F27" s="13"/>
      <c r="G27" s="13"/>
      <c r="H27" s="194"/>
      <c r="I27" s="13"/>
      <c r="J27" s="13"/>
      <c r="K27" s="14"/>
      <c r="L27" s="13"/>
      <c r="M27" s="14"/>
      <c r="N27" s="13"/>
      <c r="O27" s="14"/>
      <c r="P27" s="13"/>
      <c r="Q27" s="14"/>
      <c r="R27" s="13"/>
      <c r="S27" s="14">
        <v>8000</v>
      </c>
      <c r="T27" s="14"/>
      <c r="U27" s="14"/>
    </row>
    <row r="28" spans="1:22" hidden="1" x14ac:dyDescent="0.25">
      <c r="A28" s="708">
        <v>5341</v>
      </c>
      <c r="B28" s="12" t="s">
        <v>751</v>
      </c>
      <c r="C28" s="13">
        <v>244.76</v>
      </c>
      <c r="D28" s="13">
        <v>223.51</v>
      </c>
      <c r="E28" s="13">
        <v>227.83</v>
      </c>
      <c r="F28" s="13">
        <v>246.23</v>
      </c>
      <c r="G28" s="13">
        <v>325.16000000000003</v>
      </c>
      <c r="H28" s="194"/>
      <c r="I28" s="13"/>
      <c r="J28" s="13"/>
      <c r="K28" s="14"/>
      <c r="L28" s="13"/>
      <c r="M28" s="14"/>
      <c r="N28" s="13"/>
      <c r="O28" s="14"/>
      <c r="P28" s="13"/>
      <c r="Q28" s="14"/>
      <c r="R28" s="13"/>
      <c r="S28" s="14"/>
      <c r="T28" s="14"/>
      <c r="U28" s="14"/>
    </row>
    <row r="29" spans="1:22" x14ac:dyDescent="0.25">
      <c r="A29" s="708">
        <v>5344</v>
      </c>
      <c r="B29" s="12" t="s">
        <v>722</v>
      </c>
      <c r="C29" s="13">
        <v>3108.8</v>
      </c>
      <c r="D29" s="13">
        <v>1606.46</v>
      </c>
      <c r="E29" s="13">
        <v>2988.74</v>
      </c>
      <c r="F29" s="13">
        <v>3219.39</v>
      </c>
      <c r="G29" s="13">
        <v>2824.51</v>
      </c>
      <c r="H29" s="13">
        <v>3002.61</v>
      </c>
      <c r="I29" s="13">
        <v>3452.15</v>
      </c>
      <c r="J29" s="13">
        <v>3203.19</v>
      </c>
      <c r="K29" s="14">
        <v>3850</v>
      </c>
      <c r="L29" s="13">
        <v>2675.17</v>
      </c>
      <c r="M29" s="14">
        <v>3850</v>
      </c>
      <c r="N29" s="13">
        <v>4762.4399999999996</v>
      </c>
      <c r="O29" s="14">
        <v>5850</v>
      </c>
      <c r="P29" s="13">
        <v>6871.4</v>
      </c>
      <c r="Q29" s="14">
        <v>7400</v>
      </c>
      <c r="R29" s="13">
        <v>3325.04</v>
      </c>
      <c r="S29" s="14">
        <v>3000</v>
      </c>
      <c r="T29" s="14"/>
      <c r="U29" s="14"/>
    </row>
    <row r="30" spans="1:22" x14ac:dyDescent="0.25">
      <c r="A30" s="708">
        <v>5345</v>
      </c>
      <c r="B30" s="12" t="s">
        <v>752</v>
      </c>
      <c r="C30" s="18"/>
      <c r="D30" s="18"/>
      <c r="E30" s="18"/>
      <c r="F30" s="18"/>
      <c r="G30" s="18"/>
      <c r="H30" s="13"/>
      <c r="I30" s="18">
        <v>70.209999999999994</v>
      </c>
      <c r="J30" s="18"/>
      <c r="K30" s="19">
        <v>500</v>
      </c>
      <c r="L30" s="18">
        <v>0</v>
      </c>
      <c r="M30" s="19">
        <v>100</v>
      </c>
      <c r="N30" s="18"/>
      <c r="O30" s="19">
        <v>100</v>
      </c>
      <c r="P30" s="18">
        <v>221.76</v>
      </c>
      <c r="Q30" s="19">
        <v>100</v>
      </c>
      <c r="R30" s="18">
        <v>64</v>
      </c>
      <c r="S30" s="19">
        <v>250</v>
      </c>
      <c r="T30" s="19"/>
      <c r="U30" s="19"/>
    </row>
    <row r="31" spans="1:22" x14ac:dyDescent="0.25">
      <c r="A31" s="708">
        <v>5346</v>
      </c>
      <c r="B31" s="12" t="s">
        <v>2330</v>
      </c>
      <c r="C31" s="18"/>
      <c r="D31" s="18"/>
      <c r="E31" s="18"/>
      <c r="F31" s="18"/>
      <c r="G31" s="18"/>
      <c r="H31" s="13"/>
      <c r="I31" s="18"/>
      <c r="J31" s="18"/>
      <c r="K31" s="19"/>
      <c r="L31" s="18"/>
      <c r="M31" s="19"/>
      <c r="N31" s="18"/>
      <c r="O31" s="19"/>
      <c r="P31" s="18"/>
      <c r="Q31" s="19"/>
      <c r="R31" s="18"/>
      <c r="S31" s="19">
        <v>6000</v>
      </c>
      <c r="T31" s="19"/>
      <c r="U31" s="19"/>
    </row>
    <row r="32" spans="1:22" x14ac:dyDescent="0.25">
      <c r="A32" s="708">
        <v>5420</v>
      </c>
      <c r="B32" s="12" t="s">
        <v>753</v>
      </c>
      <c r="C32" s="18">
        <v>1490.81</v>
      </c>
      <c r="D32" s="18">
        <v>1184.98</v>
      </c>
      <c r="E32" s="18">
        <v>2381.5100000000002</v>
      </c>
      <c r="F32" s="18">
        <v>3387.13</v>
      </c>
      <c r="G32" s="18">
        <v>3273.56</v>
      </c>
      <c r="H32" s="13">
        <v>1478.84</v>
      </c>
      <c r="I32" s="18">
        <v>3927.07</v>
      </c>
      <c r="J32" s="18">
        <v>3766.35</v>
      </c>
      <c r="K32" s="19">
        <v>4000</v>
      </c>
      <c r="L32" s="18">
        <v>5461.54</v>
      </c>
      <c r="M32" s="19">
        <v>4000</v>
      </c>
      <c r="N32" s="111">
        <v>3162.79</v>
      </c>
      <c r="O32" s="19">
        <v>5500</v>
      </c>
      <c r="P32" s="18">
        <v>4776.6400000000003</v>
      </c>
      <c r="Q32" s="19">
        <v>5800</v>
      </c>
      <c r="R32" s="18">
        <v>321.82</v>
      </c>
      <c r="S32" s="19">
        <v>6000</v>
      </c>
      <c r="T32" s="19"/>
      <c r="U32" s="19"/>
    </row>
    <row r="33" spans="1:24" x14ac:dyDescent="0.25">
      <c r="A33" s="708">
        <v>5430</v>
      </c>
      <c r="B33" s="12" t="s">
        <v>921</v>
      </c>
      <c r="C33" s="18"/>
      <c r="D33" s="18"/>
      <c r="E33" s="18"/>
      <c r="F33" s="18"/>
      <c r="G33" s="18"/>
      <c r="H33" s="18"/>
      <c r="I33" s="18"/>
      <c r="J33" s="18"/>
      <c r="K33" s="19"/>
      <c r="L33" s="18"/>
      <c r="M33" s="19"/>
      <c r="N33" s="111"/>
      <c r="O33" s="19">
        <v>1300</v>
      </c>
      <c r="P33" s="18">
        <v>1177.45</v>
      </c>
      <c r="Q33" s="19">
        <v>900</v>
      </c>
      <c r="R33" s="18"/>
      <c r="S33" s="19">
        <v>1300</v>
      </c>
      <c r="T33" s="19"/>
      <c r="U33" s="19"/>
    </row>
    <row r="34" spans="1:24" x14ac:dyDescent="0.25">
      <c r="A34" s="708">
        <v>5581</v>
      </c>
      <c r="B34" s="12" t="s">
        <v>755</v>
      </c>
      <c r="C34" s="18"/>
      <c r="D34" s="18">
        <v>88.4</v>
      </c>
      <c r="E34" s="18">
        <v>113.4</v>
      </c>
      <c r="F34" s="18">
        <v>25</v>
      </c>
      <c r="G34" s="18">
        <v>123.8</v>
      </c>
      <c r="H34" s="18">
        <v>131.6</v>
      </c>
      <c r="I34" s="18">
        <v>136.6</v>
      </c>
      <c r="J34" s="18">
        <v>147</v>
      </c>
      <c r="K34" s="19">
        <v>125</v>
      </c>
      <c r="L34" s="18">
        <v>157.4</v>
      </c>
      <c r="M34" s="19">
        <v>275</v>
      </c>
      <c r="N34" s="18">
        <v>157.4</v>
      </c>
      <c r="O34" s="19">
        <v>275</v>
      </c>
      <c r="P34" s="18">
        <v>183</v>
      </c>
      <c r="Q34" s="19">
        <v>275</v>
      </c>
      <c r="R34" s="111"/>
      <c r="S34" s="19">
        <v>200</v>
      </c>
      <c r="T34" s="19"/>
      <c r="U34" s="19"/>
    </row>
    <row r="35" spans="1:24" x14ac:dyDescent="0.25">
      <c r="A35" s="708">
        <v>5599</v>
      </c>
      <c r="B35" s="12" t="s">
        <v>922</v>
      </c>
      <c r="C35" s="18"/>
      <c r="D35" s="18">
        <v>1700</v>
      </c>
      <c r="E35" s="18"/>
      <c r="F35" s="18"/>
      <c r="G35" s="18"/>
      <c r="H35" s="18"/>
      <c r="I35" s="18"/>
      <c r="J35" s="18"/>
      <c r="K35" s="19"/>
      <c r="L35" s="18"/>
      <c r="M35" s="19"/>
      <c r="N35" s="18"/>
      <c r="O35" s="19"/>
      <c r="P35" s="18"/>
      <c r="Q35" s="19">
        <v>4250</v>
      </c>
      <c r="R35" s="111">
        <v>3306.05</v>
      </c>
      <c r="S35" s="19">
        <v>0</v>
      </c>
      <c r="T35" s="19"/>
      <c r="U35" s="19"/>
    </row>
    <row r="36" spans="1:24" x14ac:dyDescent="0.25">
      <c r="A36" s="708">
        <v>5710</v>
      </c>
      <c r="B36" s="12" t="s">
        <v>758</v>
      </c>
      <c r="C36" s="18">
        <v>663.46</v>
      </c>
      <c r="D36" s="18">
        <v>859.2</v>
      </c>
      <c r="E36" s="18">
        <v>719.34</v>
      </c>
      <c r="F36" s="18">
        <v>370.39</v>
      </c>
      <c r="G36" s="18">
        <v>855.51</v>
      </c>
      <c r="H36" s="18">
        <v>871.44</v>
      </c>
      <c r="I36" s="18">
        <v>1191.17</v>
      </c>
      <c r="J36" s="18">
        <v>412.92</v>
      </c>
      <c r="K36" s="19">
        <v>1500</v>
      </c>
      <c r="L36" s="18">
        <v>856.01</v>
      </c>
      <c r="M36" s="19">
        <v>1500</v>
      </c>
      <c r="N36" s="18">
        <v>1884.92</v>
      </c>
      <c r="O36" s="19">
        <v>2000</v>
      </c>
      <c r="P36" s="18">
        <v>1873.18</v>
      </c>
      <c r="Q36" s="19">
        <v>2000</v>
      </c>
      <c r="R36" s="18">
        <v>-278.68</v>
      </c>
      <c r="S36" s="19">
        <v>2200</v>
      </c>
      <c r="T36" s="19"/>
      <c r="U36" s="19"/>
    </row>
    <row r="37" spans="1:24" x14ac:dyDescent="0.25">
      <c r="A37" s="708">
        <v>5730</v>
      </c>
      <c r="B37" s="12" t="s">
        <v>759</v>
      </c>
      <c r="C37" s="13">
        <v>110</v>
      </c>
      <c r="D37" s="13">
        <v>110</v>
      </c>
      <c r="E37" s="13">
        <v>85</v>
      </c>
      <c r="F37" s="13">
        <v>100</v>
      </c>
      <c r="G37" s="13">
        <v>75</v>
      </c>
      <c r="H37" s="13">
        <v>85</v>
      </c>
      <c r="I37" s="13">
        <v>110</v>
      </c>
      <c r="J37" s="13">
        <v>115</v>
      </c>
      <c r="K37" s="14">
        <v>110</v>
      </c>
      <c r="L37" s="13">
        <v>110</v>
      </c>
      <c r="M37" s="14">
        <v>110</v>
      </c>
      <c r="N37" s="13">
        <v>170</v>
      </c>
      <c r="O37" s="14">
        <v>110</v>
      </c>
      <c r="P37" s="13"/>
      <c r="Q37" s="14">
        <v>110</v>
      </c>
      <c r="R37" s="13">
        <v>100</v>
      </c>
      <c r="S37" s="14">
        <v>200</v>
      </c>
      <c r="T37" s="14"/>
      <c r="U37" s="14"/>
    </row>
    <row r="38" spans="1:24" ht="13.8" thickBot="1" x14ac:dyDescent="0.3">
      <c r="A38" s="708">
        <v>5740</v>
      </c>
      <c r="B38" s="12" t="s">
        <v>861</v>
      </c>
      <c r="C38" s="15">
        <v>200</v>
      </c>
      <c r="D38" s="15">
        <v>200</v>
      </c>
      <c r="E38" s="15">
        <v>200</v>
      </c>
      <c r="F38" s="15">
        <v>200</v>
      </c>
      <c r="G38" s="15">
        <v>200</v>
      </c>
      <c r="H38" s="15">
        <v>200</v>
      </c>
      <c r="I38" s="15">
        <v>200</v>
      </c>
      <c r="J38" s="15">
        <v>200</v>
      </c>
      <c r="K38" s="16">
        <v>200</v>
      </c>
      <c r="L38" s="15">
        <v>200</v>
      </c>
      <c r="M38" s="16">
        <v>200</v>
      </c>
      <c r="N38" s="15">
        <v>200</v>
      </c>
      <c r="O38" s="16">
        <v>200</v>
      </c>
      <c r="P38" s="15">
        <v>200</v>
      </c>
      <c r="Q38" s="16">
        <v>200</v>
      </c>
      <c r="R38" s="15"/>
      <c r="S38" s="16">
        <v>250</v>
      </c>
      <c r="T38" s="16"/>
      <c r="U38" s="16"/>
    </row>
    <row r="39" spans="1:24" x14ac:dyDescent="0.25">
      <c r="A39" s="708"/>
      <c r="B39" s="17" t="s">
        <v>728</v>
      </c>
      <c r="C39" s="35">
        <f t="shared" ref="C39:S39" si="3">SUM(C20:C38)</f>
        <v>13154</v>
      </c>
      <c r="D39" s="35">
        <f t="shared" si="3"/>
        <v>10443.970000000001</v>
      </c>
      <c r="E39" s="35">
        <f t="shared" si="3"/>
        <v>14923.8</v>
      </c>
      <c r="F39" s="35">
        <f t="shared" si="3"/>
        <v>14933.55</v>
      </c>
      <c r="G39" s="35">
        <f t="shared" si="3"/>
        <v>14574.859999999999</v>
      </c>
      <c r="H39" s="35">
        <f t="shared" si="3"/>
        <v>15580.36</v>
      </c>
      <c r="I39" s="35">
        <f t="shared" si="3"/>
        <v>20452.619999999995</v>
      </c>
      <c r="J39" s="35">
        <f t="shared" si="3"/>
        <v>21728.729999999996</v>
      </c>
      <c r="K39" s="36">
        <f t="shared" si="3"/>
        <v>21735</v>
      </c>
      <c r="L39" s="35">
        <f t="shared" si="3"/>
        <v>25693.140000000003</v>
      </c>
      <c r="M39" s="36">
        <f t="shared" si="3"/>
        <v>25330</v>
      </c>
      <c r="N39" s="35">
        <f t="shared" si="3"/>
        <v>28403.770000000004</v>
      </c>
      <c r="O39" s="36">
        <f t="shared" si="3"/>
        <v>40025</v>
      </c>
      <c r="P39" s="35">
        <f t="shared" si="3"/>
        <v>40301.299999999996</v>
      </c>
      <c r="Q39" s="36">
        <f t="shared" si="3"/>
        <v>51108</v>
      </c>
      <c r="R39" s="35">
        <f t="shared" si="3"/>
        <v>13796.02</v>
      </c>
      <c r="S39" s="36">
        <f t="shared" si="3"/>
        <v>51300</v>
      </c>
      <c r="T39" s="36"/>
      <c r="U39" s="36">
        <f>SUM(U20:U38)</f>
        <v>0</v>
      </c>
    </row>
    <row r="40" spans="1:24" ht="12.75" customHeight="1" x14ac:dyDescent="0.25">
      <c r="A40" s="708"/>
      <c r="B40" s="12"/>
      <c r="C40" s="13"/>
      <c r="D40" s="13"/>
      <c r="E40" s="13"/>
      <c r="F40" s="13"/>
      <c r="G40" s="13"/>
      <c r="H40" s="13"/>
      <c r="I40" s="13"/>
      <c r="J40" s="13"/>
      <c r="K40" s="14"/>
      <c r="L40" s="13"/>
      <c r="M40" s="14"/>
      <c r="N40" s="13"/>
      <c r="O40" s="14"/>
      <c r="P40" s="13"/>
      <c r="Q40" s="14"/>
      <c r="R40" s="13"/>
      <c r="S40" s="14"/>
      <c r="T40" s="14"/>
      <c r="U40" s="14"/>
    </row>
    <row r="41" spans="1:24" ht="13.8" thickBot="1" x14ac:dyDescent="0.3">
      <c r="A41" s="709"/>
      <c r="B41" s="20" t="s">
        <v>923</v>
      </c>
      <c r="C41" s="21">
        <f t="shared" ref="C41:S41" si="4">+C39+C18</f>
        <v>130503.54</v>
      </c>
      <c r="D41" s="21">
        <f t="shared" si="4"/>
        <v>113509.36</v>
      </c>
      <c r="E41" s="21">
        <f t="shared" si="4"/>
        <v>134637.65</v>
      </c>
      <c r="F41" s="21">
        <f t="shared" si="4"/>
        <v>135316.26999999999</v>
      </c>
      <c r="G41" s="21">
        <f t="shared" si="4"/>
        <v>142245.75999999998</v>
      </c>
      <c r="H41" s="21">
        <f t="shared" si="4"/>
        <v>134774.06</v>
      </c>
      <c r="I41" s="21">
        <f t="shared" si="4"/>
        <v>164798.6</v>
      </c>
      <c r="J41" s="21">
        <f t="shared" si="4"/>
        <v>152976.47999999998</v>
      </c>
      <c r="K41" s="22">
        <f t="shared" si="4"/>
        <v>167001</v>
      </c>
      <c r="L41" s="21">
        <f t="shared" si="4"/>
        <v>163415.98000000001</v>
      </c>
      <c r="M41" s="22">
        <f t="shared" si="4"/>
        <v>155173</v>
      </c>
      <c r="N41" s="21">
        <f t="shared" si="4"/>
        <v>162169.68</v>
      </c>
      <c r="O41" s="22">
        <f t="shared" si="4"/>
        <v>195844</v>
      </c>
      <c r="P41" s="21">
        <f t="shared" si="4"/>
        <v>193888.09999999998</v>
      </c>
      <c r="Q41" s="22">
        <f t="shared" si="4"/>
        <v>243041</v>
      </c>
      <c r="R41" s="21">
        <f t="shared" si="4"/>
        <v>72048.44</v>
      </c>
      <c r="S41" s="22">
        <f t="shared" si="4"/>
        <v>237224</v>
      </c>
      <c r="T41" s="22">
        <f>+S41</f>
        <v>237224</v>
      </c>
      <c r="U41" s="22">
        <f>+S41</f>
        <v>237224</v>
      </c>
    </row>
    <row r="42" spans="1:24" ht="12.75" customHeight="1" thickTop="1" x14ac:dyDescent="0.3">
      <c r="A42" s="703"/>
      <c r="B42" s="4"/>
      <c r="C42" s="23"/>
      <c r="D42" s="23"/>
      <c r="E42" s="23"/>
      <c r="F42" s="23"/>
      <c r="G42" s="23"/>
      <c r="H42" s="23"/>
      <c r="I42" s="23"/>
      <c r="J42" s="23"/>
      <c r="K42" s="23"/>
      <c r="L42" s="23"/>
      <c r="M42" s="23"/>
      <c r="N42" s="23"/>
      <c r="O42" s="23"/>
      <c r="P42" s="23"/>
      <c r="Q42" s="23"/>
      <c r="R42" s="181" t="s">
        <v>732</v>
      </c>
      <c r="S42" s="1001">
        <f>+S41-Q41</f>
        <v>-5817</v>
      </c>
      <c r="T42" s="1002">
        <f>ROUND((+S42/Q41),4)</f>
        <v>-2.3900000000000001E-2</v>
      </c>
      <c r="U42" s="73"/>
      <c r="V42" s="23"/>
      <c r="W42" s="25"/>
      <c r="X42" s="183"/>
    </row>
    <row r="43" spans="1:24" ht="12.75" customHeight="1" x14ac:dyDescent="0.3">
      <c r="A43" s="63">
        <v>44951</v>
      </c>
      <c r="B43" s="4" t="s">
        <v>1991</v>
      </c>
      <c r="C43" s="23"/>
      <c r="D43" s="23"/>
      <c r="E43" s="23"/>
      <c r="F43" s="23"/>
      <c r="G43" s="23"/>
      <c r="H43" s="23"/>
      <c r="I43" s="23"/>
      <c r="J43" s="23"/>
      <c r="K43" s="23"/>
      <c r="L43" s="23"/>
      <c r="M43" s="23"/>
      <c r="N43" s="23"/>
      <c r="O43" s="23"/>
      <c r="P43" s="23"/>
      <c r="Q43" s="23"/>
      <c r="R43" s="181"/>
      <c r="S43" s="1001"/>
      <c r="T43" s="1002"/>
      <c r="U43" s="73"/>
      <c r="V43" s="23"/>
      <c r="W43" s="25"/>
      <c r="X43" s="183"/>
    </row>
    <row r="44" spans="1:24" ht="12.75" customHeight="1" x14ac:dyDescent="0.35">
      <c r="A44" s="1008" t="s">
        <v>1985</v>
      </c>
      <c r="B44" s="335"/>
      <c r="C44" s="258"/>
      <c r="D44" s="258"/>
      <c r="E44" s="258"/>
      <c r="F44" s="97"/>
      <c r="G44" s="97"/>
      <c r="H44" s="97"/>
      <c r="I44" s="23"/>
      <c r="J44" s="23"/>
      <c r="K44" s="23"/>
      <c r="L44" s="23"/>
      <c r="M44" s="23"/>
      <c r="N44" s="23"/>
      <c r="O44" s="23"/>
      <c r="P44" s="23"/>
      <c r="Q44" s="23"/>
      <c r="R44" s="25"/>
      <c r="S44" s="23"/>
      <c r="T44" s="23"/>
      <c r="U44" s="73"/>
      <c r="V44" s="25"/>
      <c r="W44" s="25"/>
      <c r="X44" s="25"/>
    </row>
    <row r="45" spans="1:24" ht="12.75" customHeight="1" x14ac:dyDescent="0.25">
      <c r="A45" s="1008" t="s">
        <v>1980</v>
      </c>
      <c r="B45" s="1009" t="s">
        <v>890</v>
      </c>
      <c r="C45" s="258"/>
      <c r="D45" s="258"/>
      <c r="E45" s="258"/>
      <c r="F45" s="97"/>
      <c r="G45" s="97"/>
      <c r="H45" s="97"/>
      <c r="I45" s="23"/>
      <c r="J45" s="23"/>
      <c r="K45" s="23"/>
      <c r="L45" s="23"/>
      <c r="M45" s="23"/>
      <c r="N45" s="23"/>
      <c r="O45" s="23"/>
      <c r="P45" s="23"/>
      <c r="Q45" s="23"/>
      <c r="R45" s="25"/>
      <c r="S45" s="23"/>
      <c r="T45" s="23"/>
      <c r="U45" s="73"/>
      <c r="V45" s="25"/>
      <c r="W45" s="25"/>
      <c r="X45" s="25"/>
    </row>
    <row r="46" spans="1:24" ht="12.75" customHeight="1" x14ac:dyDescent="0.25">
      <c r="A46" s="703">
        <v>3</v>
      </c>
      <c r="B46" s="1010" t="s">
        <v>1981</v>
      </c>
      <c r="C46" s="258"/>
      <c r="D46" s="258"/>
      <c r="E46" s="258"/>
      <c r="F46" s="97"/>
      <c r="G46" s="97"/>
      <c r="H46" s="97"/>
      <c r="I46" s="23"/>
      <c r="J46" s="23"/>
      <c r="K46" s="23"/>
      <c r="L46" s="23"/>
      <c r="M46" s="23"/>
      <c r="N46" s="23"/>
      <c r="O46" s="23"/>
      <c r="P46" s="23"/>
      <c r="Q46" s="23"/>
      <c r="R46" s="25"/>
      <c r="S46" s="23"/>
      <c r="T46" s="23"/>
      <c r="U46" s="73"/>
      <c r="V46" s="25"/>
      <c r="W46" s="25"/>
      <c r="X46" s="25"/>
    </row>
    <row r="47" spans="1:24" x14ac:dyDescent="0.25">
      <c r="A47" s="703">
        <v>2</v>
      </c>
      <c r="B47" s="1010" t="s">
        <v>1982</v>
      </c>
      <c r="D47" s="194"/>
      <c r="E47" s="194"/>
      <c r="F47" s="194"/>
      <c r="G47" s="194"/>
      <c r="H47" s="194"/>
      <c r="I47" s="194"/>
      <c r="J47" s="194"/>
      <c r="K47" s="194"/>
      <c r="L47" s="194"/>
      <c r="M47" s="194"/>
      <c r="N47" s="194"/>
      <c r="O47" s="194"/>
      <c r="P47" s="194"/>
      <c r="Q47" s="194"/>
    </row>
    <row r="48" spans="1:24" x14ac:dyDescent="0.25">
      <c r="A48" s="703">
        <v>3</v>
      </c>
      <c r="B48" s="1010" t="s">
        <v>1983</v>
      </c>
      <c r="D48" s="194"/>
      <c r="E48" s="194"/>
      <c r="F48" s="194"/>
      <c r="G48" s="194"/>
      <c r="H48" s="194"/>
      <c r="I48" s="194"/>
      <c r="J48" s="194"/>
      <c r="K48" s="194"/>
      <c r="L48" s="194"/>
      <c r="M48" s="194"/>
      <c r="N48" s="194"/>
      <c r="O48" s="194"/>
      <c r="P48" s="194"/>
      <c r="Q48" s="194"/>
    </row>
    <row r="49" spans="1:28" x14ac:dyDescent="0.25">
      <c r="A49" s="703">
        <v>1</v>
      </c>
      <c r="B49" s="1010" t="s">
        <v>1984</v>
      </c>
      <c r="D49" s="194"/>
      <c r="E49" s="194"/>
      <c r="F49" s="194"/>
      <c r="G49" s="194"/>
      <c r="H49" s="194"/>
      <c r="I49" s="194"/>
      <c r="J49" s="194"/>
      <c r="K49" s="194"/>
      <c r="L49" s="194"/>
      <c r="M49" s="194"/>
      <c r="N49" s="194"/>
      <c r="O49" s="194"/>
      <c r="P49" s="194"/>
      <c r="Q49" s="194"/>
      <c r="W49" s="1078"/>
      <c r="Y49" s="193"/>
      <c r="Z49" s="193"/>
      <c r="AA49" s="187"/>
      <c r="AB49" s="187"/>
    </row>
    <row r="50" spans="1:28" x14ac:dyDescent="0.25">
      <c r="A50" s="703"/>
      <c r="B50" s="1010"/>
      <c r="D50" s="194"/>
      <c r="E50" s="194"/>
      <c r="F50" s="194"/>
      <c r="G50" s="194"/>
      <c r="H50" s="194"/>
      <c r="I50" s="194"/>
      <c r="J50" s="194"/>
      <c r="K50" s="194"/>
      <c r="L50" s="194"/>
      <c r="M50" s="194"/>
      <c r="N50" s="194"/>
      <c r="O50" s="194"/>
      <c r="P50" s="194"/>
      <c r="Q50" s="194"/>
      <c r="W50" s="1078"/>
      <c r="Y50" s="193"/>
      <c r="Z50" s="193"/>
      <c r="AA50" s="187"/>
      <c r="AB50" s="187"/>
    </row>
    <row r="51" spans="1:28" ht="13.8" thickBot="1" x14ac:dyDescent="0.3">
      <c r="A51" s="703" t="s">
        <v>2011</v>
      </c>
      <c r="B51" s="1010"/>
      <c r="D51" s="194"/>
      <c r="E51" s="194"/>
      <c r="F51" s="194"/>
      <c r="G51" s="194"/>
      <c r="H51" s="194"/>
      <c r="I51" s="194"/>
      <c r="J51" s="194"/>
      <c r="K51" s="194"/>
      <c r="L51" s="194"/>
      <c r="M51" s="194"/>
      <c r="N51" s="194"/>
      <c r="O51" s="194"/>
      <c r="P51" s="194"/>
      <c r="Q51" s="194"/>
      <c r="W51" s="1078"/>
      <c r="Y51" s="193"/>
      <c r="Z51" s="193"/>
      <c r="AA51" s="187"/>
      <c r="AB51" s="187"/>
    </row>
    <row r="52" spans="1:28" ht="13.8" thickTop="1" x14ac:dyDescent="0.25">
      <c r="A52" s="710" t="s">
        <v>760</v>
      </c>
      <c r="B52" s="98"/>
      <c r="D52" s="194"/>
      <c r="E52" s="194"/>
      <c r="F52" s="194"/>
      <c r="G52" s="194"/>
      <c r="H52" s="194"/>
      <c r="I52" s="194"/>
      <c r="J52" s="194"/>
      <c r="K52" s="194"/>
      <c r="L52" s="194"/>
      <c r="O52" s="251" t="s">
        <v>761</v>
      </c>
      <c r="P52" s="137" t="s">
        <v>762</v>
      </c>
      <c r="Q52" s="149"/>
      <c r="R52" s="139" t="s">
        <v>763</v>
      </c>
      <c r="S52"/>
      <c r="T52"/>
      <c r="U52" s="187" t="s">
        <v>764</v>
      </c>
      <c r="V52"/>
      <c r="W52" s="1078"/>
      <c r="X52" s="4"/>
      <c r="Y52" s="1079"/>
      <c r="Z52" s="193"/>
      <c r="AA52" s="187"/>
      <c r="AB52" s="187"/>
    </row>
    <row r="53" spans="1:28" ht="13.8" thickBot="1" x14ac:dyDescent="0.3">
      <c r="A53" s="711" t="s">
        <v>765</v>
      </c>
      <c r="B53" s="100" t="s">
        <v>766</v>
      </c>
      <c r="D53" s="194"/>
      <c r="E53" s="194"/>
      <c r="F53" s="194"/>
      <c r="G53" s="194"/>
      <c r="H53" s="194"/>
      <c r="I53" s="194"/>
      <c r="J53" s="194"/>
      <c r="K53" s="194"/>
      <c r="L53" s="194"/>
      <c r="O53" s="269">
        <v>45474</v>
      </c>
      <c r="P53" s="140" t="s">
        <v>767</v>
      </c>
      <c r="Q53" s="141" t="s">
        <v>831</v>
      </c>
      <c r="R53" s="141" t="s">
        <v>769</v>
      </c>
      <c r="S53" s="106" t="s">
        <v>770</v>
      </c>
      <c r="T53" s="106"/>
      <c r="U53" s="106" t="s">
        <v>1345</v>
      </c>
      <c r="V53" s="1050" t="s">
        <v>771</v>
      </c>
      <c r="W53" s="54"/>
      <c r="X53" s="4"/>
      <c r="Y53" s="24"/>
      <c r="Z53" s="74"/>
      <c r="AA53" s="181"/>
      <c r="AB53" s="148"/>
    </row>
    <row r="54" spans="1:28" ht="13.8" thickTop="1" x14ac:dyDescent="0.25">
      <c r="A54" s="132">
        <v>41981</v>
      </c>
      <c r="B54" s="101" t="s">
        <v>924</v>
      </c>
      <c r="D54" s="194"/>
      <c r="E54" s="194"/>
      <c r="F54" s="194"/>
      <c r="G54" s="194"/>
      <c r="H54" s="194"/>
      <c r="I54" s="194"/>
      <c r="J54" s="194"/>
      <c r="K54" s="194"/>
      <c r="L54" s="194"/>
      <c r="O54" s="18" t="s">
        <v>2111</v>
      </c>
      <c r="P54" s="182"/>
      <c r="Q54" s="150"/>
      <c r="R54" s="136">
        <f>+'NAGE &amp; Non-Union Wages'!H10</f>
        <v>75746</v>
      </c>
      <c r="S54"/>
      <c r="T54"/>
      <c r="U54"/>
      <c r="V54" s="2"/>
      <c r="W54" s="54"/>
      <c r="X54" s="4"/>
      <c r="Y54" s="1080"/>
      <c r="Z54" s="74"/>
      <c r="AA54" s="181"/>
      <c r="AB54" s="148"/>
    </row>
    <row r="55" spans="1:28" x14ac:dyDescent="0.25">
      <c r="A55" s="132"/>
      <c r="B55" s="101" t="s">
        <v>925</v>
      </c>
      <c r="D55" s="194"/>
      <c r="E55" s="194"/>
      <c r="F55" s="194"/>
      <c r="G55" s="194"/>
      <c r="H55" s="194"/>
      <c r="I55" s="194"/>
      <c r="J55" s="194"/>
      <c r="K55" s="194"/>
      <c r="L55" s="194"/>
      <c r="O55" s="246"/>
      <c r="P55" s="182"/>
      <c r="Q55" s="150"/>
      <c r="R55" s="136">
        <v>900</v>
      </c>
      <c r="S55"/>
      <c r="T55"/>
      <c r="U55"/>
      <c r="V55" s="2"/>
      <c r="W55" s="54"/>
      <c r="X55" s="4"/>
      <c r="Y55" s="1080"/>
      <c r="Z55" s="74"/>
      <c r="AA55" s="181"/>
      <c r="AB55" s="148"/>
    </row>
    <row r="56" spans="1:28" x14ac:dyDescent="0.25">
      <c r="A56" s="132"/>
      <c r="B56" s="101" t="s">
        <v>926</v>
      </c>
      <c r="D56" s="194"/>
      <c r="E56" s="194"/>
      <c r="F56" s="194"/>
      <c r="G56" s="194"/>
      <c r="H56" s="194"/>
      <c r="I56" s="194"/>
      <c r="J56" s="194"/>
      <c r="K56" s="194"/>
      <c r="L56" s="194"/>
      <c r="O56" s="246"/>
      <c r="P56" s="182"/>
      <c r="Q56" s="150"/>
      <c r="R56" s="136"/>
      <c r="S56"/>
      <c r="T56"/>
      <c r="U56"/>
      <c r="V56" s="2"/>
      <c r="W56" s="54"/>
      <c r="X56" s="4"/>
      <c r="Y56" s="1080"/>
      <c r="Z56" s="1080"/>
      <c r="AA56" s="181"/>
      <c r="AB56" s="148"/>
    </row>
    <row r="57" spans="1:28" x14ac:dyDescent="0.25">
      <c r="A57" s="132">
        <v>40627</v>
      </c>
      <c r="B57" s="101" t="s">
        <v>2052</v>
      </c>
      <c r="D57" s="194"/>
      <c r="E57" s="194"/>
      <c r="F57" s="194"/>
      <c r="G57" s="194"/>
      <c r="H57" s="194"/>
      <c r="I57" s="194"/>
      <c r="J57" s="194"/>
      <c r="K57" s="194"/>
      <c r="L57" s="194"/>
      <c r="O57" s="246"/>
      <c r="P57" s="246"/>
      <c r="Q57" s="150"/>
      <c r="R57" s="136">
        <f>+ROUND((+P57*Q57),2)</f>
        <v>0</v>
      </c>
      <c r="S57"/>
      <c r="T57"/>
      <c r="U57" s="712">
        <v>14</v>
      </c>
      <c r="V57" s="2">
        <v>500</v>
      </c>
      <c r="W57" s="54"/>
      <c r="X57" s="4"/>
      <c r="Y57" s="1080"/>
      <c r="Z57" s="1080"/>
      <c r="AA57" s="181"/>
      <c r="AB57" s="148"/>
    </row>
    <row r="58" spans="1:28" x14ac:dyDescent="0.25">
      <c r="A58" s="133">
        <v>41008</v>
      </c>
      <c r="B58" s="60" t="s">
        <v>927</v>
      </c>
      <c r="D58" s="194"/>
      <c r="E58" s="194"/>
      <c r="F58" s="194"/>
      <c r="G58" s="194"/>
      <c r="H58" s="194"/>
      <c r="I58" s="194"/>
      <c r="J58" s="194"/>
      <c r="K58" s="194"/>
      <c r="L58" s="194"/>
      <c r="O58" s="127" t="s">
        <v>869</v>
      </c>
      <c r="P58" s="147">
        <f>+'NAGE &amp; Non-Union Wages'!I7</f>
        <v>26.74</v>
      </c>
      <c r="Q58" s="18">
        <v>1828.5</v>
      </c>
      <c r="R58" s="136">
        <f>+ROUND((+P58*Q58),2)</f>
        <v>48894.09</v>
      </c>
      <c r="S58" s="152"/>
      <c r="T58" s="152"/>
      <c r="U58" s="712">
        <v>14</v>
      </c>
      <c r="V58" s="2">
        <v>500</v>
      </c>
      <c r="W58" s="54"/>
      <c r="X58" s="4"/>
      <c r="Y58" s="259"/>
      <c r="Z58" s="148"/>
      <c r="AA58" s="24"/>
      <c r="AB58" s="148"/>
    </row>
    <row r="59" spans="1:28" x14ac:dyDescent="0.25">
      <c r="A59" s="727" t="s">
        <v>1933</v>
      </c>
      <c r="B59" s="133" t="s">
        <v>1277</v>
      </c>
      <c r="C59" s="265"/>
      <c r="D59" s="327"/>
      <c r="E59" s="327"/>
      <c r="F59" s="327"/>
      <c r="G59" s="327"/>
      <c r="H59" s="327"/>
      <c r="I59" s="327"/>
      <c r="J59" s="327"/>
      <c r="K59" s="327"/>
      <c r="L59" s="327"/>
      <c r="O59" s="127" t="s">
        <v>775</v>
      </c>
      <c r="P59" s="127">
        <f>+'NAGE &amp; Non-Union Wages'!D5</f>
        <v>20.239999999999998</v>
      </c>
      <c r="Q59" s="18">
        <v>1828.5</v>
      </c>
      <c r="R59" s="136">
        <f>+ROUND((+P59*Q59),2)</f>
        <v>37008.839999999997</v>
      </c>
      <c r="S59"/>
      <c r="T59"/>
      <c r="U59"/>
      <c r="V59" s="2"/>
      <c r="W59" s="703"/>
      <c r="X59" s="54"/>
      <c r="Y59" s="259"/>
      <c r="Z59" s="259"/>
      <c r="AA59" s="25"/>
      <c r="AB59" s="148"/>
    </row>
    <row r="60" spans="1:28" x14ac:dyDescent="0.25">
      <c r="A60" s="703"/>
      <c r="B60" s="4"/>
      <c r="C60" s="23"/>
      <c r="D60" s="23"/>
      <c r="E60" s="23"/>
      <c r="F60" s="194"/>
      <c r="G60" s="194"/>
      <c r="H60" s="194"/>
      <c r="I60" s="23"/>
      <c r="J60" s="23"/>
      <c r="K60" s="194"/>
      <c r="L60" s="194"/>
      <c r="M60" s="23"/>
      <c r="N60" s="23"/>
      <c r="O60" s="23"/>
      <c r="P60" s="23"/>
      <c r="Q60" s="23"/>
      <c r="R60" s="25">
        <f>SUM(R54:R59)</f>
        <v>162548.93</v>
      </c>
      <c r="S60" s="25"/>
      <c r="T60" s="25"/>
      <c r="U60" s="25" t="s">
        <v>190</v>
      </c>
      <c r="V60" s="2">
        <f>SUM(V54:V59)</f>
        <v>1000</v>
      </c>
    </row>
    <row r="61" spans="1:28" ht="13.8" thickBot="1" x14ac:dyDescent="0.3">
      <c r="A61" s="745"/>
      <c r="B61" s="4"/>
      <c r="C61" s="23"/>
      <c r="D61" s="23"/>
      <c r="E61" s="23"/>
      <c r="F61" s="194"/>
      <c r="G61" s="194"/>
      <c r="H61" s="194"/>
      <c r="I61" s="23"/>
      <c r="J61" s="23"/>
      <c r="K61" s="194"/>
      <c r="L61" s="194"/>
      <c r="M61" s="23"/>
      <c r="N61" s="23"/>
      <c r="O61" s="23"/>
      <c r="P61" s="23"/>
      <c r="Q61" s="23"/>
      <c r="R61" s="25"/>
      <c r="S61" s="23"/>
      <c r="T61" s="23"/>
      <c r="U61" s="23"/>
      <c r="V61" s="23"/>
      <c r="W61" s="25"/>
      <c r="X61" s="25"/>
    </row>
    <row r="62" spans="1:28" ht="13.8" thickTop="1" x14ac:dyDescent="0.25">
      <c r="A62" s="718"/>
      <c r="B62" s="349"/>
      <c r="C62" s="350" t="s">
        <v>256</v>
      </c>
      <c r="D62" s="351" t="s">
        <v>256</v>
      </c>
      <c r="E62" s="351"/>
      <c r="F62" s="194"/>
      <c r="G62" s="194"/>
      <c r="H62" s="194"/>
      <c r="I62" s="194"/>
      <c r="J62" s="194"/>
      <c r="K62" s="194"/>
      <c r="L62" s="194"/>
      <c r="O62" s="352" t="s">
        <v>255</v>
      </c>
      <c r="P62" s="353" t="s">
        <v>716</v>
      </c>
      <c r="Q62" s="354" t="s">
        <v>730</v>
      </c>
      <c r="R62" s="353" t="s">
        <v>731</v>
      </c>
      <c r="S62" s="355"/>
      <c r="T62" s="550"/>
      <c r="U62" s="354"/>
      <c r="V62" s="23"/>
      <c r="W62" s="25"/>
      <c r="X62" s="25"/>
    </row>
    <row r="63" spans="1:28" ht="13.8" thickBot="1" x14ac:dyDescent="0.3">
      <c r="A63" s="719" t="s">
        <v>715</v>
      </c>
      <c r="B63" s="356"/>
      <c r="C63" s="357" t="s">
        <v>243</v>
      </c>
      <c r="D63" s="357" t="s">
        <v>244</v>
      </c>
      <c r="E63" s="357"/>
      <c r="F63" s="194"/>
      <c r="G63" s="194"/>
      <c r="H63" s="194"/>
      <c r="I63" s="194"/>
      <c r="J63" s="194"/>
      <c r="K63" s="194"/>
      <c r="L63" s="194"/>
      <c r="O63" s="359" t="s">
        <v>469</v>
      </c>
      <c r="P63" s="359" t="s">
        <v>1345</v>
      </c>
      <c r="Q63" s="358" t="s">
        <v>732</v>
      </c>
      <c r="R63" s="360" t="s">
        <v>732</v>
      </c>
      <c r="S63" s="361" t="s">
        <v>733</v>
      </c>
      <c r="T63" s="551"/>
      <c r="U63" s="359"/>
      <c r="V63" s="23"/>
      <c r="W63" s="25"/>
      <c r="X63" s="25"/>
    </row>
    <row r="64" spans="1:28" ht="13.8" thickTop="1" x14ac:dyDescent="0.25">
      <c r="A64" s="726"/>
      <c r="B64" s="376"/>
      <c r="C64" s="365"/>
      <c r="D64" s="365"/>
      <c r="E64" s="365"/>
      <c r="F64" s="194"/>
      <c r="G64" s="194"/>
      <c r="H64" s="194"/>
      <c r="I64" s="194"/>
      <c r="J64" s="194"/>
      <c r="K64" s="194"/>
      <c r="L64" s="194"/>
      <c r="O64" s="366"/>
      <c r="P64" s="365"/>
      <c r="Q64" s="368"/>
      <c r="R64" s="374"/>
      <c r="S64" s="367"/>
      <c r="T64" s="553"/>
      <c r="U64" s="368"/>
      <c r="V64" s="23"/>
      <c r="W64" s="25"/>
      <c r="X64" s="25"/>
    </row>
    <row r="65" spans="1:24" x14ac:dyDescent="0.25">
      <c r="A65" s="724">
        <v>5111</v>
      </c>
      <c r="B65" s="369" t="s">
        <v>738</v>
      </c>
      <c r="C65" s="373">
        <v>92859.54</v>
      </c>
      <c r="D65" s="373">
        <v>97657.39</v>
      </c>
      <c r="E65" s="373"/>
      <c r="F65" s="194"/>
      <c r="G65" s="194"/>
      <c r="H65" s="194"/>
      <c r="I65" s="194"/>
      <c r="J65" s="194"/>
      <c r="K65" s="194"/>
      <c r="L65" s="194"/>
      <c r="O65" s="372">
        <f>+Q9</f>
        <v>169758</v>
      </c>
      <c r="P65" s="393">
        <f>+S9</f>
        <v>162549</v>
      </c>
      <c r="Q65" s="368">
        <f t="shared" ref="Q65:Q88" si="5">+P65-O65</f>
        <v>-7209</v>
      </c>
      <c r="R65" s="374">
        <f t="shared" ref="R65:R79" si="6">IF(O65+P65&lt;&gt;0,IF(O65&lt;&gt;0,IF(Q65&lt;&gt;0,ROUND((+Q65/O65),4),""),1),"")</f>
        <v>-4.2500000000000003E-2</v>
      </c>
      <c r="S65" s="367" t="s">
        <v>2331</v>
      </c>
      <c r="T65" s="553"/>
      <c r="U65" s="368"/>
      <c r="V65" s="23"/>
      <c r="W65" s="25"/>
      <c r="X65" s="25"/>
    </row>
    <row r="66" spans="1:24" x14ac:dyDescent="0.25">
      <c r="A66" s="724">
        <v>5113</v>
      </c>
      <c r="B66" s="369" t="s">
        <v>2332</v>
      </c>
      <c r="C66" s="373">
        <v>338</v>
      </c>
      <c r="D66" s="373">
        <v>500</v>
      </c>
      <c r="E66" s="373"/>
      <c r="F66" s="194"/>
      <c r="G66" s="194"/>
      <c r="H66" s="194"/>
      <c r="I66" s="194"/>
      <c r="J66" s="194"/>
      <c r="K66" s="194"/>
      <c r="L66" s="194"/>
      <c r="O66" s="372">
        <f>+Q10</f>
        <v>1875</v>
      </c>
      <c r="P66" s="393">
        <f>+S10</f>
        <v>1875</v>
      </c>
      <c r="Q66" s="368">
        <f t="shared" si="5"/>
        <v>0</v>
      </c>
      <c r="R66" s="374" t="str">
        <f t="shared" si="6"/>
        <v/>
      </c>
      <c r="S66" s="367"/>
      <c r="T66" s="553"/>
      <c r="U66" s="368"/>
      <c r="V66" s="23"/>
      <c r="W66" s="25"/>
      <c r="X66" s="25"/>
    </row>
    <row r="67" spans="1:24" x14ac:dyDescent="0.25">
      <c r="A67" s="724">
        <v>5124</v>
      </c>
      <c r="B67" s="369" t="s">
        <v>2333</v>
      </c>
      <c r="C67" s="373">
        <v>23326</v>
      </c>
      <c r="D67" s="373">
        <v>3758</v>
      </c>
      <c r="E67" s="373"/>
      <c r="F67" s="194"/>
      <c r="G67" s="194"/>
      <c r="H67" s="194"/>
      <c r="I67" s="194"/>
      <c r="J67" s="194"/>
      <c r="K67" s="194"/>
      <c r="L67" s="194"/>
      <c r="O67" s="372">
        <f>+Q13</f>
        <v>20000</v>
      </c>
      <c r="P67" s="393">
        <f>+S13</f>
        <v>20000</v>
      </c>
      <c r="Q67" s="368">
        <f>+P67-O67</f>
        <v>0</v>
      </c>
      <c r="R67" s="374" t="str">
        <f>IF(O67+P67&lt;&gt;0,IF(O67&lt;&gt;0,IF(Q67&lt;&gt;0,ROUND((+Q67/O67),4),""),1),"")</f>
        <v/>
      </c>
      <c r="S67" s="367"/>
      <c r="T67" s="553"/>
      <c r="U67" s="368"/>
      <c r="V67" s="23"/>
      <c r="W67" s="25"/>
      <c r="X67" s="25"/>
    </row>
    <row r="68" spans="1:24" x14ac:dyDescent="0.25">
      <c r="A68" s="1247">
        <v>5125</v>
      </c>
      <c r="B68" s="369" t="s">
        <v>916</v>
      </c>
      <c r="C68" s="373">
        <v>23326</v>
      </c>
      <c r="D68" s="373">
        <v>3758</v>
      </c>
      <c r="E68" s="373"/>
      <c r="F68" s="194"/>
      <c r="G68" s="194"/>
      <c r="H68" s="194"/>
      <c r="I68" s="194"/>
      <c r="J68" s="194"/>
      <c r="K68" s="194"/>
      <c r="L68" s="194"/>
      <c r="O68" s="372">
        <f>+Q14</f>
        <v>0</v>
      </c>
      <c r="P68" s="393">
        <f>+S14</f>
        <v>500</v>
      </c>
      <c r="Q68" s="368">
        <f>+P68-O68</f>
        <v>500</v>
      </c>
      <c r="R68" s="374">
        <f>IF(O68+P68&lt;&gt;0,IF(O68&lt;&gt;0,IF(Q68&lt;&gt;0,ROUND((+Q68/O68),4),""),1),"")</f>
        <v>1</v>
      </c>
      <c r="S68" s="367" t="s">
        <v>2348</v>
      </c>
      <c r="T68" s="553"/>
      <c r="U68" s="368"/>
      <c r="V68" s="23"/>
      <c r="W68" s="25"/>
      <c r="X68" s="25"/>
    </row>
    <row r="69" spans="1:24" ht="13.8" thickBot="1" x14ac:dyDescent="0.3">
      <c r="A69" s="724">
        <v>5144</v>
      </c>
      <c r="B69" s="369" t="s">
        <v>27</v>
      </c>
      <c r="C69" s="371">
        <v>150</v>
      </c>
      <c r="D69" s="371">
        <v>150</v>
      </c>
      <c r="E69" s="375"/>
      <c r="F69" s="194"/>
      <c r="G69" s="194"/>
      <c r="H69" s="194"/>
      <c r="I69" s="194"/>
      <c r="J69" s="194"/>
      <c r="K69" s="194"/>
      <c r="L69" s="194"/>
      <c r="O69" s="372">
        <f>+Q15</f>
        <v>300</v>
      </c>
      <c r="P69" s="393">
        <f>+S15</f>
        <v>1000</v>
      </c>
      <c r="Q69" s="368">
        <f t="shared" si="5"/>
        <v>700</v>
      </c>
      <c r="R69" s="374">
        <f t="shared" si="6"/>
        <v>2.3332999999999999</v>
      </c>
      <c r="S69" s="367" t="s">
        <v>2334</v>
      </c>
      <c r="T69" s="553"/>
      <c r="U69" s="368"/>
      <c r="V69" s="23"/>
      <c r="W69" s="25"/>
      <c r="X69" s="25"/>
    </row>
    <row r="70" spans="1:24" x14ac:dyDescent="0.25">
      <c r="A70" s="724">
        <v>5247</v>
      </c>
      <c r="B70" s="369" t="s">
        <v>920</v>
      </c>
      <c r="C70" s="373"/>
      <c r="D70" s="373">
        <v>0</v>
      </c>
      <c r="E70" s="365"/>
      <c r="F70" s="194"/>
      <c r="G70" s="194"/>
      <c r="H70" s="194"/>
      <c r="I70" s="194"/>
      <c r="J70" s="194"/>
      <c r="K70" s="194"/>
      <c r="L70" s="194"/>
      <c r="O70" s="366">
        <f t="shared" ref="O70:O75" si="7">+Q20</f>
        <v>13573</v>
      </c>
      <c r="P70" s="393">
        <f t="shared" ref="P70:P75" si="8">+S20</f>
        <v>9500</v>
      </c>
      <c r="Q70" s="368">
        <f t="shared" si="5"/>
        <v>-4073</v>
      </c>
      <c r="R70" s="374">
        <f t="shared" si="6"/>
        <v>-0.30009999999999998</v>
      </c>
      <c r="S70" s="367" t="s">
        <v>2338</v>
      </c>
      <c r="T70" s="553"/>
      <c r="U70" s="368"/>
      <c r="V70" s="23"/>
      <c r="W70" s="25"/>
      <c r="X70" s="25"/>
    </row>
    <row r="71" spans="1:24" x14ac:dyDescent="0.25">
      <c r="A71" s="724">
        <v>5248</v>
      </c>
      <c r="B71" s="369" t="s">
        <v>787</v>
      </c>
      <c r="C71" s="373">
        <v>800</v>
      </c>
      <c r="D71" s="373">
        <v>0</v>
      </c>
      <c r="E71" s="373"/>
      <c r="F71" s="194"/>
      <c r="G71" s="194"/>
      <c r="H71" s="194"/>
      <c r="I71" s="194"/>
      <c r="J71" s="194"/>
      <c r="K71" s="194"/>
      <c r="L71" s="194"/>
      <c r="O71" s="366">
        <f t="shared" si="7"/>
        <v>500</v>
      </c>
      <c r="P71" s="393">
        <f t="shared" si="8"/>
        <v>500</v>
      </c>
      <c r="Q71" s="368">
        <f t="shared" si="5"/>
        <v>0</v>
      </c>
      <c r="R71" s="374" t="str">
        <f t="shared" si="6"/>
        <v/>
      </c>
      <c r="S71" s="367"/>
      <c r="T71" s="553"/>
      <c r="U71" s="368"/>
      <c r="V71" s="23"/>
      <c r="W71" s="25"/>
      <c r="X71" s="25"/>
    </row>
    <row r="72" spans="1:24" x14ac:dyDescent="0.25">
      <c r="A72" s="724">
        <v>5279</v>
      </c>
      <c r="B72" s="369" t="s">
        <v>719</v>
      </c>
      <c r="C72" s="373">
        <v>950</v>
      </c>
      <c r="D72" s="373">
        <v>175</v>
      </c>
      <c r="E72" s="373"/>
      <c r="F72" s="194"/>
      <c r="G72" s="194"/>
      <c r="H72" s="194"/>
      <c r="I72" s="194"/>
      <c r="J72" s="194"/>
      <c r="K72" s="194"/>
      <c r="L72" s="194"/>
      <c r="O72" s="366">
        <f t="shared" si="7"/>
        <v>0</v>
      </c>
      <c r="P72" s="393">
        <f t="shared" si="8"/>
        <v>0</v>
      </c>
      <c r="Q72" s="368">
        <f t="shared" si="5"/>
        <v>0</v>
      </c>
      <c r="R72" s="374" t="str">
        <f t="shared" si="6"/>
        <v/>
      </c>
      <c r="S72" s="367"/>
      <c r="T72" s="553"/>
      <c r="U72" s="368"/>
      <c r="V72" s="23"/>
      <c r="W72" s="25"/>
      <c r="X72" s="25"/>
    </row>
    <row r="73" spans="1:24" x14ac:dyDescent="0.25">
      <c r="A73" s="724">
        <v>5305</v>
      </c>
      <c r="B73" s="369" t="s">
        <v>779</v>
      </c>
      <c r="C73" s="373">
        <f>2221.2+3364.97</f>
        <v>5586.17</v>
      </c>
      <c r="D73" s="373">
        <v>4208.42</v>
      </c>
      <c r="E73" s="373"/>
      <c r="F73" s="194"/>
      <c r="G73" s="194"/>
      <c r="H73" s="194"/>
      <c r="I73" s="194"/>
      <c r="J73" s="194"/>
      <c r="K73" s="194"/>
      <c r="L73" s="194"/>
      <c r="O73" s="366">
        <f t="shared" si="7"/>
        <v>9000</v>
      </c>
      <c r="P73" s="393">
        <f t="shared" si="8"/>
        <v>2000</v>
      </c>
      <c r="Q73" s="368">
        <f t="shared" si="5"/>
        <v>-7000</v>
      </c>
      <c r="R73" s="374">
        <f t="shared" si="6"/>
        <v>-0.77780000000000005</v>
      </c>
      <c r="S73" s="367" t="s">
        <v>2339</v>
      </c>
      <c r="T73" s="553"/>
      <c r="U73" s="368"/>
      <c r="V73" s="23"/>
      <c r="W73" s="25"/>
      <c r="X73" s="25"/>
    </row>
    <row r="74" spans="1:24" x14ac:dyDescent="0.25">
      <c r="A74" s="724">
        <v>5314</v>
      </c>
      <c r="B74" s="369" t="s">
        <v>749</v>
      </c>
      <c r="C74" s="373"/>
      <c r="D74" s="373">
        <v>88</v>
      </c>
      <c r="E74" s="373"/>
      <c r="F74" s="194"/>
      <c r="G74" s="194"/>
      <c r="H74" s="194"/>
      <c r="I74" s="194"/>
      <c r="J74" s="194"/>
      <c r="K74" s="194"/>
      <c r="L74" s="194"/>
      <c r="O74" s="366">
        <f t="shared" si="7"/>
        <v>300</v>
      </c>
      <c r="P74" s="393">
        <f t="shared" si="8"/>
        <v>400</v>
      </c>
      <c r="Q74" s="368">
        <f t="shared" si="5"/>
        <v>100</v>
      </c>
      <c r="R74" s="374">
        <f t="shared" si="6"/>
        <v>0.33329999999999999</v>
      </c>
      <c r="S74" s="367" t="s">
        <v>2335</v>
      </c>
      <c r="T74" s="553"/>
      <c r="U74" s="368"/>
      <c r="V74" s="23"/>
      <c r="W74" s="25"/>
      <c r="X74" s="25"/>
    </row>
    <row r="75" spans="1:24" x14ac:dyDescent="0.25">
      <c r="A75" s="724">
        <v>5315</v>
      </c>
      <c r="B75" s="369" t="s">
        <v>825</v>
      </c>
      <c r="C75" s="373"/>
      <c r="D75" s="373"/>
      <c r="E75" s="373"/>
      <c r="F75" s="194"/>
      <c r="G75" s="194"/>
      <c r="H75" s="194"/>
      <c r="I75" s="194"/>
      <c r="J75" s="194"/>
      <c r="K75" s="194"/>
      <c r="L75" s="194"/>
      <c r="O75" s="366">
        <f t="shared" si="7"/>
        <v>6700</v>
      </c>
      <c r="P75" s="393">
        <f t="shared" si="8"/>
        <v>1500</v>
      </c>
      <c r="Q75" s="368">
        <f t="shared" si="5"/>
        <v>-5200</v>
      </c>
      <c r="R75" s="374">
        <f t="shared" si="6"/>
        <v>-0.77610000000000001</v>
      </c>
      <c r="S75" s="367" t="s">
        <v>2340</v>
      </c>
      <c r="T75" s="553"/>
      <c r="U75" s="368"/>
      <c r="V75" s="23"/>
      <c r="W75" s="25"/>
      <c r="X75" s="25"/>
    </row>
    <row r="76" spans="1:24" x14ac:dyDescent="0.25">
      <c r="A76" s="724">
        <v>5316</v>
      </c>
      <c r="B76" s="369" t="s">
        <v>2336</v>
      </c>
      <c r="C76" s="373"/>
      <c r="D76" s="373"/>
      <c r="E76" s="373"/>
      <c r="F76" s="194"/>
      <c r="G76" s="194"/>
      <c r="H76" s="194"/>
      <c r="I76" s="194"/>
      <c r="J76" s="194"/>
      <c r="K76" s="194"/>
      <c r="L76" s="194"/>
      <c r="O76" s="366">
        <f t="shared" ref="O76:O77" si="9">+Q26</f>
        <v>0</v>
      </c>
      <c r="P76" s="393">
        <f t="shared" ref="P76:P77" si="10">+S26</f>
        <v>10000</v>
      </c>
      <c r="Q76" s="368">
        <f t="shared" ref="Q76:Q77" si="11">+P76-O76</f>
        <v>10000</v>
      </c>
      <c r="R76" s="374">
        <f t="shared" ref="R76:R77" si="12">IF(O76+P76&lt;&gt;0,IF(O76&lt;&gt;0,IF(Q76&lt;&gt;0,ROUND((+Q76/O76),4),""),1),"")</f>
        <v>1</v>
      </c>
      <c r="S76" s="367" t="s">
        <v>2342</v>
      </c>
      <c r="T76" s="553"/>
      <c r="U76" s="368"/>
      <c r="V76" s="23"/>
      <c r="W76" s="25"/>
      <c r="X76" s="25"/>
    </row>
    <row r="77" spans="1:24" x14ac:dyDescent="0.25">
      <c r="A77" s="724">
        <v>5317</v>
      </c>
      <c r="B77" s="369" t="s">
        <v>2337</v>
      </c>
      <c r="C77" s="373"/>
      <c r="D77" s="373"/>
      <c r="E77" s="373"/>
      <c r="F77" s="194"/>
      <c r="G77" s="194"/>
      <c r="H77" s="194"/>
      <c r="I77" s="194"/>
      <c r="J77" s="194"/>
      <c r="K77" s="194"/>
      <c r="L77" s="194"/>
      <c r="O77" s="366">
        <f t="shared" si="9"/>
        <v>0</v>
      </c>
      <c r="P77" s="393">
        <f t="shared" si="10"/>
        <v>8000</v>
      </c>
      <c r="Q77" s="368">
        <f t="shared" si="11"/>
        <v>8000</v>
      </c>
      <c r="R77" s="374">
        <f t="shared" si="12"/>
        <v>1</v>
      </c>
      <c r="S77" s="367" t="s">
        <v>2341</v>
      </c>
      <c r="T77" s="553"/>
      <c r="U77" s="368"/>
      <c r="V77" s="23"/>
      <c r="W77" s="25"/>
      <c r="X77" s="25"/>
    </row>
    <row r="78" spans="1:24" x14ac:dyDescent="0.25">
      <c r="A78" s="724">
        <v>5341</v>
      </c>
      <c r="B78" s="369" t="s">
        <v>751</v>
      </c>
      <c r="C78" s="373">
        <v>244.76</v>
      </c>
      <c r="D78" s="373">
        <v>223.51</v>
      </c>
      <c r="E78" s="373"/>
      <c r="F78" s="194"/>
      <c r="G78" s="194"/>
      <c r="H78" s="194"/>
      <c r="I78" s="194"/>
      <c r="J78" s="194"/>
      <c r="K78" s="194"/>
      <c r="L78" s="194"/>
      <c r="O78" s="366">
        <f>+O28</f>
        <v>0</v>
      </c>
      <c r="P78" s="393">
        <f t="shared" ref="P78:P88" si="13">+S28</f>
        <v>0</v>
      </c>
      <c r="Q78" s="368">
        <f t="shared" si="5"/>
        <v>0</v>
      </c>
      <c r="R78" s="374" t="str">
        <f t="shared" si="6"/>
        <v/>
      </c>
      <c r="S78" s="367"/>
      <c r="T78" s="553"/>
      <c r="U78" s="368"/>
      <c r="V78" s="23"/>
      <c r="W78" s="25"/>
      <c r="X78" s="25"/>
    </row>
    <row r="79" spans="1:24" x14ac:dyDescent="0.25">
      <c r="A79" s="724">
        <v>5344</v>
      </c>
      <c r="B79" s="369" t="s">
        <v>722</v>
      </c>
      <c r="C79" s="373">
        <v>3108.8</v>
      </c>
      <c r="D79" s="373">
        <v>1606.46</v>
      </c>
      <c r="E79" s="373"/>
      <c r="F79" s="194"/>
      <c r="G79" s="194"/>
      <c r="H79" s="194"/>
      <c r="I79" s="194"/>
      <c r="J79" s="194"/>
      <c r="K79" s="194"/>
      <c r="L79" s="194"/>
      <c r="O79" s="366">
        <f t="shared" ref="O79:O88" si="14">+Q29</f>
        <v>7400</v>
      </c>
      <c r="P79" s="393">
        <f t="shared" si="13"/>
        <v>3000</v>
      </c>
      <c r="Q79" s="368">
        <f t="shared" si="5"/>
        <v>-4400</v>
      </c>
      <c r="R79" s="374">
        <f t="shared" si="6"/>
        <v>-0.59460000000000002</v>
      </c>
      <c r="S79" s="367" t="s">
        <v>2350</v>
      </c>
      <c r="T79" s="553"/>
      <c r="U79" s="368"/>
      <c r="V79" s="23"/>
      <c r="W79" s="25"/>
      <c r="X79" s="25"/>
    </row>
    <row r="80" spans="1:24" x14ac:dyDescent="0.25">
      <c r="A80" s="724">
        <v>5345</v>
      </c>
      <c r="B80" s="369" t="s">
        <v>752</v>
      </c>
      <c r="C80" s="365"/>
      <c r="D80" s="365"/>
      <c r="E80" s="365"/>
      <c r="F80" s="194"/>
      <c r="G80" s="194"/>
      <c r="H80" s="194"/>
      <c r="I80" s="194"/>
      <c r="J80" s="194"/>
      <c r="K80" s="194"/>
      <c r="L80" s="194"/>
      <c r="O80" s="366">
        <f t="shared" si="14"/>
        <v>100</v>
      </c>
      <c r="P80" s="393">
        <f t="shared" si="13"/>
        <v>250</v>
      </c>
      <c r="Q80" s="368">
        <f t="shared" si="5"/>
        <v>150</v>
      </c>
      <c r="R80" s="374"/>
      <c r="S80" s="367"/>
      <c r="T80" s="553"/>
      <c r="U80" s="368"/>
      <c r="V80" s="23"/>
      <c r="W80" s="25"/>
      <c r="X80" s="25"/>
    </row>
    <row r="81" spans="1:24" x14ac:dyDescent="0.25">
      <c r="A81" s="724">
        <v>5346</v>
      </c>
      <c r="B81" s="369" t="s">
        <v>2349</v>
      </c>
      <c r="C81" s="365"/>
      <c r="D81" s="365"/>
      <c r="E81" s="365"/>
      <c r="F81" s="194"/>
      <c r="G81" s="194"/>
      <c r="H81" s="194"/>
      <c r="I81" s="194"/>
      <c r="J81" s="194"/>
      <c r="K81" s="194"/>
      <c r="L81" s="194"/>
      <c r="O81" s="366">
        <f t="shared" si="14"/>
        <v>0</v>
      </c>
      <c r="P81" s="393">
        <f t="shared" si="13"/>
        <v>6000</v>
      </c>
      <c r="Q81" s="368">
        <f t="shared" ref="Q81" si="15">+P81-O81</f>
        <v>6000</v>
      </c>
      <c r="R81" s="374"/>
      <c r="S81" s="367" t="s">
        <v>2351</v>
      </c>
      <c r="T81" s="553"/>
      <c r="U81" s="368"/>
      <c r="V81" s="23"/>
      <c r="W81" s="25"/>
      <c r="X81" s="25"/>
    </row>
    <row r="82" spans="1:24" x14ac:dyDescent="0.25">
      <c r="A82" s="724">
        <v>5420</v>
      </c>
      <c r="B82" s="369" t="s">
        <v>753</v>
      </c>
      <c r="C82" s="365">
        <v>1490.81</v>
      </c>
      <c r="D82" s="365">
        <v>1184.98</v>
      </c>
      <c r="E82" s="365"/>
      <c r="F82" s="194"/>
      <c r="G82" s="194"/>
      <c r="H82" s="194"/>
      <c r="I82" s="194"/>
      <c r="J82" s="194"/>
      <c r="K82" s="194"/>
      <c r="L82" s="194"/>
      <c r="O82" s="366">
        <f t="shared" si="14"/>
        <v>5800</v>
      </c>
      <c r="P82" s="393">
        <f t="shared" si="13"/>
        <v>6000</v>
      </c>
      <c r="Q82" s="368">
        <f t="shared" si="5"/>
        <v>200</v>
      </c>
      <c r="R82" s="374">
        <f t="shared" ref="R82:R88" si="16">IF(O82+P82&lt;&gt;0,IF(O82&lt;&gt;0,IF(Q82&lt;&gt;0,ROUND((+Q82/O82),4),""),1),"")</f>
        <v>3.4500000000000003E-2</v>
      </c>
      <c r="S82" s="367"/>
      <c r="T82" s="553"/>
      <c r="U82" s="368"/>
      <c r="V82" s="23"/>
      <c r="W82" s="25"/>
      <c r="X82" s="25"/>
    </row>
    <row r="83" spans="1:24" x14ac:dyDescent="0.25">
      <c r="A83" s="724">
        <v>5430</v>
      </c>
      <c r="B83" s="369" t="s">
        <v>921</v>
      </c>
      <c r="C83" s="365"/>
      <c r="D83" s="365"/>
      <c r="E83" s="365"/>
      <c r="F83" s="194"/>
      <c r="G83" s="194"/>
      <c r="H83" s="194"/>
      <c r="I83" s="194"/>
      <c r="J83" s="194"/>
      <c r="K83" s="194"/>
      <c r="L83" s="194"/>
      <c r="O83" s="366">
        <f t="shared" si="14"/>
        <v>900</v>
      </c>
      <c r="P83" s="393">
        <f t="shared" si="13"/>
        <v>1300</v>
      </c>
      <c r="Q83" s="368">
        <f t="shared" si="5"/>
        <v>400</v>
      </c>
      <c r="R83" s="374">
        <f t="shared" si="16"/>
        <v>0.44440000000000002</v>
      </c>
      <c r="S83" s="367" t="s">
        <v>2343</v>
      </c>
      <c r="T83" s="553"/>
      <c r="U83" s="368"/>
      <c r="V83" s="23"/>
      <c r="W83" s="25"/>
      <c r="X83" s="25"/>
    </row>
    <row r="84" spans="1:24" x14ac:dyDescent="0.25">
      <c r="A84" s="724">
        <v>5581</v>
      </c>
      <c r="B84" s="369" t="s">
        <v>755</v>
      </c>
      <c r="C84" s="365"/>
      <c r="D84" s="365">
        <v>88.4</v>
      </c>
      <c r="E84" s="365"/>
      <c r="F84" s="194"/>
      <c r="G84" s="194"/>
      <c r="H84" s="194"/>
      <c r="I84" s="194"/>
      <c r="J84" s="194"/>
      <c r="K84" s="194"/>
      <c r="L84" s="194"/>
      <c r="O84" s="366">
        <f t="shared" si="14"/>
        <v>275</v>
      </c>
      <c r="P84" s="393">
        <f t="shared" si="13"/>
        <v>200</v>
      </c>
      <c r="Q84" s="368">
        <f t="shared" si="5"/>
        <v>-75</v>
      </c>
      <c r="R84" s="374">
        <f t="shared" si="16"/>
        <v>-0.2727</v>
      </c>
      <c r="S84" s="367"/>
      <c r="T84" s="553"/>
      <c r="U84" s="368"/>
      <c r="V84" s="23"/>
      <c r="W84" s="4"/>
      <c r="X84" s="4"/>
    </row>
    <row r="85" spans="1:24" x14ac:dyDescent="0.25">
      <c r="A85" s="724">
        <v>5599</v>
      </c>
      <c r="B85" s="369" t="s">
        <v>922</v>
      </c>
      <c r="C85" s="365"/>
      <c r="D85" s="365">
        <v>1700</v>
      </c>
      <c r="E85" s="365"/>
      <c r="F85" s="194"/>
      <c r="G85" s="194"/>
      <c r="H85" s="194"/>
      <c r="I85" s="194"/>
      <c r="J85" s="194"/>
      <c r="K85" s="194"/>
      <c r="L85" s="194"/>
      <c r="O85" s="366">
        <f t="shared" si="14"/>
        <v>4250</v>
      </c>
      <c r="P85" s="393">
        <f t="shared" si="13"/>
        <v>0</v>
      </c>
      <c r="Q85" s="368">
        <f t="shared" si="5"/>
        <v>-4250</v>
      </c>
      <c r="R85" s="374">
        <f t="shared" si="16"/>
        <v>-1</v>
      </c>
      <c r="S85" s="367" t="s">
        <v>2344</v>
      </c>
      <c r="T85" s="553"/>
      <c r="U85" s="368"/>
      <c r="V85" s="23"/>
      <c r="W85" s="4"/>
      <c r="X85" s="4"/>
    </row>
    <row r="86" spans="1:24" x14ac:dyDescent="0.25">
      <c r="A86" s="724">
        <v>5710</v>
      </c>
      <c r="B86" s="369" t="s">
        <v>758</v>
      </c>
      <c r="C86" s="365">
        <v>663.46</v>
      </c>
      <c r="D86" s="365">
        <v>859.2</v>
      </c>
      <c r="E86" s="365"/>
      <c r="F86" s="194"/>
      <c r="G86" s="194"/>
      <c r="H86" s="194"/>
      <c r="I86" s="194"/>
      <c r="J86" s="194"/>
      <c r="K86" s="194"/>
      <c r="L86" s="194"/>
      <c r="O86" s="366">
        <f t="shared" si="14"/>
        <v>2000</v>
      </c>
      <c r="P86" s="393">
        <f t="shared" si="13"/>
        <v>2200</v>
      </c>
      <c r="Q86" s="368">
        <f t="shared" si="5"/>
        <v>200</v>
      </c>
      <c r="R86" s="374">
        <f t="shared" si="16"/>
        <v>0.1</v>
      </c>
      <c r="S86" s="367" t="s">
        <v>2345</v>
      </c>
      <c r="T86" s="553"/>
      <c r="U86" s="368"/>
      <c r="V86" s="23"/>
      <c r="W86" s="4"/>
      <c r="X86" s="4"/>
    </row>
    <row r="87" spans="1:24" x14ac:dyDescent="0.25">
      <c r="A87" s="724">
        <v>5730</v>
      </c>
      <c r="B87" s="369" t="s">
        <v>759</v>
      </c>
      <c r="C87" s="373">
        <v>110</v>
      </c>
      <c r="D87" s="373">
        <v>110</v>
      </c>
      <c r="E87" s="373"/>
      <c r="F87" s="194"/>
      <c r="G87" s="194"/>
      <c r="H87" s="194"/>
      <c r="I87" s="194"/>
      <c r="J87" s="194"/>
      <c r="K87" s="194"/>
      <c r="L87" s="194"/>
      <c r="O87" s="366">
        <f t="shared" si="14"/>
        <v>110</v>
      </c>
      <c r="P87" s="393">
        <f t="shared" si="13"/>
        <v>200</v>
      </c>
      <c r="Q87" s="368">
        <f t="shared" si="5"/>
        <v>90</v>
      </c>
      <c r="R87" s="374">
        <f t="shared" si="16"/>
        <v>0.81820000000000004</v>
      </c>
      <c r="S87" s="367" t="s">
        <v>2346</v>
      </c>
      <c r="T87" s="553"/>
      <c r="U87" s="368"/>
      <c r="V87" s="23"/>
      <c r="W87" s="4"/>
      <c r="X87" s="4"/>
    </row>
    <row r="88" spans="1:24" ht="13.8" thickBot="1" x14ac:dyDescent="0.3">
      <c r="A88" s="724">
        <v>5740</v>
      </c>
      <c r="B88" s="369" t="s">
        <v>861</v>
      </c>
      <c r="C88" s="371">
        <v>200</v>
      </c>
      <c r="D88" s="371">
        <v>200</v>
      </c>
      <c r="E88" s="371"/>
      <c r="F88" s="194"/>
      <c r="G88" s="194"/>
      <c r="H88" s="194"/>
      <c r="I88" s="194"/>
      <c r="J88" s="194"/>
      <c r="K88" s="194"/>
      <c r="L88" s="194"/>
      <c r="O88" s="366">
        <f t="shared" si="14"/>
        <v>200</v>
      </c>
      <c r="P88" s="393">
        <f t="shared" si="13"/>
        <v>250</v>
      </c>
      <c r="Q88" s="368">
        <f t="shared" si="5"/>
        <v>50</v>
      </c>
      <c r="R88" s="374">
        <f t="shared" si="16"/>
        <v>0.25</v>
      </c>
      <c r="S88" s="367" t="s">
        <v>2347</v>
      </c>
      <c r="T88" s="553"/>
      <c r="U88" s="368"/>
      <c r="V88" s="23"/>
      <c r="W88" s="4"/>
      <c r="X88" s="4"/>
    </row>
    <row r="89" spans="1:24" x14ac:dyDescent="0.25">
      <c r="A89" s="703"/>
      <c r="B89" s="4"/>
      <c r="C89" s="23"/>
      <c r="D89" s="23"/>
      <c r="E89" s="23"/>
      <c r="F89" s="23"/>
      <c r="G89" s="23"/>
      <c r="H89" s="194"/>
      <c r="I89" s="194"/>
      <c r="J89" s="194"/>
      <c r="K89" s="194"/>
      <c r="L89" s="194"/>
      <c r="O89" s="23"/>
      <c r="P89" s="23"/>
      <c r="Q89" s="23"/>
      <c r="R89" s="4"/>
      <c r="S89" s="23"/>
      <c r="T89" s="23"/>
      <c r="U89" s="23"/>
      <c r="V89" s="23"/>
      <c r="W89" s="4"/>
      <c r="X89" s="4"/>
    </row>
    <row r="90" spans="1:24" x14ac:dyDescent="0.25">
      <c r="A90" s="703"/>
      <c r="B90" s="4" t="s">
        <v>735</v>
      </c>
      <c r="C90" s="23"/>
      <c r="D90" s="23"/>
      <c r="E90" s="23"/>
      <c r="F90" s="23"/>
      <c r="G90" s="23"/>
      <c r="H90" s="194"/>
      <c r="I90" s="194"/>
      <c r="J90" s="194"/>
      <c r="K90" s="194"/>
      <c r="L90" s="194"/>
      <c r="O90" s="597">
        <f>SUM(O65:O88)</f>
        <v>243041</v>
      </c>
      <c r="P90" s="597">
        <f>SUM(P65:P88)</f>
        <v>237224</v>
      </c>
      <c r="Q90" s="25">
        <f>+P90-O90</f>
        <v>-5817</v>
      </c>
      <c r="R90" s="598">
        <f>IF(O90+P90&lt;&gt;0,IF(O90&lt;&gt;0,IF(Q90&lt;&gt;0,ROUND((+Q90/O90),4),""),1),"")</f>
        <v>-2.3900000000000001E-2</v>
      </c>
      <c r="S90" s="23"/>
      <c r="T90" s="23"/>
      <c r="U90" s="23"/>
      <c r="V90" s="23"/>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23"/>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23"/>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23"/>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23"/>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23"/>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23"/>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23"/>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23"/>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23"/>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23"/>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23"/>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23"/>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23"/>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23"/>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23"/>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23"/>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23"/>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23"/>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23"/>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23"/>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23"/>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23"/>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23"/>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23"/>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23"/>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23"/>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23"/>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23"/>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23"/>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23"/>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23"/>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23"/>
      <c r="W122" s="4"/>
      <c r="X122" s="4"/>
    </row>
    <row r="123" spans="1:24" x14ac:dyDescent="0.25">
      <c r="A123" s="703"/>
      <c r="B123" s="4"/>
      <c r="C123" s="23"/>
      <c r="D123" s="23"/>
      <c r="E123" s="23"/>
      <c r="F123" s="23"/>
      <c r="G123" s="23"/>
      <c r="H123" s="23"/>
      <c r="I123" s="23"/>
      <c r="J123" s="23"/>
      <c r="K123" s="23"/>
      <c r="L123" s="23"/>
      <c r="M123" s="23"/>
      <c r="N123" s="23"/>
      <c r="O123" s="23"/>
      <c r="P123" s="23"/>
      <c r="Q123" s="23"/>
      <c r="R123" s="4"/>
      <c r="S123" s="23"/>
      <c r="T123" s="23"/>
      <c r="U123" s="23"/>
      <c r="V123" s="23"/>
      <c r="W123" s="4"/>
      <c r="X123" s="4"/>
    </row>
    <row r="124" spans="1:24" x14ac:dyDescent="0.25">
      <c r="A124" s="703"/>
      <c r="B124" s="4"/>
      <c r="C124" s="23"/>
      <c r="D124" s="23"/>
      <c r="E124" s="23"/>
      <c r="F124" s="23"/>
      <c r="G124" s="23"/>
      <c r="H124" s="23"/>
      <c r="I124" s="23"/>
      <c r="J124" s="23"/>
      <c r="K124" s="23"/>
      <c r="L124" s="23"/>
      <c r="M124" s="23"/>
      <c r="N124" s="23"/>
      <c r="O124" s="23"/>
      <c r="P124" s="23"/>
      <c r="Q124" s="23"/>
      <c r="R124" s="4"/>
      <c r="S124" s="23"/>
      <c r="T124" s="23"/>
      <c r="U124" s="23"/>
      <c r="V124" s="23"/>
      <c r="W124" s="4"/>
      <c r="X124" s="4"/>
    </row>
    <row r="125" spans="1:24" x14ac:dyDescent="0.25">
      <c r="A125" s="703"/>
      <c r="B125" s="4"/>
      <c r="C125" s="23"/>
      <c r="D125" s="23"/>
      <c r="E125" s="23"/>
      <c r="F125" s="23"/>
      <c r="G125" s="23"/>
      <c r="H125" s="23"/>
      <c r="I125" s="23"/>
      <c r="J125" s="23"/>
      <c r="K125" s="23"/>
      <c r="L125" s="23"/>
      <c r="M125" s="23"/>
      <c r="N125" s="23"/>
      <c r="O125" s="23"/>
      <c r="P125" s="23"/>
      <c r="Q125" s="23"/>
      <c r="R125" s="4"/>
      <c r="S125" s="23"/>
      <c r="T125" s="23"/>
      <c r="U125" s="23"/>
      <c r="V125" s="23"/>
      <c r="W125" s="4"/>
      <c r="X125" s="4"/>
    </row>
    <row r="126" spans="1:24" x14ac:dyDescent="0.25">
      <c r="A126" s="703"/>
      <c r="B126" s="4"/>
      <c r="C126" s="23"/>
      <c r="D126" s="23"/>
      <c r="E126" s="23"/>
      <c r="F126" s="23"/>
      <c r="G126" s="23"/>
      <c r="H126" s="23"/>
      <c r="I126" s="23"/>
      <c r="J126" s="23"/>
      <c r="K126" s="23"/>
      <c r="L126" s="23"/>
      <c r="M126" s="23"/>
      <c r="N126" s="23"/>
      <c r="O126" s="23"/>
      <c r="P126" s="23"/>
      <c r="Q126" s="23"/>
      <c r="R126" s="4"/>
      <c r="S126" s="23"/>
      <c r="T126" s="23"/>
      <c r="U126" s="23"/>
      <c r="V126" s="23"/>
      <c r="W126" s="4"/>
      <c r="X126" s="4"/>
    </row>
    <row r="127" spans="1:24" x14ac:dyDescent="0.25">
      <c r="A127" s="703"/>
      <c r="B127" s="4"/>
      <c r="C127" s="23"/>
      <c r="D127" s="23"/>
      <c r="E127" s="23"/>
      <c r="F127" s="23"/>
      <c r="G127" s="23"/>
      <c r="H127" s="23"/>
      <c r="I127" s="23"/>
      <c r="J127" s="23"/>
      <c r="K127" s="23"/>
      <c r="L127" s="23"/>
      <c r="M127" s="23"/>
      <c r="N127" s="23"/>
      <c r="O127" s="23"/>
      <c r="P127" s="23"/>
      <c r="Q127" s="23"/>
      <c r="R127" s="4"/>
      <c r="S127" s="23"/>
      <c r="T127" s="23"/>
      <c r="U127" s="23"/>
      <c r="V127" s="23"/>
      <c r="W127" s="4"/>
      <c r="X127" s="4"/>
    </row>
    <row r="128" spans="1:24" x14ac:dyDescent="0.25">
      <c r="A128" s="703"/>
      <c r="B128" s="4"/>
      <c r="C128" s="23"/>
      <c r="D128" s="23"/>
      <c r="E128" s="23"/>
      <c r="F128" s="23"/>
      <c r="G128" s="23"/>
      <c r="H128" s="23"/>
      <c r="I128" s="23"/>
      <c r="J128" s="23"/>
      <c r="K128" s="23"/>
      <c r="L128" s="23"/>
      <c r="M128" s="23"/>
      <c r="N128" s="23"/>
      <c r="O128" s="23"/>
      <c r="P128" s="23"/>
      <c r="Q128" s="23"/>
      <c r="R128" s="4"/>
      <c r="S128" s="23"/>
      <c r="T128" s="23"/>
      <c r="U128" s="23"/>
      <c r="V128" s="23"/>
      <c r="W128" s="4"/>
      <c r="X128" s="4"/>
    </row>
    <row r="129" spans="1:24" x14ac:dyDescent="0.25">
      <c r="A129" s="703"/>
      <c r="B129" s="4"/>
      <c r="C129" s="23"/>
      <c r="D129" s="23"/>
      <c r="E129" s="23"/>
      <c r="F129" s="23"/>
      <c r="G129" s="23"/>
      <c r="H129" s="23"/>
      <c r="I129" s="23"/>
      <c r="J129" s="23"/>
      <c r="K129" s="23"/>
      <c r="L129" s="23"/>
      <c r="M129" s="23"/>
      <c r="N129" s="23"/>
      <c r="O129" s="23"/>
      <c r="P129" s="23"/>
      <c r="Q129" s="23"/>
      <c r="R129" s="4"/>
      <c r="S129" s="23"/>
      <c r="T129" s="23"/>
      <c r="U129" s="23"/>
      <c r="V129" s="23"/>
      <c r="W129" s="4"/>
      <c r="X129" s="4"/>
    </row>
    <row r="130" spans="1:24" x14ac:dyDescent="0.25">
      <c r="A130" s="703"/>
      <c r="B130" s="4"/>
      <c r="C130" s="23"/>
      <c r="D130" s="23"/>
      <c r="E130" s="23"/>
      <c r="F130" s="23"/>
      <c r="G130" s="23"/>
      <c r="H130" s="23"/>
      <c r="I130" s="23"/>
      <c r="J130" s="23"/>
      <c r="K130" s="23"/>
      <c r="L130" s="23"/>
      <c r="M130" s="23"/>
      <c r="N130" s="23"/>
      <c r="O130" s="23"/>
      <c r="P130" s="23"/>
      <c r="Q130" s="23"/>
      <c r="R130" s="4"/>
      <c r="S130" s="23"/>
      <c r="T130" s="23"/>
      <c r="U130" s="23"/>
      <c r="V130" s="23"/>
      <c r="W130" s="4"/>
      <c r="X130" s="4"/>
    </row>
    <row r="131" spans="1:24" x14ac:dyDescent="0.25">
      <c r="A131" s="703"/>
      <c r="B131" s="4"/>
      <c r="C131" s="23"/>
      <c r="D131" s="23"/>
      <c r="E131" s="23"/>
      <c r="F131" s="23"/>
      <c r="G131" s="23"/>
      <c r="H131" s="23"/>
      <c r="I131" s="23"/>
      <c r="J131" s="23"/>
      <c r="K131" s="23"/>
      <c r="L131" s="23"/>
      <c r="M131" s="23"/>
      <c r="N131" s="23"/>
      <c r="O131" s="23"/>
      <c r="P131" s="23"/>
      <c r="Q131" s="23"/>
      <c r="R131" s="4"/>
      <c r="S131" s="23"/>
      <c r="T131" s="23"/>
      <c r="U131" s="23"/>
      <c r="V131" s="23"/>
      <c r="W131" s="4"/>
      <c r="X131" s="4"/>
    </row>
    <row r="132" spans="1:24" x14ac:dyDescent="0.25">
      <c r="A132" s="703"/>
      <c r="B132" s="4"/>
      <c r="C132" s="23"/>
      <c r="D132" s="23"/>
      <c r="E132" s="23"/>
      <c r="F132" s="23"/>
      <c r="G132" s="23"/>
      <c r="H132" s="23"/>
      <c r="I132" s="23"/>
      <c r="J132" s="23"/>
      <c r="K132" s="23"/>
      <c r="L132" s="23"/>
      <c r="M132" s="23"/>
      <c r="N132" s="23"/>
      <c r="O132" s="23"/>
      <c r="P132" s="23"/>
      <c r="Q132" s="23"/>
      <c r="R132" s="4"/>
      <c r="S132" s="23"/>
      <c r="T132" s="23"/>
      <c r="U132" s="23"/>
      <c r="V132" s="23"/>
      <c r="W132" s="4"/>
      <c r="X132" s="4"/>
    </row>
    <row r="133" spans="1:24" x14ac:dyDescent="0.25">
      <c r="A133" s="703"/>
      <c r="B133" s="4"/>
      <c r="C133" s="23"/>
      <c r="D133" s="23"/>
      <c r="E133" s="23"/>
      <c r="F133" s="23"/>
      <c r="G133" s="23"/>
      <c r="H133" s="23"/>
      <c r="I133" s="23"/>
      <c r="J133" s="23"/>
      <c r="K133" s="23"/>
      <c r="L133" s="23"/>
      <c r="M133" s="23"/>
      <c r="N133" s="23"/>
      <c r="O133" s="23"/>
      <c r="P133" s="23"/>
      <c r="Q133" s="23"/>
      <c r="R133" s="4"/>
      <c r="S133" s="23"/>
      <c r="T133" s="23"/>
      <c r="U133" s="23"/>
      <c r="V133" s="23"/>
      <c r="W133" s="4"/>
      <c r="X133" s="4"/>
    </row>
    <row r="134" spans="1:24" x14ac:dyDescent="0.25">
      <c r="A134" s="703"/>
      <c r="B134" s="4"/>
      <c r="C134" s="23"/>
      <c r="D134" s="23"/>
      <c r="E134" s="23"/>
      <c r="F134" s="23"/>
      <c r="G134" s="23"/>
      <c r="H134" s="23"/>
      <c r="I134" s="23"/>
      <c r="J134" s="23"/>
      <c r="K134" s="23"/>
      <c r="L134" s="23"/>
      <c r="M134" s="23"/>
      <c r="N134" s="23"/>
      <c r="O134" s="23"/>
      <c r="P134" s="23"/>
      <c r="Q134" s="23"/>
      <c r="R134" s="4"/>
      <c r="S134" s="23"/>
      <c r="T134" s="23"/>
      <c r="U134" s="23"/>
      <c r="V134" s="23"/>
      <c r="W134" s="4"/>
      <c r="X134" s="4"/>
    </row>
    <row r="135" spans="1:24" x14ac:dyDescent="0.25">
      <c r="A135" s="703"/>
      <c r="B135" s="4"/>
      <c r="C135" s="23"/>
      <c r="D135" s="23"/>
      <c r="E135" s="23"/>
      <c r="F135" s="23"/>
      <c r="G135" s="23"/>
      <c r="H135" s="23"/>
      <c r="I135" s="23"/>
      <c r="J135" s="23"/>
      <c r="K135" s="23"/>
      <c r="L135" s="23"/>
      <c r="M135" s="23"/>
      <c r="N135" s="23"/>
      <c r="O135" s="23"/>
      <c r="P135" s="23"/>
      <c r="Q135" s="23"/>
      <c r="R135" s="4"/>
      <c r="S135" s="23"/>
      <c r="T135" s="23"/>
      <c r="U135" s="23"/>
      <c r="V135" s="23"/>
      <c r="W135" s="4"/>
      <c r="X135" s="4"/>
    </row>
    <row r="136" spans="1:24" x14ac:dyDescent="0.25">
      <c r="A136" s="703"/>
      <c r="B136" s="4"/>
      <c r="C136" s="23"/>
      <c r="D136" s="23"/>
      <c r="E136" s="23"/>
      <c r="F136" s="23"/>
      <c r="G136" s="23"/>
      <c r="H136" s="23"/>
      <c r="I136" s="23"/>
      <c r="J136" s="23"/>
      <c r="K136" s="23"/>
      <c r="L136" s="23"/>
      <c r="M136" s="23"/>
      <c r="N136" s="23"/>
      <c r="O136" s="23"/>
      <c r="P136" s="23"/>
      <c r="Q136" s="23"/>
      <c r="R136" s="4"/>
      <c r="S136" s="23"/>
      <c r="T136" s="23"/>
      <c r="U136" s="23"/>
      <c r="V136" s="23"/>
      <c r="W136" s="4"/>
      <c r="X136" s="4"/>
    </row>
    <row r="137" spans="1:24" x14ac:dyDescent="0.25">
      <c r="A137" s="703"/>
      <c r="C137" s="194"/>
      <c r="D137" s="194"/>
      <c r="E137" s="194"/>
      <c r="F137" s="194"/>
      <c r="G137" s="194"/>
      <c r="H137" s="194"/>
      <c r="I137" s="194"/>
      <c r="J137" s="194"/>
      <c r="K137" s="194"/>
      <c r="L137" s="194"/>
      <c r="M137" s="194"/>
      <c r="N137" s="194"/>
      <c r="O137" s="194"/>
      <c r="P137" s="194"/>
      <c r="Q137" s="194"/>
    </row>
    <row r="138" spans="1:24" x14ac:dyDescent="0.25">
      <c r="C138" s="194"/>
      <c r="D138" s="194"/>
      <c r="E138" s="194"/>
      <c r="F138" s="194"/>
      <c r="G138" s="194"/>
      <c r="H138" s="194"/>
      <c r="I138" s="194"/>
      <c r="J138" s="194"/>
      <c r="K138" s="194"/>
      <c r="L138" s="194"/>
      <c r="M138" s="194"/>
      <c r="N138" s="194"/>
      <c r="O138" s="194"/>
      <c r="P138" s="194"/>
      <c r="Q138" s="194"/>
    </row>
    <row r="139" spans="1:24" x14ac:dyDescent="0.25">
      <c r="C139" s="194"/>
    </row>
    <row r="140" spans="1:24" x14ac:dyDescent="0.25">
      <c r="C140" s="194"/>
    </row>
    <row r="141" spans="1:24" x14ac:dyDescent="0.25">
      <c r="C141" s="194"/>
    </row>
    <row r="142" spans="1:24" x14ac:dyDescent="0.25">
      <c r="C142" s="194"/>
    </row>
    <row r="143" spans="1:24" x14ac:dyDescent="0.25">
      <c r="C143" s="194"/>
    </row>
    <row r="144" spans="1:24"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row r="180" spans="3:3" x14ac:dyDescent="0.25">
      <c r="C180" s="194"/>
    </row>
    <row r="181" spans="3:3" x14ac:dyDescent="0.25">
      <c r="C181" s="194"/>
    </row>
    <row r="182" spans="3:3" x14ac:dyDescent="0.25">
      <c r="C182" s="194"/>
    </row>
    <row r="183" spans="3:3" x14ac:dyDescent="0.25">
      <c r="C183" s="194"/>
    </row>
    <row r="184" spans="3:3" x14ac:dyDescent="0.25">
      <c r="C184" s="194"/>
    </row>
    <row r="185" spans="3:3" x14ac:dyDescent="0.25">
      <c r="C185" s="194"/>
    </row>
    <row r="186" spans="3:3" x14ac:dyDescent="0.25">
      <c r="C186" s="194"/>
    </row>
    <row r="187" spans="3:3" x14ac:dyDescent="0.25">
      <c r="C187" s="194"/>
    </row>
    <row r="188" spans="3:3" x14ac:dyDescent="0.25">
      <c r="C188" s="194"/>
    </row>
    <row r="189" spans="3:3" x14ac:dyDescent="0.25">
      <c r="C189" s="194"/>
    </row>
    <row r="190" spans="3:3" x14ac:dyDescent="0.25">
      <c r="C190" s="194"/>
    </row>
  </sheetData>
  <phoneticPr fontId="0" type="noConversion"/>
  <hyperlinks>
    <hyperlink ref="A1" location="'Working Budget with funding det'!A1" display="Main " xr:uid="{00000000-0004-0000-1400-000000000000}"/>
    <hyperlink ref="B1" location="'Table of Contents'!A1" display="TOC" xr:uid="{00000000-0004-0000-1400-000001000000}"/>
  </hyperlinks>
  <pageMargins left="0.75" right="0.75" top="1" bottom="1" header="0.5" footer="0.5"/>
  <pageSetup scale="88" fitToHeight="2" orientation="landscape" r:id="rId1"/>
  <headerFooter alignWithMargins="0">
    <oddFooter>&amp;L&amp;D     &amp;T&amp;C&amp;F&amp;R&amp;A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Z163"/>
  <sheetViews>
    <sheetView zoomScaleNormal="100" workbookViewId="0">
      <pane ySplit="7" topLeftCell="A17" activePane="bottomLeft" state="frozen"/>
      <selection activeCell="S36" sqref="S36"/>
      <selection pane="bottomLeft" activeCell="R30" sqref="R30"/>
    </sheetView>
  </sheetViews>
  <sheetFormatPr defaultRowHeight="13.2" x14ac:dyDescent="0.25"/>
  <cols>
    <col min="1" max="1" width="11.7773437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 min="23" max="25" width="14.44140625" customWidth="1"/>
    <col min="26" max="26" width="14.6640625" style="2" customWidth="1"/>
  </cols>
  <sheetData>
    <row r="1" spans="1:25" x14ac:dyDescent="0.25">
      <c r="A1" s="701" t="s">
        <v>736</v>
      </c>
      <c r="B1" s="290" t="s">
        <v>194</v>
      </c>
      <c r="D1" s="194"/>
      <c r="E1" s="194"/>
      <c r="F1" s="194"/>
      <c r="G1" s="194"/>
      <c r="H1" s="194"/>
      <c r="I1" s="194"/>
      <c r="J1" s="194"/>
      <c r="K1" s="194"/>
      <c r="L1" s="194"/>
      <c r="M1" s="194"/>
      <c r="N1" s="194"/>
      <c r="O1" s="194"/>
      <c r="P1" s="194"/>
      <c r="Q1" s="194"/>
      <c r="V1"/>
    </row>
    <row r="2" spans="1:25" ht="13.8" x14ac:dyDescent="0.25">
      <c r="A2" s="702" t="s">
        <v>705</v>
      </c>
      <c r="B2" s="43"/>
      <c r="D2" s="194"/>
      <c r="E2" s="125"/>
      <c r="F2" s="194"/>
      <c r="G2" s="194"/>
      <c r="H2" s="194"/>
      <c r="I2" s="125" t="s">
        <v>706</v>
      </c>
      <c r="J2" s="125"/>
      <c r="K2" s="125"/>
      <c r="L2" s="125"/>
      <c r="M2" s="125"/>
      <c r="N2" s="125"/>
      <c r="O2" s="125"/>
      <c r="P2" s="125"/>
      <c r="Q2" s="125"/>
      <c r="R2" s="58" t="s">
        <v>929</v>
      </c>
      <c r="U2" s="44" t="s">
        <v>930</v>
      </c>
    </row>
    <row r="3" spans="1:25" ht="13.8" thickBot="1" x14ac:dyDescent="0.3">
      <c r="A3" s="703"/>
      <c r="B3" s="4"/>
      <c r="C3" s="23"/>
      <c r="D3" s="23"/>
      <c r="E3" s="23"/>
      <c r="F3" s="23"/>
      <c r="G3" s="23"/>
      <c r="H3" s="23"/>
      <c r="I3" s="23"/>
      <c r="J3" s="23"/>
      <c r="K3" s="23"/>
      <c r="L3" s="23"/>
      <c r="M3" s="23"/>
      <c r="N3" s="23"/>
      <c r="O3" s="23"/>
      <c r="P3" s="23"/>
      <c r="Q3" s="23"/>
      <c r="R3" s="4"/>
      <c r="S3" s="23"/>
      <c r="T3" s="23"/>
      <c r="U3" s="4"/>
      <c r="V3" s="4"/>
      <c r="Y3" s="4"/>
    </row>
    <row r="4" spans="1:25"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5"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5"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5"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5" ht="13.8" thickTop="1" x14ac:dyDescent="0.25">
      <c r="A8" s="707"/>
      <c r="B8" s="156"/>
      <c r="C8" s="114"/>
      <c r="D8" s="250"/>
      <c r="E8" s="250"/>
      <c r="F8" s="250"/>
      <c r="G8" s="250"/>
      <c r="H8" s="250"/>
      <c r="I8" s="250"/>
      <c r="J8" s="250"/>
      <c r="K8" s="145"/>
      <c r="L8" s="145"/>
      <c r="M8" s="145"/>
      <c r="N8" s="145"/>
      <c r="O8" s="145"/>
      <c r="P8" s="145"/>
      <c r="Q8" s="145"/>
      <c r="R8" s="59"/>
      <c r="S8" s="10"/>
      <c r="T8" s="10"/>
      <c r="U8" s="10"/>
    </row>
    <row r="9" spans="1:25" x14ac:dyDescent="0.25">
      <c r="A9" s="708">
        <v>5111</v>
      </c>
      <c r="B9" s="60" t="s">
        <v>738</v>
      </c>
      <c r="C9" s="115">
        <v>47211.5</v>
      </c>
      <c r="D9" s="28">
        <v>54648</v>
      </c>
      <c r="E9" s="28">
        <v>56574</v>
      </c>
      <c r="F9" s="28">
        <v>58569</v>
      </c>
      <c r="G9" s="28">
        <v>60633</v>
      </c>
      <c r="H9" s="28">
        <v>63080</v>
      </c>
      <c r="I9" s="28">
        <v>65951</v>
      </c>
      <c r="J9" s="28">
        <v>67944</v>
      </c>
      <c r="K9" s="29">
        <v>113037</v>
      </c>
      <c r="L9" s="28">
        <v>110763.68</v>
      </c>
      <c r="M9" s="29">
        <v>114971</v>
      </c>
      <c r="N9" s="28">
        <v>114970.93</v>
      </c>
      <c r="O9" s="29">
        <v>117307</v>
      </c>
      <c r="P9" s="28">
        <v>100379.99</v>
      </c>
      <c r="Q9" s="29">
        <v>124979</v>
      </c>
      <c r="R9" s="28">
        <v>60085.99</v>
      </c>
      <c r="S9" s="29">
        <f>ROUND((+R38+R39),0)</f>
        <v>131288</v>
      </c>
      <c r="T9" s="29"/>
      <c r="U9" s="29"/>
    </row>
    <row r="10" spans="1:25" x14ac:dyDescent="0.25">
      <c r="A10" s="708">
        <v>5113</v>
      </c>
      <c r="B10" s="60" t="s">
        <v>739</v>
      </c>
      <c r="C10" s="115">
        <v>12608.24</v>
      </c>
      <c r="D10" s="13">
        <v>14529.42</v>
      </c>
      <c r="E10" s="13">
        <v>15036.46</v>
      </c>
      <c r="F10" s="13">
        <v>15806.8</v>
      </c>
      <c r="G10" s="13">
        <v>15361.4</v>
      </c>
      <c r="H10" s="13">
        <v>16774.490000000002</v>
      </c>
      <c r="I10" s="13">
        <v>42298.21</v>
      </c>
      <c r="J10" s="13">
        <v>39466.89</v>
      </c>
      <c r="K10" s="14">
        <v>0</v>
      </c>
      <c r="L10" s="13"/>
      <c r="M10" s="14"/>
      <c r="N10" s="13"/>
      <c r="O10" s="14"/>
      <c r="P10" s="13"/>
      <c r="Q10" s="14"/>
      <c r="R10" s="13"/>
      <c r="S10" s="14"/>
      <c r="T10" s="14"/>
      <c r="U10" s="14"/>
    </row>
    <row r="11" spans="1:25" ht="13.8" thickBot="1" x14ac:dyDescent="0.3">
      <c r="A11" s="708">
        <v>5144</v>
      </c>
      <c r="B11" s="60" t="s">
        <v>27</v>
      </c>
      <c r="C11" s="116"/>
      <c r="D11" s="15"/>
      <c r="E11" s="15"/>
      <c r="F11" s="15"/>
      <c r="G11" s="15">
        <v>450</v>
      </c>
      <c r="H11" s="15">
        <v>450</v>
      </c>
      <c r="I11" s="15">
        <v>450</v>
      </c>
      <c r="J11" s="15">
        <v>500</v>
      </c>
      <c r="K11" s="14">
        <v>500</v>
      </c>
      <c r="L11" s="13">
        <v>500</v>
      </c>
      <c r="M11" s="14">
        <v>500</v>
      </c>
      <c r="N11" s="13">
        <v>500</v>
      </c>
      <c r="O11" s="14">
        <v>500</v>
      </c>
      <c r="P11" s="13"/>
      <c r="Q11" s="14">
        <v>300</v>
      </c>
      <c r="R11" s="13">
        <v>300</v>
      </c>
      <c r="S11" s="14">
        <f>+V40</f>
        <v>300</v>
      </c>
      <c r="T11" s="14"/>
      <c r="U11" s="14"/>
    </row>
    <row r="12" spans="1:25" ht="13.8" thickBot="1" x14ac:dyDescent="0.3">
      <c r="A12" s="708">
        <v>5145</v>
      </c>
      <c r="B12" s="60" t="s">
        <v>744</v>
      </c>
      <c r="C12" s="572"/>
      <c r="D12" s="28"/>
      <c r="E12" s="28"/>
      <c r="F12" s="28"/>
      <c r="G12" s="28"/>
      <c r="H12" s="28"/>
      <c r="I12" s="28"/>
      <c r="J12" s="28"/>
      <c r="K12" s="849"/>
      <c r="L12" s="850"/>
      <c r="M12" s="849"/>
      <c r="N12" s="850">
        <v>190.41</v>
      </c>
      <c r="O12" s="849">
        <v>300</v>
      </c>
      <c r="P12" s="850">
        <v>225.03</v>
      </c>
      <c r="Q12" s="849">
        <v>300</v>
      </c>
      <c r="R12" s="850">
        <v>144.25</v>
      </c>
      <c r="S12" s="849">
        <v>300</v>
      </c>
      <c r="T12" s="849"/>
      <c r="U12" s="849"/>
    </row>
    <row r="13" spans="1:25" ht="13.8" thickTop="1" x14ac:dyDescent="0.25">
      <c r="A13" s="708"/>
      <c r="B13" s="61" t="s">
        <v>718</v>
      </c>
      <c r="C13" s="117">
        <f t="shared" ref="C13:U13" si="0">SUM(C9:C11)</f>
        <v>59819.74</v>
      </c>
      <c r="D13" s="18">
        <f t="shared" si="0"/>
        <v>69177.42</v>
      </c>
      <c r="E13" s="18">
        <f t="shared" si="0"/>
        <v>71610.459999999992</v>
      </c>
      <c r="F13" s="18">
        <f t="shared" si="0"/>
        <v>74375.8</v>
      </c>
      <c r="G13" s="18">
        <f t="shared" si="0"/>
        <v>76444.399999999994</v>
      </c>
      <c r="H13" s="18">
        <f t="shared" si="0"/>
        <v>80304.490000000005</v>
      </c>
      <c r="I13" s="18">
        <f t="shared" si="0"/>
        <v>108699.20999999999</v>
      </c>
      <c r="J13" s="18">
        <f t="shared" si="0"/>
        <v>107910.89</v>
      </c>
      <c r="K13" s="19">
        <f>SUM(K9:K11)</f>
        <v>113537</v>
      </c>
      <c r="L13" s="18">
        <f t="shared" ref="L13:M13" si="1">SUM(L9:L11)</f>
        <v>111263.67999999999</v>
      </c>
      <c r="M13" s="19">
        <f t="shared" si="1"/>
        <v>115471</v>
      </c>
      <c r="N13" s="18">
        <f t="shared" ref="N13:S13" si="2">SUM(N9:N12)</f>
        <v>115661.34</v>
      </c>
      <c r="O13" s="19">
        <f t="shared" si="2"/>
        <v>118107</v>
      </c>
      <c r="P13" s="18">
        <f t="shared" si="2"/>
        <v>100605.02</v>
      </c>
      <c r="Q13" s="19">
        <f t="shared" si="2"/>
        <v>125579</v>
      </c>
      <c r="R13" s="18">
        <f t="shared" si="2"/>
        <v>60530.239999999998</v>
      </c>
      <c r="S13" s="19">
        <f t="shared" si="2"/>
        <v>131888</v>
      </c>
      <c r="T13" s="19"/>
      <c r="U13" s="19">
        <f t="shared" si="0"/>
        <v>0</v>
      </c>
    </row>
    <row r="14" spans="1:25" x14ac:dyDescent="0.25">
      <c r="A14" s="708"/>
      <c r="B14" s="60"/>
      <c r="C14" s="115"/>
      <c r="D14" s="13"/>
      <c r="E14" s="13"/>
      <c r="F14" s="13"/>
      <c r="G14" s="13"/>
      <c r="H14" s="13"/>
      <c r="I14" s="13"/>
      <c r="J14" s="13"/>
      <c r="K14" s="14"/>
      <c r="L14" s="13"/>
      <c r="M14" s="14"/>
      <c r="N14" s="13"/>
      <c r="O14" s="14"/>
      <c r="P14" s="13"/>
      <c r="Q14" s="14"/>
      <c r="R14" s="13"/>
      <c r="S14" s="14"/>
      <c r="T14" s="14"/>
      <c r="U14" s="14"/>
    </row>
    <row r="15" spans="1:25" hidden="1" x14ac:dyDescent="0.25">
      <c r="A15" s="708">
        <v>5247</v>
      </c>
      <c r="B15" s="60" t="s">
        <v>931</v>
      </c>
      <c r="C15" s="115">
        <v>400</v>
      </c>
      <c r="D15" s="13">
        <v>0</v>
      </c>
      <c r="E15" s="13"/>
      <c r="F15" s="13"/>
      <c r="G15" s="13"/>
      <c r="H15" s="13"/>
      <c r="I15" s="13"/>
      <c r="J15" s="13"/>
      <c r="K15" s="14"/>
      <c r="L15" s="13"/>
      <c r="M15" s="14"/>
      <c r="N15" s="13"/>
      <c r="O15" s="14"/>
      <c r="P15" s="13"/>
      <c r="Q15" s="14"/>
      <c r="R15" s="13"/>
      <c r="S15" s="14"/>
      <c r="T15" s="14"/>
      <c r="U15" s="14"/>
    </row>
    <row r="16" spans="1:25" hidden="1" x14ac:dyDescent="0.25">
      <c r="A16" s="708">
        <v>5300</v>
      </c>
      <c r="B16" s="60" t="s">
        <v>932</v>
      </c>
      <c r="C16" s="115"/>
      <c r="D16" s="13"/>
      <c r="E16" s="13"/>
      <c r="F16" s="13"/>
      <c r="G16" s="13">
        <v>4500</v>
      </c>
      <c r="H16" s="13">
        <v>4000</v>
      </c>
      <c r="I16" s="13">
        <v>0</v>
      </c>
      <c r="J16" s="13">
        <v>3400</v>
      </c>
      <c r="K16" s="14"/>
      <c r="L16" s="13"/>
      <c r="M16" s="14"/>
      <c r="N16" s="13"/>
      <c r="O16" s="14"/>
      <c r="P16" s="13"/>
      <c r="Q16" s="14"/>
      <c r="R16" s="13"/>
      <c r="S16" s="14"/>
      <c r="T16" s="14"/>
      <c r="U16" s="14"/>
    </row>
    <row r="17" spans="1:21" x14ac:dyDescent="0.25">
      <c r="A17" s="708">
        <v>5314</v>
      </c>
      <c r="B17" s="60" t="s">
        <v>749</v>
      </c>
      <c r="C17" s="115">
        <v>465</v>
      </c>
      <c r="D17" s="13">
        <v>190</v>
      </c>
      <c r="E17" s="13">
        <v>299</v>
      </c>
      <c r="F17" s="13">
        <v>155</v>
      </c>
      <c r="G17" s="13">
        <v>350</v>
      </c>
      <c r="H17" s="13">
        <v>405.24</v>
      </c>
      <c r="I17" s="13">
        <v>572.36</v>
      </c>
      <c r="J17" s="13">
        <v>1125</v>
      </c>
      <c r="K17" s="14">
        <v>1000</v>
      </c>
      <c r="L17" s="13">
        <v>610</v>
      </c>
      <c r="M17" s="14">
        <v>1000</v>
      </c>
      <c r="N17" s="13">
        <v>122.85</v>
      </c>
      <c r="O17" s="14">
        <v>3550</v>
      </c>
      <c r="P17" s="13">
        <v>2644</v>
      </c>
      <c r="Q17" s="14">
        <v>1500</v>
      </c>
      <c r="R17" s="13">
        <v>458.03</v>
      </c>
      <c r="S17" s="14">
        <v>1500</v>
      </c>
      <c r="T17" s="14"/>
      <c r="U17" s="14"/>
    </row>
    <row r="18" spans="1:21" hidden="1" x14ac:dyDescent="0.25">
      <c r="A18" s="708">
        <v>5341</v>
      </c>
      <c r="B18" s="60" t="s">
        <v>751</v>
      </c>
      <c r="C18" s="115">
        <v>218.95</v>
      </c>
      <c r="D18" s="13">
        <v>207.97</v>
      </c>
      <c r="E18" s="13">
        <v>210.96</v>
      </c>
      <c r="F18" s="13">
        <v>215.83</v>
      </c>
      <c r="G18" s="13">
        <v>247.42</v>
      </c>
      <c r="H18" s="13"/>
      <c r="I18" s="13"/>
      <c r="J18" s="13"/>
      <c r="K18" s="14"/>
      <c r="L18" s="13"/>
      <c r="M18" s="14"/>
      <c r="N18" s="13"/>
      <c r="O18" s="14"/>
      <c r="P18" s="13"/>
      <c r="Q18" s="14"/>
      <c r="R18" s="13"/>
      <c r="S18" s="14"/>
      <c r="T18" s="14"/>
      <c r="U18" s="14"/>
    </row>
    <row r="19" spans="1:21" x14ac:dyDescent="0.25">
      <c r="A19" s="708">
        <v>5320</v>
      </c>
      <c r="B19" s="60" t="s">
        <v>756</v>
      </c>
      <c r="C19" s="115"/>
      <c r="D19" s="13"/>
      <c r="E19" s="13"/>
      <c r="F19" s="13"/>
      <c r="G19" s="13"/>
      <c r="H19" s="13"/>
      <c r="I19" s="13"/>
      <c r="J19" s="13"/>
      <c r="K19" s="14"/>
      <c r="L19" s="13"/>
      <c r="M19" s="14"/>
      <c r="N19" s="13"/>
      <c r="O19" s="14"/>
      <c r="P19" s="13">
        <v>37.18</v>
      </c>
      <c r="Q19" s="14"/>
      <c r="R19" s="13"/>
      <c r="S19" s="14"/>
      <c r="T19" s="14"/>
      <c r="U19" s="14"/>
    </row>
    <row r="20" spans="1:21" x14ac:dyDescent="0.25">
      <c r="A20" s="708">
        <v>5344</v>
      </c>
      <c r="B20" s="60" t="s">
        <v>722</v>
      </c>
      <c r="C20" s="115">
        <v>324.27999999999997</v>
      </c>
      <c r="D20" s="13">
        <v>435.35</v>
      </c>
      <c r="E20" s="13">
        <v>425.43</v>
      </c>
      <c r="F20" s="13">
        <v>462.37</v>
      </c>
      <c r="G20" s="13">
        <v>280.69</v>
      </c>
      <c r="H20" s="13">
        <v>195.02</v>
      </c>
      <c r="I20" s="13">
        <v>278.26</v>
      </c>
      <c r="J20" s="13">
        <v>89.45</v>
      </c>
      <c r="K20" s="14">
        <v>550</v>
      </c>
      <c r="L20" s="13">
        <v>210.81</v>
      </c>
      <c r="M20" s="14">
        <v>550</v>
      </c>
      <c r="N20" s="13">
        <v>155.51</v>
      </c>
      <c r="O20" s="14">
        <v>550</v>
      </c>
      <c r="P20" s="13">
        <v>167.03</v>
      </c>
      <c r="Q20" s="14">
        <v>550</v>
      </c>
      <c r="R20" s="13">
        <v>214.99</v>
      </c>
      <c r="S20" s="14">
        <v>550</v>
      </c>
      <c r="T20" s="14"/>
      <c r="U20" s="14"/>
    </row>
    <row r="21" spans="1:21" x14ac:dyDescent="0.25">
      <c r="A21" s="708">
        <v>5345</v>
      </c>
      <c r="B21" s="12" t="s">
        <v>752</v>
      </c>
      <c r="C21" s="35">
        <v>1089.3399999999999</v>
      </c>
      <c r="D21" s="35">
        <v>1702.95</v>
      </c>
      <c r="E21" s="35">
        <v>1256.99</v>
      </c>
      <c r="F21" s="35">
        <v>1307.4100000000001</v>
      </c>
      <c r="G21" s="35">
        <v>1054.68</v>
      </c>
      <c r="H21" s="35">
        <v>1471.48</v>
      </c>
      <c r="I21" s="35">
        <v>1063.5899999999999</v>
      </c>
      <c r="J21" s="35">
        <v>1942.03</v>
      </c>
      <c r="K21" s="36">
        <v>1650</v>
      </c>
      <c r="L21" s="35">
        <v>1314.48</v>
      </c>
      <c r="M21" s="36">
        <v>1650</v>
      </c>
      <c r="N21" s="35">
        <v>1607</v>
      </c>
      <c r="O21" s="36">
        <v>1650</v>
      </c>
      <c r="P21" s="35">
        <v>1896.45</v>
      </c>
      <c r="Q21" s="36">
        <v>1650</v>
      </c>
      <c r="R21" s="35">
        <v>436.39</v>
      </c>
      <c r="S21" s="36">
        <v>1650</v>
      </c>
      <c r="T21" s="36"/>
      <c r="U21" s="36"/>
    </row>
    <row r="22" spans="1:21" x14ac:dyDescent="0.25">
      <c r="A22" s="708">
        <v>5350</v>
      </c>
      <c r="B22" s="12" t="s">
        <v>2046</v>
      </c>
      <c r="C22" s="35"/>
      <c r="D22" s="35"/>
      <c r="E22" s="35"/>
      <c r="F22" s="35"/>
      <c r="G22" s="35"/>
      <c r="H22" s="35"/>
      <c r="I22" s="35"/>
      <c r="J22" s="35">
        <v>3000</v>
      </c>
      <c r="K22" s="36">
        <v>1500</v>
      </c>
      <c r="L22" s="35">
        <v>1500</v>
      </c>
      <c r="M22" s="36">
        <v>1500</v>
      </c>
      <c r="N22" s="35">
        <v>1500</v>
      </c>
      <c r="O22" s="36">
        <v>1500</v>
      </c>
      <c r="P22" s="35">
        <v>1500</v>
      </c>
      <c r="Q22" s="36">
        <v>1500</v>
      </c>
      <c r="R22" s="35"/>
      <c r="S22" s="36">
        <v>1500</v>
      </c>
      <c r="T22" s="36"/>
      <c r="U22" s="36"/>
    </row>
    <row r="23" spans="1:21" x14ac:dyDescent="0.25">
      <c r="A23" s="708">
        <v>5380</v>
      </c>
      <c r="B23" s="12" t="s">
        <v>933</v>
      </c>
      <c r="C23" s="13">
        <v>250</v>
      </c>
      <c r="D23" s="13">
        <v>107.43</v>
      </c>
      <c r="E23" s="13">
        <v>1039</v>
      </c>
      <c r="F23" s="13">
        <v>291</v>
      </c>
      <c r="G23" s="13">
        <v>1142</v>
      </c>
      <c r="H23" s="13"/>
      <c r="I23" s="13">
        <v>190</v>
      </c>
      <c r="J23" s="13">
        <v>1094.44</v>
      </c>
      <c r="K23" s="14">
        <v>300</v>
      </c>
      <c r="L23" s="13">
        <v>1100</v>
      </c>
      <c r="M23" s="14">
        <v>300</v>
      </c>
      <c r="N23" s="13">
        <v>525</v>
      </c>
      <c r="O23" s="14">
        <v>1000</v>
      </c>
      <c r="P23" s="13">
        <v>144.63999999999999</v>
      </c>
      <c r="Q23" s="14">
        <v>1000</v>
      </c>
      <c r="R23" s="13">
        <v>2.41</v>
      </c>
      <c r="S23" s="14">
        <v>1000</v>
      </c>
      <c r="T23" s="14"/>
      <c r="U23" s="14"/>
    </row>
    <row r="24" spans="1:21" x14ac:dyDescent="0.25">
      <c r="A24" s="708">
        <v>5420</v>
      </c>
      <c r="B24" s="12" t="s">
        <v>753</v>
      </c>
      <c r="C24" s="18">
        <v>405.65</v>
      </c>
      <c r="D24" s="18">
        <v>755.61</v>
      </c>
      <c r="E24" s="18">
        <v>524.92999999999995</v>
      </c>
      <c r="F24" s="18">
        <v>916.79</v>
      </c>
      <c r="G24" s="18">
        <v>373.24</v>
      </c>
      <c r="H24" s="18">
        <v>1589.88</v>
      </c>
      <c r="I24" s="18">
        <v>581.44000000000005</v>
      </c>
      <c r="J24" s="18">
        <v>130.05000000000001</v>
      </c>
      <c r="K24" s="19">
        <v>750</v>
      </c>
      <c r="L24" s="18">
        <v>231.29</v>
      </c>
      <c r="M24" s="19">
        <v>750</v>
      </c>
      <c r="N24" s="18">
        <v>1041.0899999999999</v>
      </c>
      <c r="O24" s="19">
        <v>750</v>
      </c>
      <c r="P24" s="18">
        <v>563.94000000000005</v>
      </c>
      <c r="Q24" s="19">
        <v>750</v>
      </c>
      <c r="R24" s="18">
        <v>72.05</v>
      </c>
      <c r="S24" s="19">
        <v>750</v>
      </c>
      <c r="T24" s="19"/>
      <c r="U24" s="19"/>
    </row>
    <row r="25" spans="1:21" hidden="1" x14ac:dyDescent="0.25">
      <c r="A25" s="708">
        <v>5490</v>
      </c>
      <c r="B25" s="12" t="s">
        <v>756</v>
      </c>
      <c r="C25" s="13">
        <v>141.15</v>
      </c>
      <c r="D25" s="18">
        <v>0</v>
      </c>
      <c r="E25" s="18">
        <v>36.04</v>
      </c>
      <c r="F25" s="18"/>
      <c r="G25" s="18"/>
      <c r="H25" s="18"/>
      <c r="I25" s="18"/>
      <c r="J25" s="18">
        <v>235.41</v>
      </c>
      <c r="K25" s="19"/>
      <c r="L25" s="18"/>
      <c r="M25" s="19"/>
      <c r="N25" s="18"/>
      <c r="O25" s="19"/>
      <c r="P25" s="18"/>
      <c r="Q25" s="19"/>
      <c r="R25" s="18"/>
      <c r="S25" s="19"/>
      <c r="T25" s="19"/>
      <c r="U25" s="19"/>
    </row>
    <row r="26" spans="1:21" x14ac:dyDescent="0.25">
      <c r="A26" s="708">
        <v>5581</v>
      </c>
      <c r="B26" s="12" t="s">
        <v>755</v>
      </c>
      <c r="C26" s="13">
        <v>273.77999999999997</v>
      </c>
      <c r="D26" s="13">
        <v>176.8</v>
      </c>
      <c r="E26" s="13">
        <v>258.3</v>
      </c>
      <c r="F26" s="13">
        <v>40</v>
      </c>
      <c r="G26" s="13">
        <v>264.60000000000002</v>
      </c>
      <c r="H26" s="13">
        <v>197.6</v>
      </c>
      <c r="I26" s="13">
        <v>257.60000000000002</v>
      </c>
      <c r="J26" s="13">
        <v>197.6</v>
      </c>
      <c r="K26" s="14">
        <v>200</v>
      </c>
      <c r="L26" s="13">
        <v>227.6</v>
      </c>
      <c r="M26" s="14">
        <v>200</v>
      </c>
      <c r="N26" s="13">
        <v>309.60000000000002</v>
      </c>
      <c r="O26" s="14">
        <v>200</v>
      </c>
      <c r="P26" s="13">
        <v>442.75</v>
      </c>
      <c r="Q26" s="14">
        <v>200</v>
      </c>
      <c r="R26" s="13"/>
      <c r="S26" s="14">
        <v>200</v>
      </c>
      <c r="T26" s="14"/>
      <c r="U26" s="14"/>
    </row>
    <row r="27" spans="1:21" x14ac:dyDescent="0.25">
      <c r="A27" s="708">
        <v>5590</v>
      </c>
      <c r="B27" s="4" t="s">
        <v>934</v>
      </c>
      <c r="C27" s="13">
        <v>107.45</v>
      </c>
      <c r="D27" s="13">
        <v>288.33</v>
      </c>
      <c r="E27" s="13"/>
      <c r="F27" s="13">
        <v>100</v>
      </c>
      <c r="G27" s="13">
        <v>113.31</v>
      </c>
      <c r="H27" s="13"/>
      <c r="I27" s="13">
        <v>622.38</v>
      </c>
      <c r="J27" s="13">
        <v>3918.83</v>
      </c>
      <c r="K27" s="14">
        <v>350</v>
      </c>
      <c r="L27" s="13">
        <v>2067</v>
      </c>
      <c r="M27" s="14">
        <v>350</v>
      </c>
      <c r="N27" s="13">
        <v>689.57</v>
      </c>
      <c r="O27" s="14">
        <v>350</v>
      </c>
      <c r="P27" s="13">
        <v>8602.64</v>
      </c>
      <c r="Q27" s="14">
        <v>350</v>
      </c>
      <c r="R27" s="13"/>
      <c r="S27" s="14">
        <v>350</v>
      </c>
      <c r="T27" s="14"/>
      <c r="U27" s="14"/>
    </row>
    <row r="28" spans="1:21" x14ac:dyDescent="0.25">
      <c r="A28" s="708">
        <v>5710</v>
      </c>
      <c r="B28" s="12" t="s">
        <v>758</v>
      </c>
      <c r="C28" s="18">
        <v>399.34</v>
      </c>
      <c r="D28" s="18">
        <v>407.12</v>
      </c>
      <c r="E28" s="18">
        <v>397.89</v>
      </c>
      <c r="F28" s="18">
        <v>342.72</v>
      </c>
      <c r="G28" s="18">
        <v>483.91</v>
      </c>
      <c r="H28" s="18">
        <v>556.12</v>
      </c>
      <c r="I28" s="18">
        <v>745.52</v>
      </c>
      <c r="J28" s="18">
        <v>319.81</v>
      </c>
      <c r="K28" s="19">
        <v>900</v>
      </c>
      <c r="L28" s="18">
        <v>130.80000000000001</v>
      </c>
      <c r="M28" s="19">
        <v>900</v>
      </c>
      <c r="N28" s="18">
        <v>230.14</v>
      </c>
      <c r="O28" s="19">
        <v>900</v>
      </c>
      <c r="P28" s="18">
        <v>239.34</v>
      </c>
      <c r="Q28" s="19">
        <v>900</v>
      </c>
      <c r="R28" s="18"/>
      <c r="S28" s="19">
        <v>900</v>
      </c>
      <c r="T28" s="19"/>
      <c r="U28" s="19"/>
    </row>
    <row r="29" spans="1:21" ht="13.8" thickBot="1" x14ac:dyDescent="0.3">
      <c r="A29" s="708">
        <v>5730</v>
      </c>
      <c r="B29" s="12" t="s">
        <v>759</v>
      </c>
      <c r="C29" s="15">
        <v>401</v>
      </c>
      <c r="D29" s="15">
        <v>594.5</v>
      </c>
      <c r="E29" s="15">
        <v>551</v>
      </c>
      <c r="F29" s="15">
        <v>483</v>
      </c>
      <c r="G29" s="15">
        <v>360</v>
      </c>
      <c r="H29" s="15">
        <v>387</v>
      </c>
      <c r="I29" s="15">
        <v>357</v>
      </c>
      <c r="J29" s="15"/>
      <c r="K29" s="16">
        <v>450</v>
      </c>
      <c r="L29" s="15">
        <v>478.5</v>
      </c>
      <c r="M29" s="16">
        <v>450</v>
      </c>
      <c r="N29" s="15">
        <v>564</v>
      </c>
      <c r="O29" s="16">
        <v>450</v>
      </c>
      <c r="P29" s="15">
        <v>537</v>
      </c>
      <c r="Q29" s="16">
        <v>450</v>
      </c>
      <c r="R29" s="15">
        <v>337</v>
      </c>
      <c r="S29" s="16">
        <v>500</v>
      </c>
      <c r="T29" s="16"/>
      <c r="U29" s="16"/>
    </row>
    <row r="30" spans="1:21" x14ac:dyDescent="0.25">
      <c r="A30" s="708"/>
      <c r="B30" s="17" t="s">
        <v>728</v>
      </c>
      <c r="C30" s="35">
        <f>SUM(C15:C29)</f>
        <v>4475.9399999999996</v>
      </c>
      <c r="D30" s="35">
        <f>SUM(D15:D29)</f>
        <v>4866.0600000000004</v>
      </c>
      <c r="E30" s="35">
        <f>SUM(E15:E29)</f>
        <v>4999.54</v>
      </c>
      <c r="F30" s="35">
        <f>SUM(F17:F29)</f>
        <v>4314.12</v>
      </c>
      <c r="G30" s="35">
        <f t="shared" ref="G30:S30" si="3">SUM(G15:G29)</f>
        <v>9169.8499999999985</v>
      </c>
      <c r="H30" s="35">
        <f t="shared" si="3"/>
        <v>8802.34</v>
      </c>
      <c r="I30" s="35">
        <f t="shared" si="3"/>
        <v>4668.1499999999996</v>
      </c>
      <c r="J30" s="35">
        <f t="shared" si="3"/>
        <v>15452.619999999999</v>
      </c>
      <c r="K30" s="36">
        <f t="shared" si="3"/>
        <v>7650</v>
      </c>
      <c r="L30" s="35">
        <f t="shared" si="3"/>
        <v>7870.4800000000005</v>
      </c>
      <c r="M30" s="36">
        <f t="shared" si="3"/>
        <v>7650</v>
      </c>
      <c r="N30" s="35">
        <f t="shared" si="3"/>
        <v>6744.76</v>
      </c>
      <c r="O30" s="36">
        <f t="shared" si="3"/>
        <v>10900</v>
      </c>
      <c r="P30" s="35">
        <f t="shared" ref="P30" si="4">SUM(P15:P29)</f>
        <v>16774.97</v>
      </c>
      <c r="Q30" s="36">
        <f t="shared" ref="Q30" si="5">SUM(Q15:Q29)</f>
        <v>8850</v>
      </c>
      <c r="R30" s="35">
        <f t="shared" si="3"/>
        <v>1520.87</v>
      </c>
      <c r="S30" s="36">
        <f t="shared" si="3"/>
        <v>8900</v>
      </c>
      <c r="T30" s="36"/>
      <c r="U30" s="36">
        <f>SUM(U15:U29)</f>
        <v>0</v>
      </c>
    </row>
    <row r="31" spans="1:21" x14ac:dyDescent="0.25">
      <c r="A31" s="708"/>
      <c r="B31" s="12"/>
      <c r="C31" s="35"/>
      <c r="D31" s="35"/>
      <c r="E31" s="35"/>
      <c r="F31" s="35"/>
      <c r="G31" s="35"/>
      <c r="H31" s="35"/>
      <c r="I31" s="35"/>
      <c r="J31" s="35"/>
      <c r="K31" s="36"/>
      <c r="L31" s="35"/>
      <c r="M31" s="36"/>
      <c r="N31" s="35"/>
      <c r="O31" s="36"/>
      <c r="P31" s="35"/>
      <c r="Q31" s="36"/>
      <c r="R31" s="35"/>
      <c r="S31" s="36"/>
      <c r="T31" s="36"/>
      <c r="U31" s="36"/>
    </row>
    <row r="32" spans="1:21" ht="13.8" thickBot="1" x14ac:dyDescent="0.3">
      <c r="A32" s="709"/>
      <c r="B32" s="20" t="s">
        <v>935</v>
      </c>
      <c r="C32" s="21">
        <f t="shared" ref="C32:S32" si="6">+C30+C13</f>
        <v>64295.68</v>
      </c>
      <c r="D32" s="21">
        <f t="shared" si="6"/>
        <v>74043.48</v>
      </c>
      <c r="E32" s="21">
        <f t="shared" si="6"/>
        <v>76609.999999999985</v>
      </c>
      <c r="F32" s="21">
        <f t="shared" si="6"/>
        <v>78689.919999999998</v>
      </c>
      <c r="G32" s="21">
        <f t="shared" si="6"/>
        <v>85614.25</v>
      </c>
      <c r="H32" s="21">
        <f t="shared" si="6"/>
        <v>89106.83</v>
      </c>
      <c r="I32" s="21">
        <f t="shared" si="6"/>
        <v>113367.35999999999</v>
      </c>
      <c r="J32" s="21">
        <f t="shared" si="6"/>
        <v>123363.51</v>
      </c>
      <c r="K32" s="22">
        <f t="shared" si="6"/>
        <v>121187</v>
      </c>
      <c r="L32" s="21">
        <f t="shared" si="6"/>
        <v>119134.15999999999</v>
      </c>
      <c r="M32" s="22">
        <f t="shared" si="6"/>
        <v>123121</v>
      </c>
      <c r="N32" s="21">
        <f t="shared" si="6"/>
        <v>122406.09999999999</v>
      </c>
      <c r="O32" s="22">
        <f t="shared" si="6"/>
        <v>129007</v>
      </c>
      <c r="P32" s="21">
        <f t="shared" ref="P32" si="7">+P30+P13</f>
        <v>117379.99</v>
      </c>
      <c r="Q32" s="22">
        <f t="shared" ref="Q32" si="8">+Q30+Q13</f>
        <v>134429</v>
      </c>
      <c r="R32" s="21">
        <f t="shared" si="6"/>
        <v>62051.11</v>
      </c>
      <c r="S32" s="22">
        <f t="shared" si="6"/>
        <v>140788</v>
      </c>
      <c r="T32" s="22">
        <f>+S32</f>
        <v>140788</v>
      </c>
      <c r="U32" s="22">
        <f>+S32</f>
        <v>140788</v>
      </c>
    </row>
    <row r="33" spans="1:25" ht="16.2" thickTop="1" x14ac:dyDescent="0.3">
      <c r="A33" s="703"/>
      <c r="B33" s="4"/>
      <c r="C33" s="23"/>
      <c r="D33" s="23"/>
      <c r="E33" s="23"/>
      <c r="F33" s="23"/>
      <c r="G33" s="23"/>
      <c r="H33" s="23"/>
      <c r="I33" s="23"/>
      <c r="J33" s="23"/>
      <c r="K33" s="23"/>
      <c r="L33" s="23"/>
      <c r="M33" s="23"/>
      <c r="N33" s="23"/>
      <c r="O33" s="23"/>
      <c r="P33" s="23"/>
      <c r="Q33" s="23"/>
      <c r="R33" s="181" t="s">
        <v>732</v>
      </c>
      <c r="S33" s="1001">
        <f>+S32-Q32</f>
        <v>6359</v>
      </c>
      <c r="T33" s="1002">
        <f>ROUND((+S33/Q32),4)</f>
        <v>4.7300000000000002E-2</v>
      </c>
      <c r="U33" s="23"/>
      <c r="V33" s="25"/>
      <c r="X33" s="183"/>
      <c r="Y33" s="25"/>
    </row>
    <row r="34" spans="1:25" x14ac:dyDescent="0.25">
      <c r="A34" s="703" t="s">
        <v>793</v>
      </c>
      <c r="B34" s="4"/>
      <c r="D34" s="194"/>
      <c r="E34" s="194"/>
      <c r="F34" s="194"/>
      <c r="G34" s="194"/>
      <c r="H34" s="194"/>
      <c r="I34" s="194"/>
      <c r="J34" s="194"/>
      <c r="K34" s="194"/>
      <c r="L34" s="194"/>
      <c r="M34" s="194"/>
      <c r="N34" s="194"/>
      <c r="O34" s="194"/>
      <c r="P34" s="194"/>
      <c r="Q34" s="194"/>
    </row>
    <row r="35" spans="1:25" ht="13.8" thickBot="1" x14ac:dyDescent="0.3">
      <c r="A35" s="703"/>
      <c r="B35" s="4" t="s">
        <v>936</v>
      </c>
      <c r="D35" s="194"/>
      <c r="E35" s="194"/>
      <c r="F35" s="194"/>
      <c r="G35" s="194"/>
      <c r="H35" s="194"/>
      <c r="I35" s="194"/>
      <c r="J35" s="194"/>
      <c r="K35" s="194"/>
      <c r="L35" s="194"/>
      <c r="M35" s="194"/>
      <c r="N35" s="194"/>
      <c r="O35" s="194"/>
      <c r="P35" s="194"/>
      <c r="Q35" s="194"/>
    </row>
    <row r="36" spans="1:25" ht="13.8" thickTop="1" x14ac:dyDescent="0.25">
      <c r="A36" s="710" t="s">
        <v>760</v>
      </c>
      <c r="B36" s="98"/>
      <c r="D36" s="194"/>
      <c r="E36" s="194"/>
      <c r="F36" s="194"/>
      <c r="G36" s="194"/>
      <c r="H36" s="194"/>
      <c r="I36" s="194"/>
      <c r="J36" s="194"/>
      <c r="K36" s="194"/>
      <c r="L36" s="194"/>
      <c r="O36" s="130" t="s">
        <v>761</v>
      </c>
      <c r="P36" s="137" t="s">
        <v>762</v>
      </c>
      <c r="Q36" s="149"/>
      <c r="R36" s="139" t="s">
        <v>763</v>
      </c>
      <c r="S36"/>
      <c r="T36"/>
      <c r="U36" s="187" t="s">
        <v>764</v>
      </c>
      <c r="V36"/>
      <c r="W36" s="1"/>
    </row>
    <row r="37" spans="1:25" ht="13.8" thickBot="1" x14ac:dyDescent="0.3">
      <c r="A37" s="711" t="s">
        <v>765</v>
      </c>
      <c r="B37" s="100" t="s">
        <v>766</v>
      </c>
      <c r="D37" s="194"/>
      <c r="E37" s="194"/>
      <c r="F37" s="194"/>
      <c r="G37" s="194"/>
      <c r="H37" s="194"/>
      <c r="I37" s="194"/>
      <c r="J37" s="194"/>
      <c r="K37" s="194"/>
      <c r="L37" s="194"/>
      <c r="O37" s="269">
        <v>45474</v>
      </c>
      <c r="P37" s="140" t="s">
        <v>767</v>
      </c>
      <c r="Q37" s="141" t="s">
        <v>831</v>
      </c>
      <c r="R37" s="141" t="s">
        <v>769</v>
      </c>
      <c r="S37" s="106" t="s">
        <v>770</v>
      </c>
      <c r="T37" s="106"/>
      <c r="U37" s="106" t="s">
        <v>1345</v>
      </c>
      <c r="V37" s="106" t="s">
        <v>771</v>
      </c>
      <c r="W37" s="1"/>
    </row>
    <row r="38" spans="1:25" ht="13.8" thickTop="1" x14ac:dyDescent="0.25">
      <c r="A38" s="152">
        <v>44949</v>
      </c>
      <c r="B38" s="101" t="s">
        <v>937</v>
      </c>
      <c r="D38" s="194"/>
      <c r="E38" s="194"/>
      <c r="F38" s="194"/>
      <c r="G38" s="194"/>
      <c r="H38" s="194"/>
      <c r="I38" s="194"/>
      <c r="J38" s="194"/>
      <c r="K38" s="194"/>
      <c r="L38" s="194"/>
      <c r="O38" s="19" t="s">
        <v>797</v>
      </c>
      <c r="P38" s="136"/>
      <c r="Q38" s="18"/>
      <c r="R38" s="136">
        <f>+'NAGE &amp; Non-Union Wages'!L10</f>
        <v>82394</v>
      </c>
      <c r="S38" s="152"/>
      <c r="T38" s="152"/>
      <c r="U38" s="700">
        <v>1</v>
      </c>
      <c r="V38" s="272"/>
      <c r="W38" s="1"/>
    </row>
    <row r="39" spans="1:25" x14ac:dyDescent="0.25">
      <c r="A39" s="152">
        <v>43290</v>
      </c>
      <c r="B39" s="471" t="s">
        <v>938</v>
      </c>
      <c r="D39" s="194"/>
      <c r="E39" s="194"/>
      <c r="F39" s="194"/>
      <c r="G39" s="194"/>
      <c r="H39" s="194"/>
      <c r="I39" s="194"/>
      <c r="J39" s="194"/>
      <c r="K39" s="194"/>
      <c r="L39" s="194"/>
      <c r="O39" s="36" t="s">
        <v>869</v>
      </c>
      <c r="P39" s="472">
        <f>+'NAGE &amp; Non-Union Wages'!I7</f>
        <v>26.74</v>
      </c>
      <c r="Q39" s="28">
        <v>1828.5</v>
      </c>
      <c r="R39" s="147">
        <f>+ROUND((+P39*Q39),2)</f>
        <v>48894.09</v>
      </c>
      <c r="S39" s="152">
        <v>43290</v>
      </c>
      <c r="T39" s="152"/>
      <c r="U39" s="700">
        <v>6</v>
      </c>
      <c r="V39" s="2">
        <v>300</v>
      </c>
      <c r="W39" s="194"/>
    </row>
    <row r="40" spans="1:25" x14ac:dyDescent="0.25">
      <c r="A40" s="727"/>
      <c r="B40" s="60"/>
      <c r="C40" s="13"/>
      <c r="D40" s="13"/>
      <c r="E40" s="13"/>
      <c r="F40" s="194"/>
      <c r="G40" s="194"/>
      <c r="H40" s="194"/>
      <c r="I40" s="194"/>
      <c r="J40" s="194"/>
      <c r="K40" s="194"/>
      <c r="L40" s="194"/>
      <c r="O40" s="13"/>
      <c r="P40" s="127"/>
      <c r="Q40" s="127"/>
      <c r="R40" s="147"/>
      <c r="S40" s="23"/>
      <c r="T40" s="23"/>
      <c r="U40" s="25" t="s">
        <v>190</v>
      </c>
      <c r="V40" s="2">
        <f>SUM(V38:V39)</f>
        <v>300</v>
      </c>
      <c r="W40" s="1"/>
    </row>
    <row r="41" spans="1:25" x14ac:dyDescent="0.25">
      <c r="A41" s="703"/>
      <c r="B41" s="4"/>
      <c r="C41" s="23"/>
      <c r="D41" s="23"/>
      <c r="E41" s="23"/>
      <c r="F41" s="194"/>
      <c r="G41" s="194"/>
      <c r="H41" s="194"/>
      <c r="I41" s="23"/>
      <c r="J41" s="23"/>
      <c r="K41" s="194"/>
      <c r="L41" s="194"/>
      <c r="O41" s="97"/>
      <c r="P41" s="97"/>
      <c r="Q41" s="97"/>
      <c r="R41" s="25"/>
      <c r="S41" s="25"/>
      <c r="T41" s="25"/>
      <c r="U41" s="25"/>
      <c r="V41" s="2"/>
    </row>
    <row r="42" spans="1:25" ht="13.8" thickBot="1" x14ac:dyDescent="0.3">
      <c r="A42" s="703"/>
      <c r="B42" s="4"/>
      <c r="C42" s="23"/>
      <c r="D42" s="23"/>
      <c r="E42" s="23"/>
      <c r="F42" s="194"/>
      <c r="G42" s="194"/>
      <c r="H42" s="194"/>
      <c r="I42" s="23"/>
      <c r="J42" s="23"/>
      <c r="K42" s="194"/>
      <c r="L42" s="194"/>
      <c r="O42" s="97"/>
      <c r="P42" s="97"/>
      <c r="Q42" s="97"/>
      <c r="R42" s="25"/>
      <c r="S42" s="25"/>
      <c r="T42" s="25"/>
      <c r="U42" s="25"/>
      <c r="V42" s="2"/>
    </row>
    <row r="43" spans="1:25" ht="13.8" thickTop="1" x14ac:dyDescent="0.25">
      <c r="A43" s="738"/>
      <c r="B43" s="349"/>
      <c r="C43" s="398"/>
      <c r="D43" s="398"/>
      <c r="E43" s="398"/>
      <c r="F43" s="982"/>
      <c r="G43" s="982"/>
      <c r="H43" s="982"/>
      <c r="I43" s="194"/>
      <c r="J43" s="194"/>
      <c r="K43" s="194"/>
      <c r="L43" s="194"/>
      <c r="O43" s="352" t="s">
        <v>255</v>
      </c>
      <c r="P43" s="353" t="s">
        <v>716</v>
      </c>
      <c r="Q43" s="398"/>
      <c r="R43" s="595"/>
      <c r="S43" s="399"/>
      <c r="T43" s="399"/>
      <c r="U43" s="399"/>
      <c r="V43" s="2"/>
      <c r="W43" s="25"/>
      <c r="X43" s="25"/>
      <c r="Y43" s="25"/>
    </row>
    <row r="44" spans="1:25" ht="13.8" thickBot="1" x14ac:dyDescent="0.3">
      <c r="A44" s="719" t="s">
        <v>715</v>
      </c>
      <c r="B44" s="356"/>
      <c r="C44" s="357" t="s">
        <v>243</v>
      </c>
      <c r="D44" s="357" t="s">
        <v>244</v>
      </c>
      <c r="E44" s="358" t="s">
        <v>245</v>
      </c>
      <c r="F44" s="194"/>
      <c r="G44" s="194"/>
      <c r="H44" s="194"/>
      <c r="I44" s="194"/>
      <c r="J44" s="194"/>
      <c r="K44" s="194"/>
      <c r="L44" s="194"/>
      <c r="O44" s="359" t="s">
        <v>469</v>
      </c>
      <c r="P44" s="359" t="s">
        <v>1345</v>
      </c>
      <c r="Q44" s="358" t="s">
        <v>732</v>
      </c>
      <c r="R44" s="360" t="s">
        <v>732</v>
      </c>
      <c r="S44" s="361" t="s">
        <v>733</v>
      </c>
      <c r="T44" s="551"/>
      <c r="U44" s="359"/>
      <c r="V44" s="23"/>
      <c r="W44" s="25"/>
      <c r="X44" s="25"/>
      <c r="Y44" s="25"/>
    </row>
    <row r="45" spans="1:25" ht="13.8" thickTop="1" x14ac:dyDescent="0.25">
      <c r="A45" s="723"/>
      <c r="B45" s="383"/>
      <c r="C45" s="384"/>
      <c r="D45" s="385"/>
      <c r="E45" s="385"/>
      <c r="F45" s="194"/>
      <c r="G45" s="194"/>
      <c r="H45" s="194"/>
      <c r="I45" s="194"/>
      <c r="J45" s="194"/>
      <c r="K45" s="194"/>
      <c r="L45" s="194"/>
      <c r="O45" s="386"/>
      <c r="P45" s="363"/>
      <c r="Q45" s="368"/>
      <c r="R45" s="374"/>
      <c r="S45" s="367"/>
      <c r="T45" s="553"/>
      <c r="U45" s="368"/>
      <c r="V45" s="23"/>
      <c r="W45" s="25"/>
      <c r="X45" s="25"/>
      <c r="Y45" s="25"/>
    </row>
    <row r="46" spans="1:25" x14ac:dyDescent="0.25">
      <c r="A46" s="724">
        <v>5111</v>
      </c>
      <c r="B46" s="369" t="s">
        <v>738</v>
      </c>
      <c r="C46" s="373">
        <v>47211.5</v>
      </c>
      <c r="D46" s="377">
        <v>54648</v>
      </c>
      <c r="E46" s="377">
        <v>56574</v>
      </c>
      <c r="F46" s="194"/>
      <c r="G46" s="194"/>
      <c r="H46" s="194"/>
      <c r="I46" s="194"/>
      <c r="J46" s="194"/>
      <c r="K46" s="194"/>
      <c r="L46" s="194"/>
      <c r="O46" s="372">
        <f>+Q9</f>
        <v>124979</v>
      </c>
      <c r="P46" s="393">
        <f>+S9</f>
        <v>131288</v>
      </c>
      <c r="Q46" s="368">
        <f t="shared" ref="Q46:Q55" si="9">+P46-O46</f>
        <v>6309</v>
      </c>
      <c r="R46" s="374">
        <f t="shared" ref="R46:R55" si="10">IF(O46+P46&lt;&gt;0,IF(O46&lt;&gt;0,IF(Q46&lt;&gt;0,ROUND((+Q46/O46),4),""),1),"")</f>
        <v>5.0500000000000003E-2</v>
      </c>
      <c r="S46" s="367"/>
      <c r="T46" s="553"/>
      <c r="U46" s="368"/>
      <c r="V46" s="23"/>
      <c r="W46" s="25"/>
      <c r="X46" s="25"/>
      <c r="Y46" s="25"/>
    </row>
    <row r="47" spans="1:25" x14ac:dyDescent="0.25">
      <c r="A47" s="724">
        <v>5113</v>
      </c>
      <c r="B47" s="369" t="s">
        <v>739</v>
      </c>
      <c r="C47" s="373">
        <v>12608.24</v>
      </c>
      <c r="D47" s="373">
        <v>14529.42</v>
      </c>
      <c r="E47" s="373">
        <v>15036.46</v>
      </c>
      <c r="F47" s="194"/>
      <c r="G47" s="194"/>
      <c r="H47" s="194"/>
      <c r="I47" s="194"/>
      <c r="J47" s="194"/>
      <c r="K47" s="194"/>
      <c r="L47" s="194"/>
      <c r="O47" s="372">
        <f>+Q10</f>
        <v>0</v>
      </c>
      <c r="P47" s="392">
        <f>+S10</f>
        <v>0</v>
      </c>
      <c r="Q47" s="368">
        <f t="shared" si="9"/>
        <v>0</v>
      </c>
      <c r="R47" s="374" t="str">
        <f t="shared" si="10"/>
        <v/>
      </c>
      <c r="S47" s="367"/>
      <c r="T47" s="553"/>
      <c r="U47" s="368"/>
      <c r="V47" s="23"/>
      <c r="W47" s="25"/>
      <c r="X47" s="25"/>
      <c r="Y47" s="25"/>
    </row>
    <row r="48" spans="1:25" ht="13.8" thickBot="1" x14ac:dyDescent="0.3">
      <c r="A48" s="724">
        <v>5144</v>
      </c>
      <c r="B48" s="369" t="s">
        <v>27</v>
      </c>
      <c r="C48" s="371"/>
      <c r="D48" s="371"/>
      <c r="E48" s="371"/>
      <c r="F48" s="194"/>
      <c r="G48" s="194"/>
      <c r="H48" s="194"/>
      <c r="I48" s="194"/>
      <c r="J48" s="194"/>
      <c r="K48" s="194"/>
      <c r="L48" s="194"/>
      <c r="O48" s="372">
        <f>+Q11</f>
        <v>300</v>
      </c>
      <c r="P48" s="393">
        <f>+S11</f>
        <v>300</v>
      </c>
      <c r="Q48" s="368">
        <f t="shared" si="9"/>
        <v>0</v>
      </c>
      <c r="R48" s="374" t="str">
        <f t="shared" si="10"/>
        <v/>
      </c>
      <c r="S48" s="367"/>
      <c r="T48" s="553"/>
      <c r="U48" s="368"/>
      <c r="V48" s="23"/>
      <c r="W48" s="25"/>
      <c r="X48" s="25"/>
      <c r="Y48" s="25"/>
    </row>
    <row r="49" spans="1:25" x14ac:dyDescent="0.25">
      <c r="A49" s="724">
        <v>5145</v>
      </c>
      <c r="B49" s="369" t="s">
        <v>744</v>
      </c>
      <c r="C49" s="375"/>
      <c r="D49" s="375"/>
      <c r="E49" s="375"/>
      <c r="F49" s="194"/>
      <c r="G49" s="194"/>
      <c r="H49" s="194"/>
      <c r="I49" s="194"/>
      <c r="J49" s="194"/>
      <c r="K49" s="194"/>
      <c r="L49" s="194"/>
      <c r="O49" s="372">
        <f>+Q12</f>
        <v>300</v>
      </c>
      <c r="P49" s="393">
        <f>+S12</f>
        <v>300</v>
      </c>
      <c r="Q49" s="368">
        <f t="shared" si="9"/>
        <v>0</v>
      </c>
      <c r="R49" s="374" t="str">
        <f t="shared" si="10"/>
        <v/>
      </c>
      <c r="S49" s="367"/>
      <c r="T49" s="553"/>
      <c r="U49" s="368"/>
      <c r="V49" s="23"/>
      <c r="W49" s="25"/>
      <c r="X49" s="25"/>
      <c r="Y49" s="25"/>
    </row>
    <row r="50" spans="1:25" hidden="1" x14ac:dyDescent="0.25">
      <c r="A50" s="724">
        <v>5247</v>
      </c>
      <c r="B50" s="369" t="s">
        <v>931</v>
      </c>
      <c r="C50" s="373">
        <v>400</v>
      </c>
      <c r="D50" s="373">
        <v>0</v>
      </c>
      <c r="E50" s="373"/>
      <c r="F50" s="194"/>
      <c r="G50" s="194"/>
      <c r="H50" s="194"/>
      <c r="I50" s="194"/>
      <c r="J50" s="194"/>
      <c r="K50" s="194"/>
      <c r="L50" s="194"/>
      <c r="O50" s="372">
        <f>+O15</f>
        <v>0</v>
      </c>
      <c r="P50" s="393">
        <f>+S15</f>
        <v>0</v>
      </c>
      <c r="Q50" s="368">
        <f t="shared" si="9"/>
        <v>0</v>
      </c>
      <c r="R50" s="374" t="str">
        <f t="shared" si="10"/>
        <v/>
      </c>
      <c r="S50" s="367"/>
      <c r="T50" s="553"/>
      <c r="U50" s="368"/>
      <c r="V50" s="23"/>
      <c r="W50" s="25"/>
      <c r="X50" s="25"/>
      <c r="Y50" s="25"/>
    </row>
    <row r="51" spans="1:25" hidden="1" x14ac:dyDescent="0.25">
      <c r="A51" s="724">
        <v>5300</v>
      </c>
      <c r="B51" s="369" t="s">
        <v>932</v>
      </c>
      <c r="C51" s="373"/>
      <c r="D51" s="373"/>
      <c r="E51" s="373"/>
      <c r="F51" s="194"/>
      <c r="G51" s="194"/>
      <c r="H51" s="194"/>
      <c r="I51" s="194"/>
      <c r="J51" s="194"/>
      <c r="K51" s="194"/>
      <c r="L51" s="194"/>
      <c r="O51" s="372">
        <f>+O14</f>
        <v>0</v>
      </c>
      <c r="P51" s="393">
        <f>+S16</f>
        <v>0</v>
      </c>
      <c r="Q51" s="368">
        <f t="shared" si="9"/>
        <v>0</v>
      </c>
      <c r="R51" s="374" t="str">
        <f t="shared" si="10"/>
        <v/>
      </c>
      <c r="S51" s="367"/>
      <c r="T51" s="553"/>
      <c r="U51" s="368"/>
      <c r="V51" s="23"/>
      <c r="W51" s="25"/>
      <c r="X51" s="25"/>
      <c r="Y51" s="25"/>
    </row>
    <row r="52" spans="1:25" x14ac:dyDescent="0.25">
      <c r="A52" s="724">
        <v>5314</v>
      </c>
      <c r="B52" s="369" t="s">
        <v>749</v>
      </c>
      <c r="C52" s="373">
        <v>465</v>
      </c>
      <c r="D52" s="373">
        <v>190</v>
      </c>
      <c r="E52" s="373">
        <v>299</v>
      </c>
      <c r="F52" s="194"/>
      <c r="G52" s="194"/>
      <c r="H52" s="194"/>
      <c r="I52" s="194"/>
      <c r="J52" s="194"/>
      <c r="K52" s="194"/>
      <c r="L52" s="194"/>
      <c r="O52" s="366">
        <f>+Q17</f>
        <v>1500</v>
      </c>
      <c r="P52" s="393">
        <f>+S17</f>
        <v>1500</v>
      </c>
      <c r="Q52" s="368">
        <f t="shared" si="9"/>
        <v>0</v>
      </c>
      <c r="R52" s="374" t="str">
        <f t="shared" si="10"/>
        <v/>
      </c>
      <c r="S52" s="367"/>
      <c r="T52" s="553"/>
      <c r="U52" s="368"/>
      <c r="V52" s="23"/>
      <c r="W52" s="25"/>
      <c r="X52" s="25"/>
      <c r="Y52" s="25"/>
    </row>
    <row r="53" spans="1:25" hidden="1" x14ac:dyDescent="0.25">
      <c r="A53" s="724">
        <v>5341</v>
      </c>
      <c r="B53" s="369" t="s">
        <v>751</v>
      </c>
      <c r="C53" s="373">
        <v>218.95</v>
      </c>
      <c r="D53" s="373">
        <v>207.97</v>
      </c>
      <c r="E53" s="373">
        <v>210.96</v>
      </c>
      <c r="F53" s="194"/>
      <c r="G53" s="194"/>
      <c r="H53" s="194"/>
      <c r="I53" s="194"/>
      <c r="J53" s="194"/>
      <c r="K53" s="194"/>
      <c r="L53" s="194"/>
      <c r="O53" s="366">
        <f>+K18</f>
        <v>0</v>
      </c>
      <c r="P53" s="393">
        <f>+S18</f>
        <v>0</v>
      </c>
      <c r="Q53" s="368">
        <f t="shared" si="9"/>
        <v>0</v>
      </c>
      <c r="R53" s="374" t="str">
        <f t="shared" si="10"/>
        <v/>
      </c>
      <c r="S53" s="367"/>
      <c r="T53" s="553"/>
      <c r="U53" s="368"/>
      <c r="V53" s="23"/>
      <c r="W53" s="25"/>
      <c r="X53" s="25"/>
      <c r="Y53" s="25"/>
    </row>
    <row r="54" spans="1:25" x14ac:dyDescent="0.25">
      <c r="A54" s="724">
        <v>5344</v>
      </c>
      <c r="B54" s="369" t="s">
        <v>722</v>
      </c>
      <c r="C54" s="373">
        <v>324.27999999999997</v>
      </c>
      <c r="D54" s="373">
        <v>435.35</v>
      </c>
      <c r="E54" s="373">
        <v>425.43</v>
      </c>
      <c r="F54" s="194"/>
      <c r="G54" s="194"/>
      <c r="H54" s="194"/>
      <c r="I54" s="194"/>
      <c r="J54" s="194"/>
      <c r="K54" s="194"/>
      <c r="L54" s="194"/>
      <c r="O54" s="366">
        <f t="shared" ref="O54:O63" si="11">+Q20</f>
        <v>550</v>
      </c>
      <c r="P54" s="393">
        <f t="shared" ref="P54:P63" si="12">+S20</f>
        <v>550</v>
      </c>
      <c r="Q54" s="368">
        <f t="shared" si="9"/>
        <v>0</v>
      </c>
      <c r="R54" s="374" t="str">
        <f t="shared" si="10"/>
        <v/>
      </c>
      <c r="S54" s="367"/>
      <c r="T54" s="553"/>
      <c r="U54" s="368"/>
      <c r="V54" s="23"/>
      <c r="W54" s="25"/>
      <c r="X54" s="25"/>
      <c r="Y54" s="25"/>
    </row>
    <row r="55" spans="1:25" x14ac:dyDescent="0.25">
      <c r="A55" s="724">
        <v>5345</v>
      </c>
      <c r="B55" s="369" t="s">
        <v>752</v>
      </c>
      <c r="C55" s="375">
        <v>1089.3399999999999</v>
      </c>
      <c r="D55" s="375">
        <v>1702.95</v>
      </c>
      <c r="E55" s="375">
        <v>1256.99</v>
      </c>
      <c r="F55" s="194"/>
      <c r="G55" s="194"/>
      <c r="H55" s="194"/>
      <c r="I55" s="194"/>
      <c r="J55" s="194"/>
      <c r="K55" s="194"/>
      <c r="L55" s="194"/>
      <c r="O55" s="366">
        <f t="shared" si="11"/>
        <v>1650</v>
      </c>
      <c r="P55" s="393">
        <f t="shared" si="12"/>
        <v>1650</v>
      </c>
      <c r="Q55" s="368">
        <f t="shared" si="9"/>
        <v>0</v>
      </c>
      <c r="R55" s="374" t="str">
        <f t="shared" si="10"/>
        <v/>
      </c>
      <c r="S55" s="367"/>
      <c r="T55" s="553"/>
      <c r="U55" s="368"/>
      <c r="V55" s="23"/>
      <c r="W55" s="25"/>
      <c r="X55" s="25"/>
      <c r="Y55" s="25"/>
    </row>
    <row r="56" spans="1:25" x14ac:dyDescent="0.25">
      <c r="A56" s="724">
        <v>5350</v>
      </c>
      <c r="B56" s="369" t="s">
        <v>940</v>
      </c>
      <c r="C56" s="375"/>
      <c r="D56" s="375"/>
      <c r="E56" s="375"/>
      <c r="F56" s="194"/>
      <c r="G56" s="194"/>
      <c r="H56" s="194"/>
      <c r="I56" s="194"/>
      <c r="J56" s="194"/>
      <c r="K56" s="194"/>
      <c r="L56" s="194"/>
      <c r="O56" s="366">
        <f t="shared" si="11"/>
        <v>1500</v>
      </c>
      <c r="P56" s="393">
        <f t="shared" si="12"/>
        <v>1500</v>
      </c>
      <c r="Q56" s="368"/>
      <c r="R56" s="374"/>
      <c r="S56" s="367"/>
      <c r="T56" s="553"/>
      <c r="U56" s="368"/>
      <c r="V56" s="23"/>
      <c r="W56" s="25"/>
      <c r="X56" s="25"/>
      <c r="Y56" s="25"/>
    </row>
    <row r="57" spans="1:25" x14ac:dyDescent="0.25">
      <c r="A57" s="724">
        <v>5380</v>
      </c>
      <c r="B57" s="369" t="s">
        <v>933</v>
      </c>
      <c r="C57" s="373">
        <v>250</v>
      </c>
      <c r="D57" s="373">
        <v>107.43</v>
      </c>
      <c r="E57" s="373">
        <v>1039</v>
      </c>
      <c r="F57" s="194"/>
      <c r="G57" s="194"/>
      <c r="H57" s="194"/>
      <c r="I57" s="194"/>
      <c r="J57" s="194"/>
      <c r="K57" s="194"/>
      <c r="L57" s="194"/>
      <c r="O57" s="366">
        <f t="shared" si="11"/>
        <v>1000</v>
      </c>
      <c r="P57" s="393">
        <f t="shared" si="12"/>
        <v>1000</v>
      </c>
      <c r="Q57" s="368">
        <f t="shared" ref="Q57:Q63" si="13">+P57-O57</f>
        <v>0</v>
      </c>
      <c r="R57" s="374" t="str">
        <f t="shared" ref="R57:R63" si="14">IF(O57+P57&lt;&gt;0,IF(O57&lt;&gt;0,IF(Q57&lt;&gt;0,ROUND((+Q57/O57),4),""),1),"")</f>
        <v/>
      </c>
      <c r="S57" s="367"/>
      <c r="T57" s="553"/>
      <c r="U57" s="368"/>
      <c r="V57" s="23"/>
      <c r="W57" s="25"/>
      <c r="X57" s="25"/>
      <c r="Y57" s="25"/>
    </row>
    <row r="58" spans="1:25" x14ac:dyDescent="0.25">
      <c r="A58" s="724">
        <v>5420</v>
      </c>
      <c r="B58" s="369" t="s">
        <v>753</v>
      </c>
      <c r="C58" s="365">
        <v>405.65</v>
      </c>
      <c r="D58" s="365">
        <v>755.61</v>
      </c>
      <c r="E58" s="365">
        <v>524.92999999999995</v>
      </c>
      <c r="F58" s="194"/>
      <c r="G58" s="194"/>
      <c r="H58" s="194"/>
      <c r="I58" s="194"/>
      <c r="J58" s="194"/>
      <c r="K58" s="194"/>
      <c r="L58" s="194"/>
      <c r="O58" s="366">
        <f t="shared" si="11"/>
        <v>750</v>
      </c>
      <c r="P58" s="393">
        <f t="shared" si="12"/>
        <v>750</v>
      </c>
      <c r="Q58" s="368">
        <f t="shared" si="13"/>
        <v>0</v>
      </c>
      <c r="R58" s="374" t="str">
        <f t="shared" si="14"/>
        <v/>
      </c>
      <c r="S58" s="367"/>
      <c r="T58" s="553"/>
      <c r="U58" s="368"/>
      <c r="V58" s="23"/>
      <c r="W58" s="25"/>
      <c r="X58" s="25"/>
      <c r="Y58" s="25"/>
    </row>
    <row r="59" spans="1:25" x14ac:dyDescent="0.25">
      <c r="A59" s="724">
        <v>5490</v>
      </c>
      <c r="B59" s="369" t="s">
        <v>756</v>
      </c>
      <c r="C59" s="373">
        <v>141.15</v>
      </c>
      <c r="D59" s="365">
        <v>0</v>
      </c>
      <c r="E59" s="365">
        <v>36.04</v>
      </c>
      <c r="F59" s="194"/>
      <c r="G59" s="194"/>
      <c r="H59" s="194"/>
      <c r="I59" s="194"/>
      <c r="J59" s="194"/>
      <c r="K59" s="194"/>
      <c r="L59" s="194"/>
      <c r="O59" s="366">
        <f t="shared" si="11"/>
        <v>0</v>
      </c>
      <c r="P59" s="393">
        <f t="shared" si="12"/>
        <v>0</v>
      </c>
      <c r="Q59" s="368">
        <f t="shared" si="13"/>
        <v>0</v>
      </c>
      <c r="R59" s="374" t="str">
        <f t="shared" si="14"/>
        <v/>
      </c>
      <c r="S59" s="367"/>
      <c r="T59" s="553"/>
      <c r="U59" s="368"/>
      <c r="V59" s="23"/>
      <c r="W59" s="25"/>
      <c r="X59" s="25"/>
      <c r="Y59" s="25"/>
    </row>
    <row r="60" spans="1:25" x14ac:dyDescent="0.25">
      <c r="A60" s="724">
        <v>5581</v>
      </c>
      <c r="B60" s="369" t="s">
        <v>755</v>
      </c>
      <c r="C60" s="373">
        <v>273.77999999999997</v>
      </c>
      <c r="D60" s="373">
        <v>176.8</v>
      </c>
      <c r="E60" s="373">
        <v>258.3</v>
      </c>
      <c r="F60" s="194"/>
      <c r="G60" s="194"/>
      <c r="H60" s="194"/>
      <c r="I60" s="194"/>
      <c r="J60" s="194"/>
      <c r="K60" s="194"/>
      <c r="L60" s="194"/>
      <c r="O60" s="366">
        <f t="shared" si="11"/>
        <v>200</v>
      </c>
      <c r="P60" s="393">
        <f t="shared" si="12"/>
        <v>200</v>
      </c>
      <c r="Q60" s="368">
        <f t="shared" si="13"/>
        <v>0</v>
      </c>
      <c r="R60" s="374" t="str">
        <f t="shared" si="14"/>
        <v/>
      </c>
      <c r="S60" s="367"/>
      <c r="T60" s="553"/>
      <c r="U60" s="368"/>
      <c r="V60" s="23"/>
      <c r="W60" s="25"/>
      <c r="X60" s="25"/>
      <c r="Y60" s="25"/>
    </row>
    <row r="61" spans="1:25" x14ac:dyDescent="0.25">
      <c r="A61" s="724">
        <v>5590</v>
      </c>
      <c r="B61" s="388" t="s">
        <v>934</v>
      </c>
      <c r="C61" s="373">
        <v>107.45</v>
      </c>
      <c r="D61" s="373">
        <v>288.33</v>
      </c>
      <c r="E61" s="373"/>
      <c r="F61" s="194"/>
      <c r="G61" s="194"/>
      <c r="H61" s="194"/>
      <c r="I61" s="194"/>
      <c r="J61" s="194"/>
      <c r="K61" s="194"/>
      <c r="L61" s="194"/>
      <c r="O61" s="366">
        <f t="shared" si="11"/>
        <v>350</v>
      </c>
      <c r="P61" s="393">
        <f t="shared" si="12"/>
        <v>350</v>
      </c>
      <c r="Q61" s="368">
        <f t="shared" si="13"/>
        <v>0</v>
      </c>
      <c r="R61" s="374" t="str">
        <f t="shared" si="14"/>
        <v/>
      </c>
      <c r="S61" s="367"/>
      <c r="T61" s="553"/>
      <c r="U61" s="368"/>
      <c r="V61" s="23"/>
      <c r="W61" s="4"/>
      <c r="X61" s="4"/>
      <c r="Y61" s="4"/>
    </row>
    <row r="62" spans="1:25" x14ac:dyDescent="0.25">
      <c r="A62" s="724">
        <v>5710</v>
      </c>
      <c r="B62" s="369" t="s">
        <v>758</v>
      </c>
      <c r="C62" s="365">
        <v>399.34</v>
      </c>
      <c r="D62" s="365">
        <v>407.12</v>
      </c>
      <c r="E62" s="365">
        <v>397.89</v>
      </c>
      <c r="F62" s="194"/>
      <c r="G62" s="194"/>
      <c r="H62" s="194"/>
      <c r="I62" s="194"/>
      <c r="J62" s="194"/>
      <c r="K62" s="194"/>
      <c r="L62" s="194"/>
      <c r="O62" s="366">
        <f t="shared" si="11"/>
        <v>900</v>
      </c>
      <c r="P62" s="393">
        <f t="shared" si="12"/>
        <v>900</v>
      </c>
      <c r="Q62" s="368">
        <f t="shared" si="13"/>
        <v>0</v>
      </c>
      <c r="R62" s="374" t="str">
        <f t="shared" si="14"/>
        <v/>
      </c>
      <c r="S62" s="367"/>
      <c r="T62" s="553"/>
      <c r="U62" s="368"/>
      <c r="V62" s="23"/>
      <c r="W62" s="4"/>
      <c r="X62" s="4"/>
      <c r="Y62" s="4"/>
    </row>
    <row r="63" spans="1:25" ht="13.8" thickBot="1" x14ac:dyDescent="0.3">
      <c r="A63" s="724">
        <v>5730</v>
      </c>
      <c r="B63" s="369" t="s">
        <v>759</v>
      </c>
      <c r="C63" s="371">
        <v>401</v>
      </c>
      <c r="D63" s="371">
        <v>594.5</v>
      </c>
      <c r="E63" s="371">
        <v>551</v>
      </c>
      <c r="F63" s="194"/>
      <c r="G63" s="194"/>
      <c r="H63" s="194"/>
      <c r="I63" s="194"/>
      <c r="J63" s="194"/>
      <c r="K63" s="194"/>
      <c r="L63" s="194"/>
      <c r="O63" s="366">
        <f t="shared" si="11"/>
        <v>450</v>
      </c>
      <c r="P63" s="393">
        <f t="shared" si="12"/>
        <v>500</v>
      </c>
      <c r="Q63" s="368">
        <f t="shared" si="13"/>
        <v>50</v>
      </c>
      <c r="R63" s="374">
        <f t="shared" si="14"/>
        <v>0.1111</v>
      </c>
      <c r="S63" s="367" t="s">
        <v>2352</v>
      </c>
      <c r="T63" s="553"/>
      <c r="U63" s="368"/>
      <c r="V63" s="23"/>
      <c r="W63" s="4"/>
      <c r="X63" s="4"/>
      <c r="Y63" s="4"/>
    </row>
    <row r="64" spans="1:25" x14ac:dyDescent="0.25">
      <c r="A64" s="703"/>
      <c r="B64" s="4"/>
      <c r="C64" s="23"/>
      <c r="D64" s="23"/>
      <c r="E64" s="23"/>
      <c r="F64" s="23"/>
      <c r="G64" s="23"/>
      <c r="H64" s="194"/>
      <c r="I64" s="194"/>
      <c r="J64" s="194"/>
      <c r="K64" s="194"/>
      <c r="L64" s="194"/>
      <c r="O64" s="23"/>
      <c r="P64" s="23"/>
      <c r="Q64" s="23"/>
      <c r="R64" s="4"/>
      <c r="S64" s="23"/>
      <c r="T64" s="23"/>
      <c r="U64" s="23"/>
      <c r="V64" s="23"/>
      <c r="W64" s="4"/>
      <c r="X64" s="4"/>
      <c r="Y64" s="4"/>
    </row>
    <row r="65" spans="1:25" x14ac:dyDescent="0.25">
      <c r="A65" s="703"/>
      <c r="B65" s="4" t="s">
        <v>735</v>
      </c>
      <c r="C65" s="23"/>
      <c r="D65" s="23"/>
      <c r="E65" s="23"/>
      <c r="F65" s="23"/>
      <c r="G65" s="23"/>
      <c r="H65" s="194"/>
      <c r="I65" s="194"/>
      <c r="J65" s="194"/>
      <c r="K65" s="194"/>
      <c r="L65" s="194"/>
      <c r="O65" s="597">
        <f>SUM(O46:O63)</f>
        <v>134429</v>
      </c>
      <c r="P65" s="597">
        <f>SUM(P46:P63)</f>
        <v>140788</v>
      </c>
      <c r="Q65" s="25">
        <f>+P65-O65</f>
        <v>6359</v>
      </c>
      <c r="R65" s="598">
        <f>IF(O65+P65&lt;&gt;0,IF(O65&lt;&gt;0,IF(Q65&lt;&gt;0,ROUND((+Q65/O65),4),""),1),"")</f>
        <v>4.7300000000000002E-2</v>
      </c>
      <c r="S65" s="23"/>
      <c r="T65" s="23"/>
      <c r="U65" s="23"/>
      <c r="V65" s="23"/>
      <c r="W65" s="4"/>
      <c r="X65" s="4"/>
      <c r="Y65" s="4"/>
    </row>
    <row r="66" spans="1:25" x14ac:dyDescent="0.25">
      <c r="A66" s="703"/>
      <c r="B66" s="4"/>
      <c r="C66" s="23"/>
      <c r="D66" s="23"/>
      <c r="E66" s="23"/>
      <c r="F66" s="23"/>
      <c r="G66" s="23"/>
      <c r="H66" s="194"/>
      <c r="I66" s="194"/>
      <c r="J66" s="194"/>
      <c r="K66" s="23"/>
      <c r="L66" s="23"/>
      <c r="M66" s="23"/>
      <c r="N66" s="23"/>
      <c r="O66" s="23"/>
      <c r="P66" s="23"/>
      <c r="Q66" s="23"/>
      <c r="R66" s="4"/>
      <c r="S66" s="23"/>
      <c r="T66" s="23"/>
      <c r="U66" s="23"/>
      <c r="V66" s="23"/>
      <c r="W66" s="4"/>
      <c r="X66" s="4"/>
      <c r="Y66" s="4"/>
    </row>
    <row r="67" spans="1:25" x14ac:dyDescent="0.25">
      <c r="A67" s="703"/>
      <c r="B67" s="4"/>
      <c r="C67" s="23"/>
      <c r="D67" s="23"/>
      <c r="E67" s="23"/>
      <c r="F67" s="23"/>
      <c r="G67" s="23"/>
      <c r="H67" s="194"/>
      <c r="I67" s="23"/>
      <c r="J67" s="23"/>
      <c r="K67" s="23"/>
      <c r="L67" s="23"/>
      <c r="M67" s="23"/>
      <c r="N67" s="23"/>
      <c r="O67" s="23"/>
      <c r="P67" s="23"/>
      <c r="Q67" s="23"/>
      <c r="R67" s="4"/>
      <c r="S67" s="23"/>
      <c r="T67" s="23"/>
      <c r="U67" s="23"/>
      <c r="V67" s="23"/>
      <c r="W67" s="4"/>
      <c r="X67" s="4"/>
      <c r="Y67" s="4"/>
    </row>
    <row r="68" spans="1:25" x14ac:dyDescent="0.25">
      <c r="A68" s="703"/>
      <c r="B68" s="4"/>
      <c r="C68" s="23"/>
      <c r="D68" s="23"/>
      <c r="E68" s="23"/>
      <c r="F68" s="23"/>
      <c r="G68" s="23"/>
      <c r="H68" s="194"/>
      <c r="I68" s="23"/>
      <c r="J68" s="23"/>
      <c r="K68" s="23"/>
      <c r="L68" s="23"/>
      <c r="M68" s="23"/>
      <c r="N68" s="23"/>
      <c r="O68" s="23"/>
      <c r="P68" s="23"/>
      <c r="Q68" s="23"/>
      <c r="R68" s="4"/>
      <c r="S68" s="23"/>
      <c r="T68" s="23"/>
      <c r="U68" s="23"/>
      <c r="V68" s="23"/>
      <c r="W68" s="4"/>
      <c r="X68" s="4"/>
      <c r="Y68" s="4"/>
    </row>
    <row r="69" spans="1:25" x14ac:dyDescent="0.25">
      <c r="A69" s="703"/>
      <c r="B69" s="4"/>
      <c r="C69" s="23"/>
      <c r="D69" s="23"/>
      <c r="E69" s="23"/>
      <c r="F69" s="23"/>
      <c r="G69" s="23"/>
      <c r="H69" s="23"/>
      <c r="I69" s="23"/>
      <c r="J69" s="23"/>
      <c r="K69" s="23"/>
      <c r="L69" s="23"/>
      <c r="M69" s="23"/>
      <c r="N69" s="23"/>
      <c r="O69" s="23"/>
      <c r="P69" s="23"/>
      <c r="Q69" s="23"/>
      <c r="R69" s="4"/>
      <c r="S69" s="23"/>
      <c r="T69" s="23"/>
      <c r="U69" s="23"/>
      <c r="V69" s="23"/>
      <c r="W69" s="4"/>
      <c r="X69" s="4"/>
      <c r="Y69" s="4"/>
    </row>
    <row r="70" spans="1:25" x14ac:dyDescent="0.25">
      <c r="A70" s="703"/>
      <c r="B70" s="4"/>
      <c r="C70" s="23"/>
      <c r="D70" s="23"/>
      <c r="E70" s="23"/>
      <c r="F70" s="23"/>
      <c r="G70" s="23"/>
      <c r="H70" s="23"/>
      <c r="I70" s="23"/>
      <c r="J70" s="23"/>
      <c r="K70" s="23"/>
      <c r="L70" s="23"/>
      <c r="M70" s="23"/>
      <c r="N70" s="23"/>
      <c r="O70" s="23"/>
      <c r="P70" s="23"/>
      <c r="Q70" s="23"/>
      <c r="R70" s="4"/>
      <c r="S70" s="23"/>
      <c r="T70" s="23"/>
      <c r="U70" s="23"/>
      <c r="V70" s="23"/>
      <c r="W70" s="4"/>
      <c r="X70" s="4"/>
      <c r="Y70" s="4"/>
    </row>
    <row r="71" spans="1:25" x14ac:dyDescent="0.25">
      <c r="A71" s="703"/>
      <c r="B71" s="4"/>
      <c r="C71" s="23"/>
      <c r="D71" s="23"/>
      <c r="E71" s="23"/>
      <c r="F71" s="23"/>
      <c r="G71" s="23"/>
      <c r="H71" s="23"/>
      <c r="I71" s="23"/>
      <c r="J71" s="23"/>
      <c r="K71" s="23"/>
      <c r="L71" s="23"/>
      <c r="M71" s="23"/>
      <c r="N71" s="23"/>
      <c r="O71" s="23"/>
      <c r="P71" s="23"/>
      <c r="Q71" s="23"/>
      <c r="R71" s="4"/>
      <c r="S71" s="23"/>
      <c r="T71" s="23"/>
      <c r="U71" s="23"/>
      <c r="V71" s="23"/>
      <c r="W71" s="4"/>
      <c r="X71" s="4"/>
      <c r="Y71" s="4"/>
    </row>
    <row r="72" spans="1:25" x14ac:dyDescent="0.25">
      <c r="A72" s="703"/>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5">
      <c r="A73" s="703"/>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5">
      <c r="A74" s="703"/>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5">
      <c r="A75" s="703"/>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5">
      <c r="A76" s="703"/>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5">
      <c r="A77" s="703"/>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5">
      <c r="A78" s="703"/>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5">
      <c r="A79" s="703"/>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5">
      <c r="A80" s="703"/>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5">
      <c r="A81" s="703"/>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5">
      <c r="A82" s="703"/>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5">
      <c r="A83" s="703"/>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5">
      <c r="A84" s="703"/>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5">
      <c r="A85" s="703"/>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5">
      <c r="A86" s="703"/>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5">
      <c r="A87" s="703"/>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5">
      <c r="A88" s="703"/>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5">
      <c r="A89" s="703"/>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5">
      <c r="A90" s="703"/>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5">
      <c r="A91" s="703"/>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5">
      <c r="A92" s="703"/>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5">
      <c r="A93" s="703"/>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5">
      <c r="A94" s="703"/>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5">
      <c r="A95" s="703"/>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5">
      <c r="A96" s="703"/>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5">
      <c r="A97" s="703"/>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5">
      <c r="A98" s="703"/>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5">
      <c r="A99" s="703"/>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5">
      <c r="A100" s="703"/>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5">
      <c r="A101" s="703"/>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5">
      <c r="A102" s="703"/>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5">
      <c r="A103" s="703"/>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5">
      <c r="A104" s="703"/>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5">
      <c r="A105" s="703"/>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5">
      <c r="A106" s="703"/>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5">
      <c r="A107" s="703"/>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5">
      <c r="A108" s="703"/>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5">
      <c r="A109" s="703"/>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5">
      <c r="A110" s="703"/>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5">
      <c r="A111" s="703"/>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5">
      <c r="A112" s="703"/>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1:25" x14ac:dyDescent="0.25">
      <c r="A113" s="703"/>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row>
    <row r="114" spans="1:25" x14ac:dyDescent="0.25">
      <c r="A114" s="703"/>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row>
    <row r="115" spans="1:25" x14ac:dyDescent="0.25">
      <c r="C115" s="194"/>
      <c r="D115" s="194"/>
      <c r="E115" s="194"/>
      <c r="F115" s="194"/>
      <c r="G115" s="194"/>
      <c r="H115" s="194"/>
      <c r="I115" s="194"/>
      <c r="J115" s="194"/>
      <c r="K115" s="194"/>
      <c r="L115" s="194"/>
      <c r="M115" s="194"/>
      <c r="N115" s="194"/>
      <c r="O115" s="194"/>
      <c r="P115" s="194"/>
      <c r="Q115" s="194"/>
    </row>
    <row r="116" spans="1:25" x14ac:dyDescent="0.25">
      <c r="C116" s="194"/>
      <c r="D116" s="194"/>
      <c r="E116" s="194"/>
      <c r="F116" s="194"/>
      <c r="G116" s="194"/>
      <c r="H116" s="194"/>
      <c r="I116" s="194"/>
      <c r="J116" s="194"/>
      <c r="K116" s="194"/>
      <c r="L116" s="194"/>
      <c r="M116" s="194"/>
      <c r="N116" s="194"/>
      <c r="O116" s="194"/>
      <c r="P116" s="194"/>
      <c r="Q116" s="194"/>
    </row>
    <row r="117" spans="1:25" x14ac:dyDescent="0.25">
      <c r="C117" s="194"/>
      <c r="D117" s="194"/>
      <c r="E117" s="194"/>
      <c r="F117" s="194"/>
      <c r="G117" s="194"/>
      <c r="H117" s="194"/>
      <c r="I117" s="194"/>
      <c r="J117" s="194"/>
      <c r="K117" s="194"/>
      <c r="L117" s="194"/>
      <c r="M117" s="194"/>
      <c r="N117" s="194"/>
      <c r="O117" s="194"/>
      <c r="P117" s="194"/>
      <c r="Q117" s="194"/>
    </row>
    <row r="118" spans="1:25" x14ac:dyDescent="0.25">
      <c r="C118" s="194"/>
      <c r="D118" s="194"/>
      <c r="E118" s="194"/>
      <c r="F118" s="194"/>
      <c r="G118" s="194"/>
      <c r="H118" s="194"/>
      <c r="I118" s="194"/>
      <c r="J118" s="194"/>
      <c r="K118" s="194"/>
      <c r="L118" s="194"/>
      <c r="M118" s="194"/>
      <c r="N118" s="194"/>
      <c r="O118" s="194"/>
      <c r="P118" s="194"/>
      <c r="Q118" s="194"/>
    </row>
    <row r="119" spans="1:25" x14ac:dyDescent="0.25">
      <c r="C119" s="194"/>
      <c r="D119" s="194"/>
      <c r="E119" s="194"/>
      <c r="F119" s="194"/>
      <c r="G119" s="194"/>
      <c r="H119" s="194"/>
      <c r="I119" s="194"/>
      <c r="J119" s="194"/>
      <c r="K119" s="194"/>
      <c r="L119" s="194"/>
      <c r="M119" s="194"/>
      <c r="N119" s="194"/>
      <c r="O119" s="194"/>
      <c r="P119" s="194"/>
      <c r="Q119" s="194"/>
    </row>
    <row r="120" spans="1:25" x14ac:dyDescent="0.25">
      <c r="C120" s="194"/>
      <c r="D120" s="194"/>
      <c r="E120" s="194"/>
      <c r="F120" s="194"/>
      <c r="G120" s="194"/>
      <c r="H120" s="194"/>
      <c r="I120" s="194"/>
      <c r="J120" s="194"/>
      <c r="K120" s="194"/>
      <c r="L120" s="194"/>
      <c r="M120" s="194"/>
      <c r="N120" s="194"/>
      <c r="O120" s="194"/>
      <c r="P120" s="194"/>
      <c r="Q120" s="194"/>
    </row>
    <row r="121" spans="1:25" x14ac:dyDescent="0.25">
      <c r="C121" s="194"/>
      <c r="D121" s="194"/>
      <c r="E121" s="194"/>
      <c r="F121" s="194"/>
      <c r="G121" s="194"/>
      <c r="H121" s="194"/>
      <c r="I121" s="194"/>
      <c r="J121" s="194"/>
      <c r="K121" s="194"/>
      <c r="L121" s="194"/>
      <c r="M121" s="194"/>
      <c r="N121" s="194"/>
      <c r="O121" s="194"/>
      <c r="P121" s="194"/>
      <c r="Q121" s="194"/>
    </row>
    <row r="122" spans="1:25" x14ac:dyDescent="0.25">
      <c r="C122" s="194"/>
      <c r="D122" s="194"/>
      <c r="E122" s="194"/>
      <c r="F122" s="194"/>
      <c r="G122" s="194"/>
      <c r="H122" s="194"/>
      <c r="I122" s="194"/>
      <c r="J122" s="194"/>
      <c r="K122" s="194"/>
      <c r="L122" s="194"/>
      <c r="M122" s="194"/>
      <c r="N122" s="194"/>
      <c r="O122" s="194"/>
      <c r="P122" s="194"/>
      <c r="Q122" s="194"/>
    </row>
    <row r="123" spans="1:25" x14ac:dyDescent="0.25">
      <c r="C123" s="194"/>
      <c r="D123" s="194"/>
      <c r="E123" s="194"/>
      <c r="F123" s="194"/>
      <c r="G123" s="194"/>
      <c r="H123" s="194"/>
      <c r="I123" s="194"/>
      <c r="J123" s="194"/>
      <c r="K123" s="194"/>
      <c r="L123" s="194"/>
      <c r="M123" s="194"/>
      <c r="N123" s="194"/>
      <c r="O123" s="194"/>
      <c r="P123" s="194"/>
      <c r="Q123" s="194"/>
    </row>
    <row r="124" spans="1:25" x14ac:dyDescent="0.25">
      <c r="C124" s="194"/>
      <c r="D124" s="194"/>
      <c r="E124" s="194"/>
      <c r="F124" s="194"/>
      <c r="G124" s="194"/>
      <c r="H124" s="194"/>
      <c r="I124" s="194"/>
      <c r="J124" s="194"/>
      <c r="K124" s="194"/>
      <c r="L124" s="194"/>
      <c r="M124" s="194"/>
      <c r="N124" s="194"/>
      <c r="O124" s="194"/>
      <c r="P124" s="194"/>
      <c r="Q124" s="194"/>
    </row>
    <row r="125" spans="1:25" x14ac:dyDescent="0.25">
      <c r="C125" s="194"/>
      <c r="D125" s="194"/>
      <c r="E125" s="194"/>
      <c r="F125" s="194"/>
      <c r="G125" s="194"/>
      <c r="H125" s="194"/>
      <c r="I125" s="194"/>
      <c r="J125" s="194"/>
      <c r="K125" s="194"/>
      <c r="L125" s="194"/>
      <c r="M125" s="194"/>
      <c r="N125" s="194"/>
      <c r="O125" s="194"/>
      <c r="P125" s="194"/>
      <c r="Q125" s="194"/>
    </row>
    <row r="126" spans="1:25" x14ac:dyDescent="0.25">
      <c r="C126" s="194"/>
      <c r="D126" s="194"/>
      <c r="E126" s="194"/>
      <c r="F126" s="194"/>
      <c r="G126" s="194"/>
      <c r="H126" s="194"/>
      <c r="I126" s="194"/>
      <c r="J126" s="194"/>
      <c r="K126" s="194"/>
      <c r="L126" s="194"/>
      <c r="M126" s="194"/>
      <c r="N126" s="194"/>
      <c r="O126" s="194"/>
      <c r="P126" s="194"/>
      <c r="Q126" s="194"/>
    </row>
    <row r="127" spans="1:25" x14ac:dyDescent="0.25">
      <c r="C127" s="194"/>
      <c r="D127" s="194"/>
      <c r="E127" s="194"/>
      <c r="F127" s="194"/>
      <c r="G127" s="194"/>
      <c r="H127" s="194"/>
      <c r="I127" s="194"/>
      <c r="J127" s="194"/>
      <c r="K127" s="194"/>
      <c r="L127" s="194"/>
      <c r="M127" s="194"/>
      <c r="N127" s="194"/>
      <c r="O127" s="194"/>
      <c r="P127" s="194"/>
      <c r="Q127" s="194"/>
    </row>
    <row r="128" spans="1:25" x14ac:dyDescent="0.25">
      <c r="C128" s="194"/>
      <c r="D128" s="194"/>
      <c r="E128" s="194"/>
      <c r="F128" s="194"/>
      <c r="G128" s="194"/>
      <c r="H128" s="194"/>
      <c r="I128" s="194"/>
      <c r="J128" s="194"/>
      <c r="K128" s="194"/>
      <c r="L128" s="194"/>
      <c r="M128" s="194"/>
      <c r="N128" s="194"/>
      <c r="O128" s="194"/>
      <c r="P128" s="194"/>
      <c r="Q128" s="194"/>
    </row>
    <row r="129" spans="3:17" x14ac:dyDescent="0.25">
      <c r="C129" s="194"/>
      <c r="D129" s="194"/>
      <c r="E129" s="194"/>
      <c r="F129" s="194"/>
      <c r="G129" s="194"/>
      <c r="H129" s="194"/>
      <c r="I129" s="194"/>
      <c r="J129" s="194"/>
      <c r="K129" s="194"/>
      <c r="L129" s="194"/>
      <c r="M129" s="194"/>
      <c r="N129" s="194"/>
      <c r="O129" s="194"/>
      <c r="P129" s="194"/>
      <c r="Q129" s="194"/>
    </row>
    <row r="130" spans="3:17" x14ac:dyDescent="0.25">
      <c r="C130" s="194"/>
    </row>
    <row r="131" spans="3:17" x14ac:dyDescent="0.25">
      <c r="C131" s="194"/>
    </row>
    <row r="132" spans="3:17" x14ac:dyDescent="0.25">
      <c r="C132" s="194"/>
    </row>
    <row r="133" spans="3:17" x14ac:dyDescent="0.25">
      <c r="C133" s="194"/>
    </row>
    <row r="134" spans="3:17" x14ac:dyDescent="0.25">
      <c r="C134" s="194"/>
    </row>
    <row r="135" spans="3:17" x14ac:dyDescent="0.25">
      <c r="C135" s="194"/>
    </row>
    <row r="136" spans="3:17" x14ac:dyDescent="0.25">
      <c r="C136" s="194"/>
    </row>
    <row r="137" spans="3:17" x14ac:dyDescent="0.25">
      <c r="C137" s="194"/>
    </row>
    <row r="138" spans="3:17" x14ac:dyDescent="0.25">
      <c r="C138" s="194"/>
    </row>
    <row r="139" spans="3:17" x14ac:dyDescent="0.25">
      <c r="C139" s="194"/>
    </row>
    <row r="140" spans="3:17" x14ac:dyDescent="0.25">
      <c r="C140" s="194"/>
    </row>
    <row r="141" spans="3:17" x14ac:dyDescent="0.25">
      <c r="C141" s="194"/>
    </row>
    <row r="142" spans="3:17" x14ac:dyDescent="0.25">
      <c r="C142" s="194"/>
    </row>
    <row r="143" spans="3:17" x14ac:dyDescent="0.25">
      <c r="C143" s="194"/>
    </row>
    <row r="144" spans="3:17"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sheetData>
  <phoneticPr fontId="0" type="noConversion"/>
  <hyperlinks>
    <hyperlink ref="A1" location="'Working Budget with funding det'!A1" display="Main " xr:uid="{00000000-0004-0000-1500-000000000000}"/>
    <hyperlink ref="B1" location="'Table of Contents'!A1" display="TOC" xr:uid="{00000000-0004-0000-1500-000001000000}"/>
  </hyperlinks>
  <pageMargins left="0.75" right="0.75" top="1" bottom="1" header="0.5" footer="0.5"/>
  <pageSetup scale="90" fitToHeight="2" orientation="landscape" horizontalDpi="300" verticalDpi="300" r:id="rId1"/>
  <headerFooter alignWithMargins="0">
    <oddFooter>&amp;L&amp;D     &amp;T&amp;C&amp;F&amp;R&amp;A</oddFooter>
  </headerFooter>
  <rowBreaks count="1" manualBreakCount="1">
    <brk id="42" max="1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Y185"/>
  <sheetViews>
    <sheetView workbookViewId="0">
      <selection activeCell="R13" sqref="R13"/>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705</v>
      </c>
      <c r="B2" s="43"/>
      <c r="D2" s="194"/>
      <c r="E2" s="125"/>
      <c r="F2" s="194"/>
      <c r="G2" s="194"/>
      <c r="H2" s="194"/>
      <c r="I2" s="125" t="s">
        <v>706</v>
      </c>
      <c r="J2" s="125"/>
      <c r="K2" s="125"/>
      <c r="L2" s="125"/>
      <c r="M2" s="125"/>
      <c r="N2" s="125"/>
      <c r="O2" s="125"/>
      <c r="P2" s="125"/>
      <c r="Q2" s="125"/>
      <c r="R2" s="58" t="s">
        <v>99</v>
      </c>
      <c r="U2" s="44" t="s">
        <v>941</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48"/>
      <c r="B8" s="185"/>
      <c r="C8" s="582"/>
      <c r="D8" s="118"/>
      <c r="E8" s="118"/>
      <c r="F8" s="118"/>
      <c r="G8" s="118"/>
      <c r="H8" s="118"/>
      <c r="I8" s="106"/>
      <c r="J8" s="106"/>
      <c r="K8" s="106"/>
      <c r="L8" s="106"/>
      <c r="M8" s="106"/>
      <c r="N8" s="106"/>
      <c r="O8" s="106"/>
      <c r="P8" s="106"/>
      <c r="Q8" s="106"/>
      <c r="R8" s="118"/>
      <c r="S8" s="106"/>
      <c r="T8" s="106"/>
      <c r="U8" s="106"/>
    </row>
    <row r="9" spans="1:24" x14ac:dyDescent="0.25">
      <c r="A9" s="708">
        <v>5308</v>
      </c>
      <c r="B9" s="60" t="s">
        <v>942</v>
      </c>
      <c r="C9" s="115"/>
      <c r="D9" s="13">
        <v>0</v>
      </c>
      <c r="E9" s="13"/>
      <c r="F9" s="13"/>
      <c r="G9" s="13"/>
      <c r="H9" s="13"/>
      <c r="I9" s="13"/>
      <c r="J9" s="13"/>
      <c r="K9" s="14">
        <v>300</v>
      </c>
      <c r="L9" s="13"/>
      <c r="M9" s="14">
        <v>300</v>
      </c>
      <c r="N9" s="13"/>
      <c r="O9" s="14">
        <v>300</v>
      </c>
      <c r="P9" s="13"/>
      <c r="Q9" s="14">
        <v>300</v>
      </c>
      <c r="R9" s="13"/>
      <c r="S9" s="14">
        <v>300</v>
      </c>
      <c r="T9" s="14"/>
      <c r="U9" s="14"/>
    </row>
    <row r="10" spans="1:24" x14ac:dyDescent="0.25">
      <c r="A10" s="708">
        <v>5314</v>
      </c>
      <c r="B10" s="60" t="s">
        <v>749</v>
      </c>
      <c r="C10" s="115"/>
      <c r="D10" s="13">
        <v>0</v>
      </c>
      <c r="E10" s="13">
        <v>40</v>
      </c>
      <c r="F10" s="13"/>
      <c r="G10" s="13"/>
      <c r="H10" s="13"/>
      <c r="I10" s="13"/>
      <c r="J10" s="13"/>
      <c r="K10" s="14">
        <v>100</v>
      </c>
      <c r="L10" s="13"/>
      <c r="M10" s="14">
        <v>100</v>
      </c>
      <c r="N10" s="13"/>
      <c r="O10" s="14">
        <v>100</v>
      </c>
      <c r="P10" s="13"/>
      <c r="Q10" s="14">
        <v>100</v>
      </c>
      <c r="R10" s="13"/>
      <c r="S10" s="14">
        <v>100</v>
      </c>
      <c r="T10" s="14"/>
      <c r="U10" s="14"/>
    </row>
    <row r="11" spans="1:24" x14ac:dyDescent="0.25">
      <c r="A11" s="708">
        <v>5344</v>
      </c>
      <c r="B11" s="60" t="s">
        <v>722</v>
      </c>
      <c r="C11" s="115">
        <v>318.62</v>
      </c>
      <c r="D11" s="13">
        <v>175.36</v>
      </c>
      <c r="E11" s="13">
        <v>215.24</v>
      </c>
      <c r="F11" s="13">
        <v>205.9</v>
      </c>
      <c r="G11" s="13">
        <v>198.64</v>
      </c>
      <c r="H11" s="13">
        <v>372.54</v>
      </c>
      <c r="I11" s="13">
        <v>173.23</v>
      </c>
      <c r="J11" s="13">
        <v>137.80000000000001</v>
      </c>
      <c r="K11" s="14">
        <v>350</v>
      </c>
      <c r="L11" s="13"/>
      <c r="M11" s="14">
        <v>150</v>
      </c>
      <c r="N11" s="13">
        <v>194.44</v>
      </c>
      <c r="O11" s="14">
        <v>150</v>
      </c>
      <c r="P11" s="13">
        <v>262.33999999999997</v>
      </c>
      <c r="Q11" s="14">
        <v>150</v>
      </c>
      <c r="R11" s="127"/>
      <c r="S11" s="14">
        <v>150</v>
      </c>
      <c r="T11" s="14"/>
      <c r="U11" s="14"/>
    </row>
    <row r="12" spans="1:24" x14ac:dyDescent="0.25">
      <c r="A12" s="708">
        <v>5345</v>
      </c>
      <c r="B12" s="60" t="s">
        <v>752</v>
      </c>
      <c r="C12" s="115">
        <v>3015</v>
      </c>
      <c r="D12" s="13">
        <v>884.56</v>
      </c>
      <c r="E12" s="13">
        <v>911.4</v>
      </c>
      <c r="F12" s="13">
        <v>1548.87</v>
      </c>
      <c r="G12" s="13">
        <v>1881.72</v>
      </c>
      <c r="H12" s="13">
        <v>2242.96</v>
      </c>
      <c r="I12" s="13">
        <v>269.26</v>
      </c>
      <c r="J12" s="13">
        <v>354.3</v>
      </c>
      <c r="K12" s="14"/>
      <c r="L12" s="13">
        <v>214.56</v>
      </c>
      <c r="M12" s="14"/>
      <c r="N12" s="13"/>
      <c r="O12" s="14"/>
      <c r="P12" s="13"/>
      <c r="Q12" s="14"/>
      <c r="R12" s="13">
        <v>141.12</v>
      </c>
      <c r="S12" s="14"/>
      <c r="T12" s="14"/>
      <c r="U12" s="14"/>
    </row>
    <row r="13" spans="1:24" x14ac:dyDescent="0.25">
      <c r="A13" s="708">
        <v>5420</v>
      </c>
      <c r="B13" s="60" t="s">
        <v>753</v>
      </c>
      <c r="C13" s="117">
        <v>103.4</v>
      </c>
      <c r="D13" s="18">
        <v>19.78</v>
      </c>
      <c r="E13" s="18">
        <v>71.92</v>
      </c>
      <c r="F13" s="18">
        <v>448.91</v>
      </c>
      <c r="G13" s="18">
        <v>6.5</v>
      </c>
      <c r="H13" s="18">
        <v>450</v>
      </c>
      <c r="I13" s="18">
        <v>168.99</v>
      </c>
      <c r="J13" s="18">
        <v>297.47000000000003</v>
      </c>
      <c r="K13" s="19">
        <v>450</v>
      </c>
      <c r="L13" s="18"/>
      <c r="M13" s="19">
        <v>150</v>
      </c>
      <c r="N13" s="18">
        <v>114.98</v>
      </c>
      <c r="O13" s="19">
        <v>150</v>
      </c>
      <c r="P13" s="18"/>
      <c r="Q13" s="19">
        <v>150</v>
      </c>
      <c r="R13" s="18"/>
      <c r="S13" s="19">
        <v>150</v>
      </c>
      <c r="T13" s="19"/>
      <c r="U13" s="19"/>
    </row>
    <row r="14" spans="1:24" ht="13.8" thickBot="1" x14ac:dyDescent="0.3">
      <c r="A14" s="708">
        <v>5730</v>
      </c>
      <c r="B14" s="60" t="s">
        <v>759</v>
      </c>
      <c r="C14" s="581"/>
      <c r="D14" s="37">
        <v>0</v>
      </c>
      <c r="E14" s="37"/>
      <c r="F14" s="37"/>
      <c r="G14" s="37"/>
      <c r="H14" s="37"/>
      <c r="I14" s="37"/>
      <c r="J14" s="37"/>
      <c r="K14" s="38"/>
      <c r="L14" s="37"/>
      <c r="M14" s="38"/>
      <c r="N14" s="37"/>
      <c r="O14" s="38"/>
      <c r="P14" s="37"/>
      <c r="Q14" s="38"/>
      <c r="R14" s="37"/>
      <c r="S14" s="38"/>
      <c r="T14" s="38"/>
      <c r="U14" s="38"/>
    </row>
    <row r="15" spans="1:24" x14ac:dyDescent="0.25">
      <c r="A15" s="708"/>
      <c r="B15" s="61" t="s">
        <v>728</v>
      </c>
      <c r="C15" s="117">
        <f t="shared" ref="C15:R15" si="0">SUM(C9:C14)</f>
        <v>3437.02</v>
      </c>
      <c r="D15" s="18">
        <f t="shared" si="0"/>
        <v>1079.7</v>
      </c>
      <c r="E15" s="18">
        <f t="shared" si="0"/>
        <v>1238.56</v>
      </c>
      <c r="F15" s="18">
        <f>SUM(F9:F14)</f>
        <v>2203.6799999999998</v>
      </c>
      <c r="G15" s="18">
        <f>SUM(G9:G14)</f>
        <v>2086.86</v>
      </c>
      <c r="H15" s="18">
        <f>SUM(H9:H14)</f>
        <v>3065.5</v>
      </c>
      <c r="I15" s="18">
        <f t="shared" si="0"/>
        <v>611.48</v>
      </c>
      <c r="J15" s="18">
        <f t="shared" ref="J15" si="1">SUM(J9:J14)</f>
        <v>789.57</v>
      </c>
      <c r="K15" s="19">
        <f>SUM(K9:K14)</f>
        <v>1200</v>
      </c>
      <c r="L15" s="111">
        <f t="shared" ref="L15:O15" si="2">SUM(L9:L14)</f>
        <v>214.56</v>
      </c>
      <c r="M15" s="19">
        <f t="shared" si="2"/>
        <v>700</v>
      </c>
      <c r="N15" s="111">
        <f t="shared" ref="N15" si="3">SUM(N9:N14)</f>
        <v>309.42</v>
      </c>
      <c r="O15" s="19">
        <f t="shared" si="2"/>
        <v>700</v>
      </c>
      <c r="P15" s="18">
        <f t="shared" ref="P15" si="4">SUM(P9:P14)</f>
        <v>262.33999999999997</v>
      </c>
      <c r="Q15" s="19">
        <f>SUM(Q9:Q14)</f>
        <v>700</v>
      </c>
      <c r="R15" s="18">
        <f t="shared" si="0"/>
        <v>141.12</v>
      </c>
      <c r="S15" s="19">
        <f>SUM(S9:S14)</f>
        <v>700</v>
      </c>
      <c r="T15" s="19"/>
      <c r="U15" s="19">
        <f>SUM(U9:U14)</f>
        <v>0</v>
      </c>
    </row>
    <row r="16" spans="1:24" x14ac:dyDescent="0.25">
      <c r="A16" s="708"/>
      <c r="B16" s="60"/>
      <c r="C16" s="115"/>
      <c r="D16" s="13"/>
      <c r="E16" s="13"/>
      <c r="F16" s="13"/>
      <c r="G16" s="13"/>
      <c r="H16" s="13"/>
      <c r="I16" s="13"/>
      <c r="J16" s="13"/>
      <c r="K16" s="40"/>
      <c r="L16" s="13"/>
      <c r="M16" s="40"/>
      <c r="N16" s="13"/>
      <c r="O16" s="40"/>
      <c r="P16" s="13"/>
      <c r="Q16" s="40"/>
      <c r="R16" s="13"/>
      <c r="S16" s="40"/>
      <c r="T16" s="40"/>
      <c r="U16" s="40"/>
    </row>
    <row r="17" spans="1:24" x14ac:dyDescent="0.25">
      <c r="A17" s="708"/>
      <c r="B17" s="60"/>
      <c r="C17" s="115"/>
      <c r="D17" s="13"/>
      <c r="E17" s="13"/>
      <c r="F17" s="13"/>
      <c r="G17" s="13"/>
      <c r="H17" s="13"/>
      <c r="I17" s="13"/>
      <c r="J17" s="13"/>
      <c r="K17" s="40"/>
      <c r="L17" s="13"/>
      <c r="M17" s="40"/>
      <c r="N17" s="13"/>
      <c r="O17" s="40"/>
      <c r="P17" s="13"/>
      <c r="Q17" s="40"/>
      <c r="R17" s="13"/>
      <c r="S17" s="40"/>
      <c r="T17" s="40"/>
      <c r="U17" s="40"/>
    </row>
    <row r="18" spans="1:24" ht="13.8" thickBot="1" x14ac:dyDescent="0.3">
      <c r="A18" s="709"/>
      <c r="B18" s="583" t="s">
        <v>943</v>
      </c>
      <c r="C18" s="577">
        <f t="shared" ref="C18:S18" si="5">+C15</f>
        <v>3437.02</v>
      </c>
      <c r="D18" s="21">
        <f t="shared" si="5"/>
        <v>1079.7</v>
      </c>
      <c r="E18" s="21">
        <f t="shared" si="5"/>
        <v>1238.56</v>
      </c>
      <c r="F18" s="21">
        <f>+F15</f>
        <v>2203.6799999999998</v>
      </c>
      <c r="G18" s="21">
        <f>+G15</f>
        <v>2086.86</v>
      </c>
      <c r="H18" s="21">
        <f>+H15</f>
        <v>3065.5</v>
      </c>
      <c r="I18" s="21">
        <f t="shared" si="5"/>
        <v>611.48</v>
      </c>
      <c r="J18" s="21">
        <f t="shared" ref="J18" si="6">+J15</f>
        <v>789.57</v>
      </c>
      <c r="K18" s="39">
        <f t="shared" ref="K18:O18" si="7">+K15</f>
        <v>1200</v>
      </c>
      <c r="L18" s="21">
        <f t="shared" si="7"/>
        <v>214.56</v>
      </c>
      <c r="M18" s="39">
        <f t="shared" si="7"/>
        <v>700</v>
      </c>
      <c r="N18" s="21">
        <f t="shared" ref="N18" si="8">+N15</f>
        <v>309.42</v>
      </c>
      <c r="O18" s="39">
        <f t="shared" si="7"/>
        <v>700</v>
      </c>
      <c r="P18" s="21">
        <f t="shared" ref="P18" si="9">+P15</f>
        <v>262.33999999999997</v>
      </c>
      <c r="Q18" s="39">
        <f t="shared" ref="Q18" si="10">+Q15</f>
        <v>700</v>
      </c>
      <c r="R18" s="21">
        <f t="shared" si="5"/>
        <v>141.12</v>
      </c>
      <c r="S18" s="39">
        <f t="shared" si="5"/>
        <v>700</v>
      </c>
      <c r="T18" s="39">
        <f>+S18</f>
        <v>700</v>
      </c>
      <c r="U18" s="39">
        <f>+S18</f>
        <v>700</v>
      </c>
    </row>
    <row r="19" spans="1:24" ht="13.8" thickTop="1" x14ac:dyDescent="0.25">
      <c r="A19" s="703"/>
      <c r="B19" s="4"/>
      <c r="C19" s="24"/>
      <c r="D19" s="24"/>
      <c r="E19" s="24"/>
      <c r="F19" s="24"/>
      <c r="G19" s="24"/>
      <c r="H19" s="24"/>
      <c r="I19" s="24"/>
      <c r="J19" s="24"/>
      <c r="K19" s="24"/>
      <c r="L19" s="24"/>
      <c r="M19" s="24"/>
      <c r="N19" s="24"/>
      <c r="O19" s="24"/>
      <c r="P19" s="24"/>
      <c r="Q19" s="24"/>
      <c r="R19" s="181" t="s">
        <v>732</v>
      </c>
      <c r="S19" s="1001">
        <f>+S18-Q18</f>
        <v>0</v>
      </c>
      <c r="T19" s="1002">
        <f>ROUND((+S19/Q18),4)</f>
        <v>0</v>
      </c>
      <c r="U19" s="23"/>
      <c r="V19" s="25"/>
      <c r="W19" s="25"/>
      <c r="X19" s="25"/>
    </row>
    <row r="20" spans="1:24" ht="13.8" thickBot="1" x14ac:dyDescent="0.3">
      <c r="A20" s="703"/>
      <c r="B20" s="4"/>
      <c r="C20" s="23"/>
      <c r="D20" s="23"/>
      <c r="E20" s="23"/>
      <c r="F20" s="23"/>
      <c r="G20" s="23"/>
      <c r="H20" s="23"/>
      <c r="I20" s="23"/>
      <c r="J20" s="23"/>
      <c r="K20" s="23"/>
      <c r="L20" s="23"/>
      <c r="M20" s="23"/>
      <c r="N20" s="23"/>
      <c r="O20" s="23"/>
      <c r="P20" s="23"/>
      <c r="Q20" s="23"/>
      <c r="R20" s="25"/>
      <c r="S20" s="23"/>
      <c r="T20" s="23"/>
      <c r="U20" s="25"/>
      <c r="V20" s="25"/>
      <c r="W20" s="25"/>
      <c r="X20" s="25"/>
    </row>
    <row r="21" spans="1:24" ht="13.8" thickTop="1" x14ac:dyDescent="0.25">
      <c r="A21" s="718"/>
      <c r="B21" s="349"/>
      <c r="C21" s="350" t="s">
        <v>256</v>
      </c>
      <c r="D21" s="351" t="s">
        <v>256</v>
      </c>
      <c r="E21" s="351" t="s">
        <v>256</v>
      </c>
      <c r="F21" s="194"/>
      <c r="G21" s="194"/>
      <c r="H21" s="194"/>
      <c r="I21" s="194"/>
      <c r="J21" s="194"/>
      <c r="K21" s="194"/>
      <c r="L21" s="194"/>
      <c r="O21" s="352" t="s">
        <v>255</v>
      </c>
      <c r="P21" s="353" t="s">
        <v>716</v>
      </c>
      <c r="Q21" s="354" t="s">
        <v>730</v>
      </c>
      <c r="R21" s="353" t="s">
        <v>731</v>
      </c>
      <c r="S21" s="355"/>
      <c r="T21" s="550"/>
      <c r="U21" s="354"/>
      <c r="V21" s="25"/>
      <c r="W21" s="25"/>
      <c r="X21" s="25"/>
    </row>
    <row r="22" spans="1:24" ht="13.8" thickBot="1" x14ac:dyDescent="0.3">
      <c r="A22" s="719" t="s">
        <v>715</v>
      </c>
      <c r="B22" s="356"/>
      <c r="C22" s="357" t="s">
        <v>243</v>
      </c>
      <c r="D22" s="357" t="s">
        <v>244</v>
      </c>
      <c r="E22" s="358" t="s">
        <v>245</v>
      </c>
      <c r="F22" s="194"/>
      <c r="G22" s="194"/>
      <c r="H22" s="194"/>
      <c r="I22" s="194"/>
      <c r="J22" s="194"/>
      <c r="K22" s="194"/>
      <c r="L22" s="194"/>
      <c r="O22" s="359" t="s">
        <v>469</v>
      </c>
      <c r="P22" s="359" t="s">
        <v>1345</v>
      </c>
      <c r="Q22" s="358" t="s">
        <v>732</v>
      </c>
      <c r="R22" s="360" t="s">
        <v>732</v>
      </c>
      <c r="S22" s="361" t="s">
        <v>733</v>
      </c>
      <c r="T22" s="551"/>
      <c r="U22" s="359"/>
      <c r="V22" s="25"/>
      <c r="W22" s="25"/>
      <c r="X22" s="25"/>
    </row>
    <row r="23" spans="1:24" ht="13.8" thickTop="1" x14ac:dyDescent="0.25">
      <c r="A23" s="749"/>
      <c r="B23" s="389"/>
      <c r="C23" s="387"/>
      <c r="D23" s="387"/>
      <c r="E23" s="387"/>
      <c r="F23" s="194"/>
      <c r="G23" s="194"/>
      <c r="H23" s="194"/>
      <c r="I23" s="194"/>
      <c r="J23" s="194"/>
      <c r="K23" s="194"/>
      <c r="L23" s="194"/>
      <c r="O23" s="390"/>
      <c r="P23" s="528"/>
      <c r="Q23" s="368"/>
      <c r="R23" s="374"/>
      <c r="S23" s="367"/>
      <c r="T23" s="553"/>
      <c r="U23" s="368"/>
      <c r="V23" s="25"/>
      <c r="W23" s="25"/>
      <c r="X23" s="25"/>
    </row>
    <row r="24" spans="1:24" x14ac:dyDescent="0.25">
      <c r="A24" s="724">
        <v>5308</v>
      </c>
      <c r="B24" s="369" t="s">
        <v>942</v>
      </c>
      <c r="C24" s="373"/>
      <c r="D24" s="373">
        <v>0</v>
      </c>
      <c r="E24" s="373"/>
      <c r="F24" s="194"/>
      <c r="G24" s="194"/>
      <c r="H24" s="194"/>
      <c r="I24" s="194"/>
      <c r="J24" s="194"/>
      <c r="K24" s="194"/>
      <c r="L24" s="194"/>
      <c r="O24" s="372">
        <f t="shared" ref="O24:O29" si="11">Q9</f>
        <v>300</v>
      </c>
      <c r="P24" s="393">
        <f t="shared" ref="P24:P29" si="12">+S9</f>
        <v>300</v>
      </c>
      <c r="Q24" s="368">
        <f t="shared" ref="Q24:Q29" si="13">+P24-O24</f>
        <v>0</v>
      </c>
      <c r="R24" s="374" t="str">
        <f t="shared" ref="R24:R29" si="14">IF(O24+P24&lt;&gt;0,IF(O24&lt;&gt;0,IF(Q24&lt;&gt;0,ROUND((+Q24/O24),4),""),1),"")</f>
        <v/>
      </c>
      <c r="S24" s="367"/>
      <c r="T24" s="553"/>
      <c r="U24" s="368"/>
      <c r="V24" s="25"/>
      <c r="W24" s="25"/>
      <c r="X24" s="25"/>
    </row>
    <row r="25" spans="1:24" x14ac:dyDescent="0.25">
      <c r="A25" s="724">
        <v>5314</v>
      </c>
      <c r="B25" s="369" t="s">
        <v>749</v>
      </c>
      <c r="C25" s="373"/>
      <c r="D25" s="373">
        <v>0</v>
      </c>
      <c r="E25" s="373">
        <v>40</v>
      </c>
      <c r="F25" s="194"/>
      <c r="G25" s="194"/>
      <c r="H25" s="194"/>
      <c r="I25" s="194"/>
      <c r="J25" s="194"/>
      <c r="K25" s="194"/>
      <c r="L25" s="194"/>
      <c r="O25" s="372">
        <f t="shared" si="11"/>
        <v>100</v>
      </c>
      <c r="P25" s="393">
        <f t="shared" si="12"/>
        <v>100</v>
      </c>
      <c r="Q25" s="368">
        <f t="shared" si="13"/>
        <v>0</v>
      </c>
      <c r="R25" s="374" t="str">
        <f t="shared" si="14"/>
        <v/>
      </c>
      <c r="S25" s="367"/>
      <c r="T25" s="553"/>
      <c r="U25" s="368"/>
      <c r="V25" s="25"/>
      <c r="W25" s="25"/>
      <c r="X25" s="25"/>
    </row>
    <row r="26" spans="1:24" x14ac:dyDescent="0.25">
      <c r="A26" s="724">
        <v>5344</v>
      </c>
      <c r="B26" s="369" t="s">
        <v>722</v>
      </c>
      <c r="C26" s="373">
        <v>318.62</v>
      </c>
      <c r="D26" s="373">
        <v>175.36</v>
      </c>
      <c r="E26" s="373">
        <v>215.24</v>
      </c>
      <c r="F26" s="194"/>
      <c r="G26" s="194"/>
      <c r="H26" s="194"/>
      <c r="I26" s="194"/>
      <c r="J26" s="194"/>
      <c r="K26" s="194"/>
      <c r="L26" s="194"/>
      <c r="O26" s="372">
        <f t="shared" si="11"/>
        <v>150</v>
      </c>
      <c r="P26" s="393">
        <f t="shared" si="12"/>
        <v>150</v>
      </c>
      <c r="Q26" s="368">
        <f t="shared" si="13"/>
        <v>0</v>
      </c>
      <c r="R26" s="374" t="str">
        <f t="shared" si="14"/>
        <v/>
      </c>
      <c r="S26" s="367"/>
      <c r="T26" s="553"/>
      <c r="U26" s="368"/>
      <c r="V26" s="25"/>
      <c r="W26" s="25"/>
      <c r="X26" s="25"/>
    </row>
    <row r="27" spans="1:24" x14ac:dyDescent="0.25">
      <c r="A27" s="724">
        <v>5345</v>
      </c>
      <c r="B27" s="369" t="s">
        <v>752</v>
      </c>
      <c r="C27" s="373">
        <v>3015</v>
      </c>
      <c r="D27" s="373">
        <v>884.56</v>
      </c>
      <c r="E27" s="373">
        <v>911.4</v>
      </c>
      <c r="F27" s="194"/>
      <c r="G27" s="194"/>
      <c r="H27" s="194"/>
      <c r="I27" s="194"/>
      <c r="J27" s="194"/>
      <c r="K27" s="194"/>
      <c r="L27" s="194"/>
      <c r="O27" s="372">
        <f t="shared" si="11"/>
        <v>0</v>
      </c>
      <c r="P27" s="393">
        <f t="shared" si="12"/>
        <v>0</v>
      </c>
      <c r="Q27" s="368">
        <f t="shared" si="13"/>
        <v>0</v>
      </c>
      <c r="R27" s="374" t="str">
        <f t="shared" si="14"/>
        <v/>
      </c>
      <c r="S27" s="367"/>
      <c r="T27" s="553"/>
      <c r="U27" s="368"/>
      <c r="V27" s="25"/>
      <c r="W27" s="25"/>
      <c r="X27" s="25"/>
    </row>
    <row r="28" spans="1:24" x14ac:dyDescent="0.25">
      <c r="A28" s="724">
        <v>5420</v>
      </c>
      <c r="B28" s="369" t="s">
        <v>753</v>
      </c>
      <c r="C28" s="365">
        <v>103.4</v>
      </c>
      <c r="D28" s="365">
        <v>19.78</v>
      </c>
      <c r="E28" s="365">
        <v>71.92</v>
      </c>
      <c r="F28" s="194"/>
      <c r="G28" s="194"/>
      <c r="H28" s="194"/>
      <c r="I28" s="194"/>
      <c r="J28" s="194"/>
      <c r="K28" s="194"/>
      <c r="L28" s="194"/>
      <c r="O28" s="372">
        <f t="shared" si="11"/>
        <v>150</v>
      </c>
      <c r="P28" s="393">
        <f t="shared" si="12"/>
        <v>150</v>
      </c>
      <c r="Q28" s="368">
        <f t="shared" si="13"/>
        <v>0</v>
      </c>
      <c r="R28" s="374" t="str">
        <f t="shared" si="14"/>
        <v/>
      </c>
      <c r="S28" s="367"/>
      <c r="T28" s="553"/>
      <c r="U28" s="368"/>
      <c r="V28" s="25"/>
      <c r="W28" s="25"/>
      <c r="X28" s="25"/>
    </row>
    <row r="29" spans="1:24" ht="13.8" thickBot="1" x14ac:dyDescent="0.3">
      <c r="A29" s="724">
        <v>5730</v>
      </c>
      <c r="B29" s="369" t="s">
        <v>759</v>
      </c>
      <c r="C29" s="391"/>
      <c r="D29" s="391">
        <v>0</v>
      </c>
      <c r="E29" s="391"/>
      <c r="F29" s="194"/>
      <c r="G29" s="194"/>
      <c r="H29" s="194"/>
      <c r="I29" s="194"/>
      <c r="J29" s="194"/>
      <c r="K29" s="194"/>
      <c r="L29" s="194"/>
      <c r="O29" s="372">
        <f t="shared" si="11"/>
        <v>0</v>
      </c>
      <c r="P29" s="393">
        <f t="shared" si="12"/>
        <v>0</v>
      </c>
      <c r="Q29" s="368">
        <f t="shared" si="13"/>
        <v>0</v>
      </c>
      <c r="R29" s="374" t="str">
        <f t="shared" si="14"/>
        <v/>
      </c>
      <c r="S29" s="367"/>
      <c r="T29" s="553"/>
      <c r="U29" s="368"/>
      <c r="V29" s="25"/>
      <c r="W29" s="25"/>
      <c r="X29" s="25"/>
    </row>
    <row r="30" spans="1:24" x14ac:dyDescent="0.25">
      <c r="A30" s="703"/>
      <c r="B30" s="4"/>
      <c r="C30" s="23"/>
      <c r="D30" s="23"/>
      <c r="E30" s="23"/>
      <c r="F30" s="23"/>
      <c r="G30" s="23"/>
      <c r="H30" s="194"/>
      <c r="I30" s="194"/>
      <c r="J30" s="194"/>
      <c r="K30" s="194"/>
      <c r="L30" s="194"/>
      <c r="O30" s="23"/>
      <c r="P30" s="23"/>
      <c r="Q30" s="23"/>
      <c r="R30" s="25"/>
      <c r="S30" s="23"/>
      <c r="T30" s="23"/>
      <c r="U30" s="23"/>
      <c r="V30" s="25"/>
      <c r="W30" s="25"/>
      <c r="X30" s="25"/>
    </row>
    <row r="31" spans="1:24" x14ac:dyDescent="0.25">
      <c r="A31" s="703"/>
      <c r="B31" s="4" t="s">
        <v>735</v>
      </c>
      <c r="C31" s="23"/>
      <c r="D31" s="23"/>
      <c r="E31" s="23"/>
      <c r="F31" s="23"/>
      <c r="G31" s="23"/>
      <c r="H31" s="194"/>
      <c r="I31" s="194"/>
      <c r="J31" s="194"/>
      <c r="K31" s="194"/>
      <c r="L31" s="194"/>
      <c r="O31" s="597">
        <f>SUM(O24:O30)</f>
        <v>700</v>
      </c>
      <c r="P31" s="597">
        <f>SUM(P24:P30)</f>
        <v>700</v>
      </c>
      <c r="Q31" s="25">
        <f>+P31-O31</f>
        <v>0</v>
      </c>
      <c r="R31" s="598" t="str">
        <f>IF(O31+P31&lt;&gt;0,IF(O31&lt;&gt;0,IF(Q31&lt;&gt;0,ROUND((+Q31/O31),4),""),1),"")</f>
        <v/>
      </c>
      <c r="S31" s="23"/>
      <c r="T31" s="23"/>
      <c r="U31" s="23"/>
      <c r="V31" s="25"/>
      <c r="W31" s="25"/>
      <c r="X31" s="25"/>
    </row>
    <row r="32" spans="1:24" x14ac:dyDescent="0.25">
      <c r="A32" s="703"/>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5">
      <c r="A33" s="703"/>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5">
      <c r="A34" s="703"/>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5">
      <c r="A35" s="703"/>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5">
      <c r="A36" s="703"/>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5">
      <c r="A37" s="703"/>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5">
      <c r="A38" s="703"/>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5">
      <c r="A39" s="703"/>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5">
      <c r="A40" s="703"/>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5">
      <c r="A41" s="703"/>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5">
      <c r="A44" s="703"/>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5">
      <c r="A45" s="703"/>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5">
      <c r="A46" s="703"/>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5">
      <c r="A47" s="703"/>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5">
      <c r="A48" s="703"/>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5">
      <c r="A49" s="703"/>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5">
      <c r="A50" s="703"/>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5">
      <c r="A51" s="703"/>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5">
      <c r="A52" s="703"/>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5">
      <c r="A53" s="703"/>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5">
      <c r="A54" s="703"/>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5">
      <c r="A55" s="703"/>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5">
      <c r="A56" s="703"/>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5">
      <c r="A57" s="703"/>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5">
      <c r="A58" s="703"/>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5">
      <c r="A59" s="703"/>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5">
      <c r="A60" s="703"/>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5">
      <c r="A61" s="703"/>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5">
      <c r="A62" s="703"/>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5">
      <c r="A63" s="703"/>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5">
      <c r="A64" s="703"/>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5">
      <c r="A65" s="703"/>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5">
      <c r="A66" s="703"/>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5">
      <c r="A67" s="703"/>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5">
      <c r="A68" s="703"/>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5">
      <c r="A69" s="703"/>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5">
      <c r="A70" s="703"/>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5">
      <c r="A71" s="703"/>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5">
      <c r="A72" s="703"/>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5">
      <c r="A73" s="703"/>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5">
      <c r="A124" s="703"/>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5">
      <c r="A125" s="703"/>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5">
      <c r="A126" s="703"/>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5">
      <c r="A127" s="703"/>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5">
      <c r="A128" s="703"/>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5">
      <c r="A129" s="703"/>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5">
      <c r="A130" s="703"/>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5">
      <c r="A131" s="703"/>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5">
      <c r="A132" s="703"/>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5">
      <c r="A133" s="703"/>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5">
      <c r="A134" s="703"/>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5">
      <c r="C135" s="194"/>
      <c r="D135" s="194"/>
      <c r="E135" s="194"/>
      <c r="F135" s="194"/>
      <c r="G135" s="194"/>
      <c r="H135" s="194"/>
      <c r="I135" s="194"/>
      <c r="J135" s="194"/>
      <c r="K135" s="194"/>
      <c r="L135" s="194"/>
      <c r="M135" s="194"/>
      <c r="N135" s="194"/>
      <c r="O135" s="194"/>
      <c r="P135" s="194"/>
      <c r="Q135" s="194"/>
    </row>
    <row r="136" spans="1:24" x14ac:dyDescent="0.25">
      <c r="C136" s="194"/>
      <c r="D136" s="194"/>
      <c r="E136" s="194"/>
      <c r="F136" s="194"/>
      <c r="G136" s="194"/>
      <c r="H136" s="194"/>
      <c r="I136" s="194"/>
      <c r="J136" s="194"/>
      <c r="K136" s="194"/>
      <c r="L136" s="194"/>
      <c r="M136" s="194"/>
      <c r="N136" s="194"/>
      <c r="O136" s="194"/>
      <c r="P136" s="194"/>
      <c r="Q136" s="194"/>
    </row>
    <row r="137" spans="1:24" x14ac:dyDescent="0.25">
      <c r="C137" s="194"/>
      <c r="D137" s="194"/>
      <c r="E137" s="194"/>
      <c r="F137" s="194"/>
      <c r="G137" s="194"/>
      <c r="H137" s="194"/>
      <c r="I137" s="194"/>
      <c r="J137" s="194"/>
      <c r="K137" s="194"/>
      <c r="L137" s="194"/>
      <c r="M137" s="194"/>
      <c r="N137" s="194"/>
      <c r="O137" s="194"/>
      <c r="P137" s="194"/>
      <c r="Q137" s="194"/>
    </row>
    <row r="138" spans="1:24" x14ac:dyDescent="0.25">
      <c r="C138" s="194"/>
      <c r="D138" s="194"/>
      <c r="E138" s="194"/>
      <c r="F138" s="194"/>
      <c r="G138" s="194"/>
      <c r="H138" s="194"/>
      <c r="I138" s="194"/>
      <c r="J138" s="194"/>
      <c r="K138" s="194"/>
      <c r="L138" s="194"/>
      <c r="M138" s="194"/>
      <c r="N138" s="194"/>
      <c r="O138" s="194"/>
      <c r="P138" s="194"/>
      <c r="Q138" s="194"/>
    </row>
    <row r="139" spans="1:24" x14ac:dyDescent="0.25">
      <c r="C139" s="194"/>
      <c r="D139" s="194"/>
      <c r="E139" s="194"/>
      <c r="F139" s="194"/>
      <c r="G139" s="194"/>
      <c r="H139" s="194"/>
      <c r="I139" s="194"/>
      <c r="J139" s="194"/>
      <c r="K139" s="194"/>
      <c r="L139" s="194"/>
      <c r="M139" s="194"/>
      <c r="N139" s="194"/>
      <c r="O139" s="194"/>
      <c r="P139" s="194"/>
      <c r="Q139" s="194"/>
    </row>
    <row r="140" spans="1:24" x14ac:dyDescent="0.25">
      <c r="C140" s="194"/>
      <c r="D140" s="194"/>
      <c r="E140" s="194"/>
      <c r="F140" s="194"/>
      <c r="G140" s="194"/>
      <c r="H140" s="194"/>
      <c r="I140" s="194"/>
      <c r="J140" s="194"/>
      <c r="K140" s="194"/>
      <c r="L140" s="194"/>
      <c r="M140" s="194"/>
      <c r="N140" s="194"/>
      <c r="O140" s="194"/>
      <c r="P140" s="194"/>
      <c r="Q140" s="194"/>
    </row>
    <row r="141" spans="1:24" x14ac:dyDescent="0.25">
      <c r="C141" s="194"/>
      <c r="D141" s="194"/>
      <c r="E141" s="194"/>
      <c r="F141" s="194"/>
      <c r="G141" s="194"/>
      <c r="H141" s="194"/>
      <c r="I141" s="194"/>
      <c r="J141" s="194"/>
      <c r="K141" s="194"/>
      <c r="L141" s="194"/>
      <c r="M141" s="194"/>
      <c r="N141" s="194"/>
      <c r="O141" s="194"/>
      <c r="P141" s="194"/>
      <c r="Q141" s="194"/>
    </row>
    <row r="142" spans="1:24" x14ac:dyDescent="0.25">
      <c r="C142" s="194"/>
      <c r="D142" s="194"/>
      <c r="E142" s="194"/>
      <c r="F142" s="194"/>
      <c r="G142" s="194"/>
      <c r="H142" s="194"/>
      <c r="I142" s="194"/>
      <c r="J142" s="194"/>
      <c r="K142" s="194"/>
      <c r="L142" s="194"/>
      <c r="M142" s="194"/>
      <c r="N142" s="194"/>
      <c r="O142" s="194"/>
      <c r="P142" s="194"/>
      <c r="Q142" s="194"/>
    </row>
    <row r="143" spans="1:24" x14ac:dyDescent="0.25">
      <c r="C143" s="194"/>
      <c r="D143" s="194"/>
      <c r="E143" s="194"/>
      <c r="F143" s="194"/>
      <c r="G143" s="194"/>
      <c r="H143" s="194"/>
      <c r="I143" s="194"/>
      <c r="J143" s="194"/>
      <c r="K143" s="194"/>
      <c r="L143" s="194"/>
      <c r="M143" s="194"/>
      <c r="N143" s="194"/>
      <c r="O143" s="194"/>
      <c r="P143" s="194"/>
      <c r="Q143" s="194"/>
    </row>
    <row r="144" spans="1:24" x14ac:dyDescent="0.25">
      <c r="C144" s="194"/>
      <c r="D144" s="194"/>
      <c r="E144" s="194"/>
      <c r="F144" s="194"/>
      <c r="G144" s="194"/>
      <c r="H144" s="194"/>
      <c r="I144" s="194"/>
      <c r="J144" s="194"/>
      <c r="K144" s="194"/>
      <c r="L144" s="194"/>
      <c r="M144" s="194"/>
      <c r="N144" s="194"/>
      <c r="O144" s="194"/>
      <c r="P144" s="194"/>
      <c r="Q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row r="180" spans="3:3" x14ac:dyDescent="0.25">
      <c r="C180" s="194"/>
    </row>
    <row r="181" spans="3:3" x14ac:dyDescent="0.25">
      <c r="C181" s="194"/>
    </row>
    <row r="182" spans="3:3" x14ac:dyDescent="0.25">
      <c r="C182" s="194"/>
    </row>
    <row r="183" spans="3:3" x14ac:dyDescent="0.25">
      <c r="C183" s="194"/>
    </row>
    <row r="184" spans="3:3" x14ac:dyDescent="0.25">
      <c r="C184" s="194"/>
    </row>
    <row r="185" spans="3:3" x14ac:dyDescent="0.25">
      <c r="C185" s="194"/>
    </row>
  </sheetData>
  <phoneticPr fontId="0" type="noConversion"/>
  <hyperlinks>
    <hyperlink ref="A1" location="'Working Budget with funding det'!A1" display="Main " xr:uid="{00000000-0004-0000-1600-000000000000}"/>
    <hyperlink ref="B1" location="'Table of Contents'!A1" display="TOC" xr:uid="{00000000-0004-0000-16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X75"/>
  <sheetViews>
    <sheetView zoomScaleNormal="100" workbookViewId="0">
      <pane ySplit="7" topLeftCell="A22" activePane="bottomLeft" state="frozen"/>
      <selection activeCell="S36" sqref="S36"/>
      <selection pane="bottomLeft" activeCell="S15" sqref="S15"/>
    </sheetView>
  </sheetViews>
  <sheetFormatPr defaultRowHeight="13.2" x14ac:dyDescent="0.25"/>
  <cols>
    <col min="1" max="1" width="11.77734375" style="712" customWidth="1"/>
    <col min="2" max="2" width="27.109375" customWidth="1"/>
    <col min="3" max="3" width="14.44140625" style="1" hidden="1" customWidth="1"/>
    <col min="4" max="8" width="14.44140625" style="105" hidden="1" customWidth="1"/>
    <col min="9" max="14" width="14.44140625" style="76" hidden="1" customWidth="1"/>
    <col min="15" max="17" width="14.44140625" style="76" customWidth="1"/>
    <col min="18" max="22" width="14.44140625" customWidth="1"/>
  </cols>
  <sheetData>
    <row r="1" spans="1:24" x14ac:dyDescent="0.25">
      <c r="A1" s="701" t="s">
        <v>736</v>
      </c>
      <c r="B1" s="290" t="s">
        <v>194</v>
      </c>
      <c r="D1" s="194"/>
      <c r="E1" s="194"/>
      <c r="F1" s="194"/>
      <c r="G1" s="194"/>
      <c r="H1" s="194"/>
      <c r="I1" s="194"/>
      <c r="J1" s="194"/>
      <c r="K1" s="194"/>
      <c r="L1" s="194"/>
      <c r="M1" s="194"/>
      <c r="N1" s="194"/>
      <c r="O1" s="194"/>
      <c r="P1" s="194"/>
      <c r="Q1" s="194"/>
      <c r="S1" s="1"/>
      <c r="T1" s="1"/>
    </row>
    <row r="2" spans="1:24" ht="13.8" x14ac:dyDescent="0.25">
      <c r="A2" s="702" t="s">
        <v>944</v>
      </c>
      <c r="B2" s="43"/>
      <c r="D2" s="194"/>
      <c r="E2" s="125"/>
      <c r="F2" s="194"/>
      <c r="G2" s="194"/>
      <c r="H2" s="194"/>
      <c r="I2" s="125" t="s">
        <v>706</v>
      </c>
      <c r="J2" s="125"/>
      <c r="K2" s="125"/>
      <c r="L2" s="125"/>
      <c r="M2" s="125"/>
      <c r="N2" s="125"/>
      <c r="O2" s="125"/>
      <c r="P2" s="125"/>
      <c r="Q2" s="125"/>
      <c r="R2" s="58" t="s">
        <v>949</v>
      </c>
      <c r="S2" s="1"/>
      <c r="T2" s="1"/>
      <c r="U2" s="44" t="s">
        <v>950</v>
      </c>
    </row>
    <row r="3" spans="1:24" ht="13.8" thickBot="1" x14ac:dyDescent="0.3">
      <c r="A3" s="703"/>
      <c r="B3" s="4"/>
      <c r="C3" s="23"/>
      <c r="D3" s="23"/>
      <c r="E3" s="23"/>
      <c r="F3" s="23"/>
      <c r="G3" s="23"/>
      <c r="H3" s="23"/>
      <c r="I3" s="23"/>
      <c r="J3" s="23"/>
      <c r="K3" s="23"/>
      <c r="L3" s="23"/>
      <c r="M3" s="23"/>
      <c r="N3" s="23"/>
      <c r="O3" s="23"/>
      <c r="P3" s="23"/>
      <c r="Q3" s="23"/>
      <c r="R3" s="4"/>
      <c r="S3" s="23"/>
      <c r="T3" s="23"/>
      <c r="U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 t="s">
        <v>1345</v>
      </c>
      <c r="T4" s="79" t="s">
        <v>1345</v>
      </c>
      <c r="U4" s="7" t="s">
        <v>1345</v>
      </c>
      <c r="W4" s="84"/>
      <c r="X4" s="84"/>
    </row>
    <row r="5" spans="1:24" x14ac:dyDescent="0.25">
      <c r="A5" s="705"/>
      <c r="B5" s="184"/>
      <c r="C5" s="112"/>
      <c r="D5" s="82"/>
      <c r="E5" s="104"/>
      <c r="F5" s="82"/>
      <c r="G5" s="82"/>
      <c r="H5" s="104"/>
      <c r="I5" s="229"/>
      <c r="J5" s="229"/>
      <c r="K5" s="229"/>
      <c r="L5" s="229"/>
      <c r="M5" s="229"/>
      <c r="N5" s="229"/>
      <c r="O5" s="229"/>
      <c r="P5" s="229"/>
      <c r="Q5" s="229"/>
      <c r="R5" s="104" t="s">
        <v>709</v>
      </c>
      <c r="S5" s="45"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45"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9"/>
      <c r="J8" s="19"/>
      <c r="K8" s="19"/>
      <c r="L8" s="19"/>
      <c r="M8" s="19"/>
      <c r="N8" s="19"/>
      <c r="O8" s="19"/>
      <c r="P8" s="19"/>
      <c r="Q8" s="19"/>
      <c r="R8" s="18"/>
      <c r="S8" s="19"/>
      <c r="T8" s="19"/>
      <c r="U8" s="19"/>
    </row>
    <row r="9" spans="1:24" x14ac:dyDescent="0.25">
      <c r="A9" s="708"/>
      <c r="B9" s="60"/>
      <c r="C9" s="115"/>
      <c r="D9" s="13"/>
      <c r="E9" s="13"/>
      <c r="F9" s="13"/>
      <c r="G9" s="13"/>
      <c r="H9" s="13"/>
      <c r="I9" s="13"/>
      <c r="J9" s="13"/>
      <c r="K9" s="14"/>
      <c r="L9" s="14"/>
      <c r="M9" s="14"/>
      <c r="N9" s="14"/>
      <c r="O9" s="14"/>
      <c r="P9" s="14"/>
      <c r="Q9" s="14"/>
      <c r="R9" s="13"/>
      <c r="S9" s="14"/>
      <c r="T9" s="14"/>
      <c r="U9" s="14"/>
    </row>
    <row r="10" spans="1:24" x14ac:dyDescent="0.25">
      <c r="A10" s="708" t="s">
        <v>951</v>
      </c>
      <c r="B10" s="60" t="s">
        <v>952</v>
      </c>
      <c r="C10" s="115">
        <v>17860.46</v>
      </c>
      <c r="D10" s="13">
        <v>18618.21</v>
      </c>
      <c r="E10" s="13">
        <v>18675.71</v>
      </c>
      <c r="F10" s="13">
        <v>20061.82</v>
      </c>
      <c r="G10" s="13">
        <v>18262.55</v>
      </c>
      <c r="H10" s="13">
        <v>18055.12</v>
      </c>
      <c r="I10" s="127">
        <v>18198.669999999998</v>
      </c>
      <c r="J10" s="127">
        <v>17101.080000000002</v>
      </c>
      <c r="K10" s="14">
        <v>19000</v>
      </c>
      <c r="L10" s="127">
        <v>18095.849999999999</v>
      </c>
      <c r="M10" s="857">
        <v>20600</v>
      </c>
      <c r="N10" s="127">
        <v>19999.349999999999</v>
      </c>
      <c r="O10" s="856">
        <f>6100+21424</f>
        <v>27524</v>
      </c>
      <c r="P10" s="857">
        <v>22990.42</v>
      </c>
      <c r="Q10" s="856">
        <v>28000</v>
      </c>
      <c r="R10" s="857">
        <v>14270.25</v>
      </c>
      <c r="S10" s="856">
        <v>33000</v>
      </c>
      <c r="T10" s="856"/>
      <c r="U10" s="761"/>
      <c r="V10" s="593"/>
    </row>
    <row r="11" spans="1:24" x14ac:dyDescent="0.25">
      <c r="A11" s="708" t="s">
        <v>953</v>
      </c>
      <c r="B11" s="60" t="s">
        <v>954</v>
      </c>
      <c r="C11" s="115">
        <v>418.21</v>
      </c>
      <c r="D11" s="13">
        <v>455.51</v>
      </c>
      <c r="E11" s="13">
        <v>520.94000000000005</v>
      </c>
      <c r="F11" s="13">
        <v>468.41</v>
      </c>
      <c r="G11" s="13">
        <v>598.34</v>
      </c>
      <c r="H11" s="13">
        <v>430.31</v>
      </c>
      <c r="I11" s="127">
        <v>493.42</v>
      </c>
      <c r="J11" s="127">
        <v>545.65</v>
      </c>
      <c r="K11" s="14">
        <v>600</v>
      </c>
      <c r="L11" s="127">
        <v>528.63</v>
      </c>
      <c r="M11" s="857">
        <v>650</v>
      </c>
      <c r="N11" s="127">
        <v>474.49</v>
      </c>
      <c r="O11" s="856">
        <f>600+676</f>
        <v>1276</v>
      </c>
      <c r="P11" s="857">
        <v>638.16999999999996</v>
      </c>
      <c r="Q11" s="856">
        <v>1300</v>
      </c>
      <c r="R11" s="857">
        <v>166.69</v>
      </c>
      <c r="S11" s="856">
        <v>1000</v>
      </c>
      <c r="T11" s="856"/>
      <c r="U11" s="761"/>
      <c r="V11" s="593"/>
    </row>
    <row r="12" spans="1:24" hidden="1" x14ac:dyDescent="0.25">
      <c r="A12" s="708" t="s">
        <v>955</v>
      </c>
      <c r="B12" s="60" t="s">
        <v>956</v>
      </c>
      <c r="C12" s="115"/>
      <c r="D12" s="13"/>
      <c r="E12" s="13"/>
      <c r="F12" s="13">
        <v>2761.26</v>
      </c>
      <c r="G12" s="13"/>
      <c r="H12" s="13"/>
      <c r="I12" s="127"/>
      <c r="J12" s="127"/>
      <c r="K12" s="14"/>
      <c r="L12" s="127"/>
      <c r="M12" s="857"/>
      <c r="N12" s="127"/>
      <c r="O12" s="856"/>
      <c r="P12" s="857"/>
      <c r="Q12" s="856"/>
      <c r="R12" s="857"/>
      <c r="S12" s="856"/>
      <c r="T12" s="856"/>
      <c r="U12" s="761"/>
      <c r="V12" s="593"/>
    </row>
    <row r="13" spans="1:24" x14ac:dyDescent="0.25">
      <c r="A13" s="708" t="s">
        <v>957</v>
      </c>
      <c r="B13" s="60" t="s">
        <v>958</v>
      </c>
      <c r="C13" s="115">
        <v>30066.65</v>
      </c>
      <c r="D13" s="13">
        <v>32695.66</v>
      </c>
      <c r="E13" s="13">
        <v>29432.98</v>
      </c>
      <c r="F13" s="13">
        <v>33080.11</v>
      </c>
      <c r="G13" s="13">
        <v>30230.91</v>
      </c>
      <c r="H13" s="13">
        <v>31793.09</v>
      </c>
      <c r="I13" s="127">
        <v>26843.79</v>
      </c>
      <c r="J13" s="127">
        <v>18095.02</v>
      </c>
      <c r="K13" s="14">
        <v>20000</v>
      </c>
      <c r="L13" s="127">
        <v>17693.810000000001</v>
      </c>
      <c r="M13" s="857">
        <v>21000</v>
      </c>
      <c r="N13" s="127">
        <v>17952.27</v>
      </c>
      <c r="O13" s="856">
        <f>3800+21840</f>
        <v>25640</v>
      </c>
      <c r="P13" s="857">
        <v>22004.799999999999</v>
      </c>
      <c r="Q13" s="856">
        <v>26000</v>
      </c>
      <c r="R13" s="857">
        <v>9907.0300000000007</v>
      </c>
      <c r="S13" s="856">
        <v>25000</v>
      </c>
      <c r="T13" s="856"/>
      <c r="U13" s="14"/>
      <c r="V13" s="593"/>
    </row>
    <row r="14" spans="1:24" x14ac:dyDescent="0.25">
      <c r="A14" s="708" t="s">
        <v>959</v>
      </c>
      <c r="B14" s="60" t="s">
        <v>960</v>
      </c>
      <c r="C14" s="115">
        <v>6158.88</v>
      </c>
      <c r="D14" s="13">
        <v>6302.72</v>
      </c>
      <c r="E14" s="13">
        <v>6068.61</v>
      </c>
      <c r="F14" s="13">
        <v>5878.49</v>
      </c>
      <c r="G14" s="13">
        <v>5082.01</v>
      </c>
      <c r="H14" s="13">
        <v>5663.22</v>
      </c>
      <c r="I14" s="127">
        <v>5872</v>
      </c>
      <c r="J14" s="127">
        <v>4665.2700000000004</v>
      </c>
      <c r="K14" s="14">
        <v>13000</v>
      </c>
      <c r="L14" s="127">
        <v>17898.29</v>
      </c>
      <c r="M14" s="857">
        <v>25446</v>
      </c>
      <c r="N14" s="127">
        <v>22178.81</v>
      </c>
      <c r="O14" s="856">
        <f>5600+26464</f>
        <v>32064</v>
      </c>
      <c r="P14" s="857">
        <v>30764.78</v>
      </c>
      <c r="Q14" s="856">
        <v>33000</v>
      </c>
      <c r="R14" s="857">
        <v>13791.27</v>
      </c>
      <c r="S14" s="856">
        <v>35000</v>
      </c>
      <c r="T14" s="856"/>
      <c r="U14" s="761"/>
      <c r="V14" s="593"/>
    </row>
    <row r="15" spans="1:24" x14ac:dyDescent="0.25">
      <c r="A15" s="708" t="s">
        <v>961</v>
      </c>
      <c r="B15" s="60" t="s">
        <v>962</v>
      </c>
      <c r="C15" s="115">
        <v>3735.02</v>
      </c>
      <c r="D15" s="13">
        <v>3841.24</v>
      </c>
      <c r="E15" s="13">
        <v>3791.57</v>
      </c>
      <c r="F15" s="13">
        <v>3702.44</v>
      </c>
      <c r="G15" s="13">
        <v>3833.66</v>
      </c>
      <c r="H15" s="13">
        <v>4323.21</v>
      </c>
      <c r="I15" s="127">
        <v>4665</v>
      </c>
      <c r="J15" s="127">
        <v>4668.2</v>
      </c>
      <c r="K15" s="14">
        <v>5500</v>
      </c>
      <c r="L15" s="127">
        <v>4009.88</v>
      </c>
      <c r="M15" s="857">
        <v>4500</v>
      </c>
      <c r="N15" s="127">
        <v>4278.75</v>
      </c>
      <c r="O15" s="856">
        <f>1000+4680</f>
        <v>5680</v>
      </c>
      <c r="P15" s="857">
        <v>4294.9399999999996</v>
      </c>
      <c r="Q15" s="856">
        <v>5700</v>
      </c>
      <c r="R15" s="857">
        <v>1899.65</v>
      </c>
      <c r="S15" s="856">
        <v>5000</v>
      </c>
      <c r="T15" s="856"/>
      <c r="U15" s="761"/>
      <c r="V15" s="593"/>
    </row>
    <row r="16" spans="1:24" x14ac:dyDescent="0.25">
      <c r="A16" s="708" t="s">
        <v>963</v>
      </c>
      <c r="B16" s="60" t="s">
        <v>964</v>
      </c>
      <c r="C16" s="115">
        <v>2394.5</v>
      </c>
      <c r="D16" s="13">
        <v>2061.5700000000002</v>
      </c>
      <c r="E16" s="13">
        <v>1032.4000000000001</v>
      </c>
      <c r="F16" s="13">
        <v>749.36</v>
      </c>
      <c r="G16" s="13">
        <v>826.63</v>
      </c>
      <c r="H16" s="13">
        <v>911.65</v>
      </c>
      <c r="I16" s="127">
        <v>853.27</v>
      </c>
      <c r="J16" s="127">
        <v>555.37</v>
      </c>
      <c r="K16" s="14">
        <v>1000</v>
      </c>
      <c r="L16" s="127">
        <v>522.53</v>
      </c>
      <c r="M16" s="857">
        <v>700</v>
      </c>
      <c r="N16" s="127">
        <v>710.19</v>
      </c>
      <c r="O16" s="856">
        <f>300+728</f>
        <v>1028</v>
      </c>
      <c r="P16" s="857">
        <v>754.31</v>
      </c>
      <c r="Q16" s="856">
        <v>1100</v>
      </c>
      <c r="R16" s="857">
        <v>304.19</v>
      </c>
      <c r="S16" s="856">
        <v>900</v>
      </c>
      <c r="T16" s="856"/>
      <c r="U16" s="761"/>
      <c r="V16" s="593"/>
    </row>
    <row r="17" spans="1:23" x14ac:dyDescent="0.25">
      <c r="A17" s="708" t="s">
        <v>965</v>
      </c>
      <c r="B17" s="60" t="s">
        <v>966</v>
      </c>
      <c r="C17" s="115">
        <v>2549.33</v>
      </c>
      <c r="D17" s="13">
        <v>2900.08</v>
      </c>
      <c r="E17" s="13">
        <v>2577.86</v>
      </c>
      <c r="F17" s="13">
        <v>2757.85</v>
      </c>
      <c r="G17" s="13">
        <v>2333.6799999999998</v>
      </c>
      <c r="H17" s="13">
        <v>2573.5</v>
      </c>
      <c r="I17" s="127">
        <v>2602.7600000000002</v>
      </c>
      <c r="J17" s="127">
        <v>2599.19</v>
      </c>
      <c r="K17" s="14">
        <v>3000</v>
      </c>
      <c r="L17" s="127">
        <v>2726.24</v>
      </c>
      <c r="M17" s="857">
        <v>3000</v>
      </c>
      <c r="N17" s="127">
        <v>2632.47</v>
      </c>
      <c r="O17" s="856">
        <f>600+3120</f>
        <v>3720</v>
      </c>
      <c r="P17" s="857">
        <v>2803.86</v>
      </c>
      <c r="Q17" s="856">
        <v>3800</v>
      </c>
      <c r="R17" s="857">
        <v>1457.74</v>
      </c>
      <c r="S17" s="856">
        <v>3200</v>
      </c>
      <c r="T17" s="856"/>
      <c r="U17" s="761"/>
      <c r="V17" s="593"/>
    </row>
    <row r="18" spans="1:23" x14ac:dyDescent="0.25">
      <c r="A18" s="708" t="s">
        <v>967</v>
      </c>
      <c r="B18" s="60" t="s">
        <v>968</v>
      </c>
      <c r="C18" s="115">
        <v>14145.02</v>
      </c>
      <c r="D18" s="13">
        <v>21632.63</v>
      </c>
      <c r="E18" s="13">
        <v>18865.080000000002</v>
      </c>
      <c r="F18" s="13">
        <v>10448.209999999999</v>
      </c>
      <c r="G18" s="13">
        <v>11643.03</v>
      </c>
      <c r="H18" s="13">
        <v>10034.4</v>
      </c>
      <c r="I18" s="127">
        <v>14685.23</v>
      </c>
      <c r="J18" s="127">
        <v>12186.51</v>
      </c>
      <c r="K18" s="14">
        <v>20000</v>
      </c>
      <c r="L18" s="127">
        <v>8075.7</v>
      </c>
      <c r="M18" s="857">
        <v>13000</v>
      </c>
      <c r="N18" s="127">
        <v>7351.75</v>
      </c>
      <c r="O18" s="856">
        <v>13000</v>
      </c>
      <c r="P18" s="857">
        <v>11030.61</v>
      </c>
      <c r="Q18" s="856">
        <v>34000</v>
      </c>
      <c r="R18" s="857">
        <v>2155.98</v>
      </c>
      <c r="S18" s="856">
        <v>15000</v>
      </c>
      <c r="T18" s="856"/>
      <c r="U18" s="761"/>
      <c r="V18" s="593"/>
    </row>
    <row r="19" spans="1:23" x14ac:dyDescent="0.25">
      <c r="A19" s="708" t="s">
        <v>969</v>
      </c>
      <c r="B19" s="12" t="s">
        <v>970</v>
      </c>
      <c r="C19" s="13">
        <v>8111.96</v>
      </c>
      <c r="D19" s="13">
        <v>10821.64</v>
      </c>
      <c r="E19" s="13">
        <v>9566.7000000000007</v>
      </c>
      <c r="F19" s="13">
        <v>6423.13</v>
      </c>
      <c r="G19" s="13">
        <v>8360.0499999999993</v>
      </c>
      <c r="H19" s="13">
        <v>9797.56</v>
      </c>
      <c r="I19" s="127">
        <v>10832.95</v>
      </c>
      <c r="J19" s="127">
        <v>8770.16</v>
      </c>
      <c r="K19" s="14">
        <v>10500</v>
      </c>
      <c r="L19" s="127">
        <v>7889.97</v>
      </c>
      <c r="M19" s="857">
        <v>10000</v>
      </c>
      <c r="N19" s="127">
        <v>7051.43</v>
      </c>
      <c r="O19" s="856">
        <v>10000</v>
      </c>
      <c r="P19" s="857">
        <v>6156.4</v>
      </c>
      <c r="Q19" s="856">
        <v>11200</v>
      </c>
      <c r="R19" s="857">
        <v>2052.33</v>
      </c>
      <c r="S19" s="856">
        <v>10000</v>
      </c>
      <c r="T19" s="856"/>
      <c r="U19" s="761"/>
      <c r="V19" s="593"/>
    </row>
    <row r="20" spans="1:23" hidden="1" x14ac:dyDescent="0.25">
      <c r="A20" s="708" t="s">
        <v>971</v>
      </c>
      <c r="B20" s="12" t="s">
        <v>972</v>
      </c>
      <c r="C20" s="13"/>
      <c r="D20" s="13">
        <v>0</v>
      </c>
      <c r="E20" s="13"/>
      <c r="F20" s="13"/>
      <c r="G20" s="13"/>
      <c r="H20" s="13"/>
      <c r="I20" s="127"/>
      <c r="J20" s="127"/>
      <c r="K20" s="14"/>
      <c r="L20" s="127"/>
      <c r="M20" s="857"/>
      <c r="N20" s="127"/>
      <c r="O20" s="856"/>
      <c r="P20" s="857"/>
      <c r="Q20" s="856"/>
      <c r="R20" s="857"/>
      <c r="S20" s="856"/>
      <c r="T20" s="856"/>
      <c r="U20" s="761"/>
      <c r="V20" s="593"/>
    </row>
    <row r="21" spans="1:23" hidden="1" x14ac:dyDescent="0.25">
      <c r="A21" s="708" t="s">
        <v>973</v>
      </c>
      <c r="B21" s="12" t="s">
        <v>974</v>
      </c>
      <c r="C21" s="13"/>
      <c r="D21" s="13"/>
      <c r="E21" s="13"/>
      <c r="F21" s="13">
        <v>813.56</v>
      </c>
      <c r="G21" s="13"/>
      <c r="H21" s="13"/>
      <c r="I21" s="127"/>
      <c r="J21" s="127"/>
      <c r="K21" s="14"/>
      <c r="L21" s="127"/>
      <c r="M21" s="857"/>
      <c r="N21" s="127"/>
      <c r="O21" s="856"/>
      <c r="P21" s="857"/>
      <c r="Q21" s="856"/>
      <c r="R21" s="857"/>
      <c r="S21" s="856"/>
      <c r="T21" s="856"/>
      <c r="U21" s="761"/>
      <c r="V21" s="593"/>
    </row>
    <row r="22" spans="1:23" x14ac:dyDescent="0.25">
      <c r="A22" s="708" t="s">
        <v>975</v>
      </c>
      <c r="B22" s="12" t="s">
        <v>976</v>
      </c>
      <c r="C22" s="13">
        <v>619.48</v>
      </c>
      <c r="D22" s="13">
        <v>657.3</v>
      </c>
      <c r="E22" s="13">
        <v>614.69000000000005</v>
      </c>
      <c r="F22" s="13">
        <v>557.64</v>
      </c>
      <c r="G22" s="13">
        <v>554.92999999999995</v>
      </c>
      <c r="H22" s="13">
        <v>585.23</v>
      </c>
      <c r="I22" s="127">
        <v>681.26</v>
      </c>
      <c r="J22" s="127">
        <v>628.23</v>
      </c>
      <c r="K22" s="14">
        <v>775</v>
      </c>
      <c r="L22" s="127">
        <v>605.89</v>
      </c>
      <c r="M22" s="857">
        <v>700</v>
      </c>
      <c r="N22" s="127">
        <v>659.12</v>
      </c>
      <c r="O22" s="856">
        <v>700</v>
      </c>
      <c r="P22" s="857">
        <v>692.45</v>
      </c>
      <c r="Q22" s="856">
        <v>784</v>
      </c>
      <c r="R22" s="857">
        <v>299.83999999999997</v>
      </c>
      <c r="S22" s="856">
        <v>800</v>
      </c>
      <c r="T22" s="856"/>
      <c r="U22" s="761"/>
      <c r="V22" s="593"/>
    </row>
    <row r="23" spans="1:23" x14ac:dyDescent="0.25">
      <c r="A23" s="708" t="s">
        <v>977</v>
      </c>
      <c r="B23" s="12" t="s">
        <v>978</v>
      </c>
      <c r="C23" s="13">
        <v>1206.5999999999999</v>
      </c>
      <c r="D23" s="13">
        <v>1314.27</v>
      </c>
      <c r="E23" s="13">
        <v>1180.54</v>
      </c>
      <c r="F23" s="13">
        <v>783.58</v>
      </c>
      <c r="G23" s="13">
        <v>945.8</v>
      </c>
      <c r="H23" s="13">
        <v>1108.06</v>
      </c>
      <c r="I23" s="127">
        <v>1312.23</v>
      </c>
      <c r="J23" s="127">
        <v>1523.23</v>
      </c>
      <c r="K23" s="14">
        <v>1750</v>
      </c>
      <c r="L23" s="127">
        <v>1414.28</v>
      </c>
      <c r="M23" s="857">
        <v>1650</v>
      </c>
      <c r="N23" s="127">
        <v>1332.59</v>
      </c>
      <c r="O23" s="856">
        <v>1650</v>
      </c>
      <c r="P23" s="857">
        <v>1329.97</v>
      </c>
      <c r="Q23" s="856">
        <v>1848</v>
      </c>
      <c r="R23" s="857">
        <v>382.21</v>
      </c>
      <c r="S23" s="856">
        <v>1600</v>
      </c>
      <c r="T23" s="856"/>
      <c r="U23" s="761"/>
      <c r="V23" s="593"/>
    </row>
    <row r="24" spans="1:23" x14ac:dyDescent="0.25">
      <c r="A24" s="708" t="s">
        <v>979</v>
      </c>
      <c r="B24" s="12" t="s">
        <v>980</v>
      </c>
      <c r="C24" s="13">
        <v>347.6</v>
      </c>
      <c r="D24" s="13">
        <v>178.4</v>
      </c>
      <c r="E24" s="13">
        <v>211.9</v>
      </c>
      <c r="F24" s="13">
        <v>430.4</v>
      </c>
      <c r="G24" s="13">
        <v>240.8</v>
      </c>
      <c r="H24" s="13">
        <v>293.60000000000002</v>
      </c>
      <c r="I24" s="127">
        <v>233.4</v>
      </c>
      <c r="J24" s="127">
        <v>185.25</v>
      </c>
      <c r="K24" s="14">
        <v>500</v>
      </c>
      <c r="L24" s="127">
        <v>344</v>
      </c>
      <c r="M24" s="857">
        <v>600</v>
      </c>
      <c r="N24" s="127">
        <v>200.1</v>
      </c>
      <c r="O24" s="856">
        <v>600</v>
      </c>
      <c r="P24" s="857">
        <v>338.75</v>
      </c>
      <c r="Q24" s="856">
        <v>600</v>
      </c>
      <c r="R24" s="857">
        <v>179.7</v>
      </c>
      <c r="S24" s="856">
        <v>500</v>
      </c>
      <c r="T24" s="856"/>
      <c r="U24" s="761"/>
      <c r="V24" s="593"/>
    </row>
    <row r="25" spans="1:23" x14ac:dyDescent="0.25">
      <c r="A25" s="708" t="s">
        <v>981</v>
      </c>
      <c r="B25" s="12" t="s">
        <v>982</v>
      </c>
      <c r="C25" s="35">
        <v>103</v>
      </c>
      <c r="D25" s="13">
        <v>98</v>
      </c>
      <c r="E25" s="13">
        <v>140</v>
      </c>
      <c r="F25" s="13">
        <v>105</v>
      </c>
      <c r="G25" s="13">
        <v>70</v>
      </c>
      <c r="H25" s="13">
        <v>95</v>
      </c>
      <c r="I25" s="127">
        <v>104</v>
      </c>
      <c r="J25" s="127">
        <v>111</v>
      </c>
      <c r="K25" s="14">
        <v>150</v>
      </c>
      <c r="L25" s="127">
        <v>57.5</v>
      </c>
      <c r="M25" s="857">
        <v>150</v>
      </c>
      <c r="N25" s="127">
        <v>57.5</v>
      </c>
      <c r="O25" s="856">
        <v>150</v>
      </c>
      <c r="P25" s="857">
        <v>124</v>
      </c>
      <c r="Q25" s="856">
        <v>150</v>
      </c>
      <c r="R25" s="857"/>
      <c r="S25" s="856">
        <v>150</v>
      </c>
      <c r="T25" s="856"/>
      <c r="U25" s="761"/>
      <c r="V25" s="593"/>
    </row>
    <row r="26" spans="1:23" hidden="1" x14ac:dyDescent="0.25">
      <c r="A26" s="708" t="s">
        <v>983</v>
      </c>
      <c r="B26" s="12" t="s">
        <v>984</v>
      </c>
      <c r="C26" s="35"/>
      <c r="D26" s="13"/>
      <c r="E26" s="13"/>
      <c r="F26" s="13">
        <v>358</v>
      </c>
      <c r="G26" s="13"/>
      <c r="H26" s="13"/>
      <c r="I26" s="127"/>
      <c r="J26" s="127"/>
      <c r="K26" s="14"/>
      <c r="L26" s="200"/>
      <c r="M26" s="859"/>
      <c r="N26" s="200"/>
      <c r="O26" s="858"/>
      <c r="P26" s="859"/>
      <c r="Q26" s="858"/>
      <c r="R26" s="859"/>
      <c r="S26" s="858"/>
      <c r="T26" s="858"/>
      <c r="U26" s="69"/>
      <c r="V26" s="593"/>
    </row>
    <row r="27" spans="1:23" x14ac:dyDescent="0.25">
      <c r="A27" s="708" t="s">
        <v>985</v>
      </c>
      <c r="B27" s="12" t="s">
        <v>986</v>
      </c>
      <c r="C27" s="35">
        <v>113.6</v>
      </c>
      <c r="D27" s="13">
        <v>129</v>
      </c>
      <c r="E27" s="13">
        <v>138.1</v>
      </c>
      <c r="F27" s="13">
        <v>181.2</v>
      </c>
      <c r="G27" s="13">
        <v>193.2</v>
      </c>
      <c r="H27" s="13">
        <v>229.2</v>
      </c>
      <c r="I27" s="127">
        <v>255.2</v>
      </c>
      <c r="J27" s="127">
        <v>247.5</v>
      </c>
      <c r="K27" s="14">
        <v>300</v>
      </c>
      <c r="L27" s="200">
        <v>250</v>
      </c>
      <c r="M27" s="859">
        <v>350</v>
      </c>
      <c r="N27" s="200">
        <v>256.60000000000002</v>
      </c>
      <c r="O27" s="856">
        <v>350</v>
      </c>
      <c r="P27" s="859">
        <v>421.65</v>
      </c>
      <c r="Q27" s="856">
        <v>400</v>
      </c>
      <c r="R27" s="859">
        <v>204.85</v>
      </c>
      <c r="S27" s="856">
        <v>500</v>
      </c>
      <c r="T27" s="856"/>
      <c r="U27" s="761"/>
      <c r="V27" s="593"/>
      <c r="W27" s="604"/>
    </row>
    <row r="28" spans="1:23" x14ac:dyDescent="0.25">
      <c r="A28" s="708" t="s">
        <v>987</v>
      </c>
      <c r="B28" s="12" t="s">
        <v>988</v>
      </c>
      <c r="C28" s="35">
        <v>455.4</v>
      </c>
      <c r="D28" s="13">
        <v>588</v>
      </c>
      <c r="E28" s="13">
        <v>582.35</v>
      </c>
      <c r="F28" s="13">
        <v>863.6</v>
      </c>
      <c r="G28" s="13">
        <v>693.2</v>
      </c>
      <c r="H28" s="13">
        <v>718</v>
      </c>
      <c r="I28" s="127">
        <v>1037.1500000000001</v>
      </c>
      <c r="J28" s="127">
        <v>929.5</v>
      </c>
      <c r="K28" s="14">
        <v>2000</v>
      </c>
      <c r="L28" s="200">
        <v>735.25</v>
      </c>
      <c r="M28" s="859">
        <v>1000</v>
      </c>
      <c r="N28" s="200">
        <v>530.9</v>
      </c>
      <c r="O28" s="856">
        <v>1000</v>
      </c>
      <c r="P28" s="859">
        <v>1103.3499999999999</v>
      </c>
      <c r="Q28" s="856">
        <v>1000</v>
      </c>
      <c r="R28" s="859">
        <v>540.85</v>
      </c>
      <c r="S28" s="856">
        <v>1300</v>
      </c>
      <c r="T28" s="856"/>
      <c r="U28" s="761"/>
      <c r="V28" s="593"/>
    </row>
    <row r="29" spans="1:23" x14ac:dyDescent="0.25">
      <c r="A29" s="708" t="s">
        <v>989</v>
      </c>
      <c r="B29" s="12" t="s">
        <v>990</v>
      </c>
      <c r="C29" s="35">
        <v>41.4</v>
      </c>
      <c r="D29" s="13">
        <v>0</v>
      </c>
      <c r="E29" s="13"/>
      <c r="F29" s="13"/>
      <c r="G29" s="13"/>
      <c r="H29" s="13"/>
      <c r="I29" s="127">
        <v>0</v>
      </c>
      <c r="J29" s="127"/>
      <c r="K29" s="14">
        <v>95</v>
      </c>
      <c r="L29" s="200"/>
      <c r="M29" s="859">
        <v>100</v>
      </c>
      <c r="N29" s="200"/>
      <c r="O29" s="856">
        <v>0</v>
      </c>
      <c r="P29" s="859"/>
      <c r="Q29" s="856">
        <v>0</v>
      </c>
      <c r="R29" s="859"/>
      <c r="S29" s="856">
        <v>0</v>
      </c>
      <c r="T29" s="856"/>
      <c r="U29" s="761"/>
      <c r="V29" s="593"/>
    </row>
    <row r="30" spans="1:23" x14ac:dyDescent="0.25">
      <c r="A30" s="708" t="s">
        <v>991</v>
      </c>
      <c r="B30" s="12" t="s">
        <v>992</v>
      </c>
      <c r="C30" s="35">
        <v>157</v>
      </c>
      <c r="D30" s="13">
        <v>124</v>
      </c>
      <c r="E30" s="13">
        <v>217</v>
      </c>
      <c r="F30" s="13">
        <v>276</v>
      </c>
      <c r="G30" s="13">
        <v>287</v>
      </c>
      <c r="H30" s="13">
        <v>215.4</v>
      </c>
      <c r="I30" s="127">
        <v>202.4</v>
      </c>
      <c r="J30" s="127">
        <v>169.5</v>
      </c>
      <c r="K30" s="14">
        <v>500</v>
      </c>
      <c r="L30" s="200">
        <v>132</v>
      </c>
      <c r="M30" s="859">
        <v>250</v>
      </c>
      <c r="N30" s="200">
        <v>166.8</v>
      </c>
      <c r="O30" s="856">
        <v>250</v>
      </c>
      <c r="P30" s="859">
        <v>152.6</v>
      </c>
      <c r="Q30" s="856">
        <v>275</v>
      </c>
      <c r="R30" s="859">
        <v>134.44999999999999</v>
      </c>
      <c r="S30" s="856">
        <v>300</v>
      </c>
      <c r="T30" s="856"/>
      <c r="U30" s="761"/>
      <c r="V30" s="593"/>
    </row>
    <row r="31" spans="1:23" x14ac:dyDescent="0.25">
      <c r="A31" s="708" t="s">
        <v>993</v>
      </c>
      <c r="B31" s="12" t="s">
        <v>994</v>
      </c>
      <c r="C31" s="13">
        <v>350.26</v>
      </c>
      <c r="D31" s="13">
        <v>236.36</v>
      </c>
      <c r="E31" s="13">
        <v>243.42</v>
      </c>
      <c r="F31" s="13">
        <v>629.28</v>
      </c>
      <c r="G31" s="13">
        <v>424</v>
      </c>
      <c r="H31" s="13">
        <v>670.68</v>
      </c>
      <c r="I31" s="127">
        <v>1499.88</v>
      </c>
      <c r="J31" s="127">
        <v>2143.5</v>
      </c>
      <c r="K31" s="14">
        <v>2500</v>
      </c>
      <c r="L31" s="200">
        <v>742.56</v>
      </c>
      <c r="M31" s="859">
        <v>1500</v>
      </c>
      <c r="N31" s="200">
        <v>2081.04</v>
      </c>
      <c r="O31" s="856">
        <v>1500</v>
      </c>
      <c r="P31" s="859">
        <v>1812.58</v>
      </c>
      <c r="Q31" s="856">
        <v>2100</v>
      </c>
      <c r="R31" s="859">
        <v>753.99</v>
      </c>
      <c r="S31" s="856">
        <v>2100</v>
      </c>
      <c r="T31" s="856"/>
      <c r="U31" s="761"/>
      <c r="V31" s="593"/>
    </row>
    <row r="32" spans="1:23" x14ac:dyDescent="0.25">
      <c r="A32" s="708" t="s">
        <v>995</v>
      </c>
      <c r="B32" s="12" t="s">
        <v>996</v>
      </c>
      <c r="C32" s="13">
        <v>72</v>
      </c>
      <c r="D32" s="13">
        <v>72</v>
      </c>
      <c r="E32" s="13">
        <v>72</v>
      </c>
      <c r="F32" s="13">
        <v>123.12</v>
      </c>
      <c r="G32" s="13">
        <v>132</v>
      </c>
      <c r="H32" s="13">
        <v>82.8</v>
      </c>
      <c r="I32" s="127">
        <v>124</v>
      </c>
      <c r="J32" s="127">
        <v>124</v>
      </c>
      <c r="K32" s="14">
        <v>250</v>
      </c>
      <c r="L32" s="200"/>
      <c r="M32" s="859">
        <v>250</v>
      </c>
      <c r="N32" s="200"/>
      <c r="O32" s="856">
        <v>250</v>
      </c>
      <c r="P32" s="859"/>
      <c r="Q32" s="856">
        <v>250</v>
      </c>
      <c r="R32" s="859"/>
      <c r="S32" s="856">
        <v>100</v>
      </c>
      <c r="T32" s="856"/>
      <c r="U32" s="761"/>
      <c r="V32" t="s">
        <v>2459</v>
      </c>
    </row>
    <row r="33" spans="1:22" hidden="1" x14ac:dyDescent="0.25">
      <c r="A33" s="708" t="s">
        <v>997</v>
      </c>
      <c r="B33" s="12" t="s">
        <v>998</v>
      </c>
      <c r="C33" s="13"/>
      <c r="D33" s="13"/>
      <c r="E33" s="13"/>
      <c r="F33" s="13">
        <v>36.770000000000003</v>
      </c>
      <c r="G33" s="13"/>
      <c r="H33" s="13"/>
      <c r="I33" s="127"/>
      <c r="J33" s="127"/>
      <c r="K33" s="14"/>
      <c r="L33" s="200"/>
      <c r="M33" s="859"/>
      <c r="N33" s="200"/>
      <c r="O33" s="856"/>
      <c r="P33" s="859"/>
      <c r="Q33" s="856"/>
      <c r="R33" s="859"/>
      <c r="S33" s="856"/>
      <c r="T33" s="856"/>
      <c r="U33" s="761"/>
      <c r="V33" s="593"/>
    </row>
    <row r="34" spans="1:22" x14ac:dyDescent="0.25">
      <c r="A34" s="708" t="s">
        <v>999</v>
      </c>
      <c r="B34" s="12" t="s">
        <v>1000</v>
      </c>
      <c r="C34" s="13">
        <v>216</v>
      </c>
      <c r="D34" s="13">
        <v>248.8</v>
      </c>
      <c r="E34" s="13">
        <v>298.56</v>
      </c>
      <c r="F34" s="13">
        <v>328.32</v>
      </c>
      <c r="G34" s="13">
        <v>496</v>
      </c>
      <c r="H34" s="13">
        <v>331.2</v>
      </c>
      <c r="I34" s="127">
        <v>268.83999999999997</v>
      </c>
      <c r="J34" s="127">
        <v>571.6</v>
      </c>
      <c r="K34" s="14">
        <v>1500</v>
      </c>
      <c r="L34" s="127">
        <v>611.52</v>
      </c>
      <c r="M34" s="857">
        <v>700</v>
      </c>
      <c r="N34" s="127">
        <v>546.84</v>
      </c>
      <c r="O34" s="856">
        <v>700</v>
      </c>
      <c r="P34" s="857">
        <v>575.96</v>
      </c>
      <c r="Q34" s="856">
        <v>700</v>
      </c>
      <c r="R34" s="857">
        <v>386.19</v>
      </c>
      <c r="S34" s="856">
        <v>900</v>
      </c>
      <c r="T34" s="856"/>
      <c r="U34" s="761"/>
      <c r="V34" s="593"/>
    </row>
    <row r="35" spans="1:22" x14ac:dyDescent="0.25">
      <c r="A35" s="708" t="s">
        <v>1001</v>
      </c>
      <c r="B35" s="12" t="s">
        <v>1002</v>
      </c>
      <c r="C35" s="13">
        <v>744</v>
      </c>
      <c r="D35" s="13">
        <v>696.64</v>
      </c>
      <c r="E35" s="13">
        <v>646.88</v>
      </c>
      <c r="F35" s="13">
        <v>1114.92</v>
      </c>
      <c r="G35" s="13">
        <v>1096</v>
      </c>
      <c r="H35" s="13">
        <v>347.76</v>
      </c>
      <c r="I35" s="127">
        <v>1825.34</v>
      </c>
      <c r="J35" s="127">
        <v>1557.6</v>
      </c>
      <c r="K35" s="14">
        <v>3000</v>
      </c>
      <c r="L35" s="127">
        <v>2999.36</v>
      </c>
      <c r="M35" s="857">
        <v>3500</v>
      </c>
      <c r="N35" s="127">
        <v>607.6</v>
      </c>
      <c r="O35" s="856">
        <v>3500</v>
      </c>
      <c r="P35" s="857"/>
      <c r="Q35" s="856">
        <v>3500</v>
      </c>
      <c r="R35" s="857"/>
      <c r="S35" s="856">
        <v>3500</v>
      </c>
      <c r="T35" s="856"/>
      <c r="U35" s="761"/>
      <c r="V35" s="593"/>
    </row>
    <row r="36" spans="1:22" hidden="1" x14ac:dyDescent="0.25">
      <c r="A36" s="708" t="s">
        <v>1003</v>
      </c>
      <c r="B36" s="12" t="s">
        <v>1004</v>
      </c>
      <c r="C36" s="13"/>
      <c r="D36" s="13"/>
      <c r="E36" s="13"/>
      <c r="F36" s="13"/>
      <c r="G36" s="13">
        <v>120</v>
      </c>
      <c r="H36" s="13"/>
      <c r="I36" s="127"/>
      <c r="J36" s="127"/>
      <c r="K36" s="14"/>
      <c r="L36" s="127"/>
      <c r="M36" s="857"/>
      <c r="N36" s="127"/>
      <c r="O36" s="856"/>
      <c r="P36" s="857"/>
      <c r="Q36" s="856"/>
      <c r="R36" s="857"/>
      <c r="S36" s="856"/>
      <c r="T36" s="856"/>
      <c r="U36" s="761"/>
      <c r="V36" s="593"/>
    </row>
    <row r="37" spans="1:22" x14ac:dyDescent="0.25">
      <c r="A37" s="708" t="s">
        <v>1005</v>
      </c>
      <c r="B37" s="12" t="s">
        <v>1006</v>
      </c>
      <c r="C37" s="13">
        <v>72</v>
      </c>
      <c r="D37" s="13">
        <v>72</v>
      </c>
      <c r="E37" s="13">
        <v>72</v>
      </c>
      <c r="F37" s="13">
        <v>72</v>
      </c>
      <c r="G37" s="13">
        <v>208</v>
      </c>
      <c r="H37" s="13">
        <v>115.92</v>
      </c>
      <c r="I37" s="127">
        <v>124</v>
      </c>
      <c r="J37" s="127">
        <v>124</v>
      </c>
      <c r="K37" s="14">
        <v>400</v>
      </c>
      <c r="L37" s="127">
        <v>127</v>
      </c>
      <c r="M37" s="857">
        <v>200</v>
      </c>
      <c r="N37" s="127">
        <v>132.46</v>
      </c>
      <c r="O37" s="856">
        <v>200</v>
      </c>
      <c r="P37" s="857">
        <v>142.78</v>
      </c>
      <c r="Q37" s="856">
        <v>225</v>
      </c>
      <c r="R37" s="857">
        <v>77.459999999999994</v>
      </c>
      <c r="S37" s="856">
        <v>200</v>
      </c>
      <c r="T37" s="856"/>
      <c r="U37" s="761"/>
      <c r="V37" s="593"/>
    </row>
    <row r="38" spans="1:22" ht="13.8" thickBot="1" x14ac:dyDescent="0.3">
      <c r="A38" s="708"/>
      <c r="B38" s="12"/>
      <c r="C38" s="15"/>
      <c r="D38" s="15"/>
      <c r="E38" s="15"/>
      <c r="F38" s="15"/>
      <c r="G38" s="15"/>
      <c r="H38" s="15"/>
      <c r="I38" s="15"/>
      <c r="J38" s="15"/>
      <c r="K38" s="16"/>
      <c r="L38" s="15"/>
      <c r="M38" s="15"/>
      <c r="N38" s="15"/>
      <c r="O38" s="16"/>
      <c r="P38" s="15"/>
      <c r="Q38" s="16"/>
      <c r="R38" s="15"/>
      <c r="S38" s="16"/>
      <c r="T38" s="16"/>
      <c r="U38" s="16"/>
      <c r="V38" s="593"/>
    </row>
    <row r="39" spans="1:22" x14ac:dyDescent="0.25">
      <c r="A39" s="708"/>
      <c r="B39" s="17" t="s">
        <v>728</v>
      </c>
      <c r="C39" s="18">
        <f t="shared" ref="C39:I39" si="0">SUM(C9:C38)</f>
        <v>89938.37</v>
      </c>
      <c r="D39" s="18">
        <f t="shared" si="0"/>
        <v>103744.03</v>
      </c>
      <c r="E39" s="18">
        <f t="shared" si="0"/>
        <v>94949.29</v>
      </c>
      <c r="F39" s="18">
        <f t="shared" si="0"/>
        <v>93004.470000000016</v>
      </c>
      <c r="G39" s="18">
        <f t="shared" si="0"/>
        <v>86631.79</v>
      </c>
      <c r="H39" s="18">
        <f t="shared" si="0"/>
        <v>88374.909999999974</v>
      </c>
      <c r="I39" s="18">
        <f t="shared" si="0"/>
        <v>92714.789999999964</v>
      </c>
      <c r="J39" s="18">
        <f t="shared" ref="J39" si="1">SUM(J9:J38)</f>
        <v>77501.360000000015</v>
      </c>
      <c r="K39" s="34">
        <f>SUM(K9:K38)</f>
        <v>106320</v>
      </c>
      <c r="L39" s="18">
        <f t="shared" ref="L39:O39" si="2">SUM(L9:L38)</f>
        <v>85460.26</v>
      </c>
      <c r="M39" s="18">
        <f>SUM(M10:M38)</f>
        <v>109846</v>
      </c>
      <c r="N39" s="18">
        <f t="shared" si="2"/>
        <v>89201.060000000012</v>
      </c>
      <c r="O39" s="34">
        <f t="shared" si="2"/>
        <v>130782</v>
      </c>
      <c r="P39" s="18">
        <f t="shared" ref="P39" si="3">SUM(P9:P38)</f>
        <v>108132.38</v>
      </c>
      <c r="Q39" s="34">
        <f>SUM(Q9:Q38)</f>
        <v>155932</v>
      </c>
      <c r="R39" s="18">
        <f>SUM(R10:R38)</f>
        <v>48964.67</v>
      </c>
      <c r="S39" s="34">
        <f>SUM(S9:S38)</f>
        <v>140050</v>
      </c>
      <c r="T39" s="34"/>
      <c r="U39" s="34">
        <f>+S39</f>
        <v>140050</v>
      </c>
      <c r="V39" s="593"/>
    </row>
    <row r="40" spans="1:22" x14ac:dyDescent="0.25">
      <c r="A40" s="708"/>
      <c r="B40" s="12"/>
      <c r="C40" s="13"/>
      <c r="D40" s="13"/>
      <c r="E40" s="13"/>
      <c r="F40" s="13"/>
      <c r="G40" s="13"/>
      <c r="H40" s="13"/>
      <c r="I40" s="13"/>
      <c r="J40" s="13"/>
      <c r="K40" s="14"/>
      <c r="L40" s="13"/>
      <c r="M40" s="13"/>
      <c r="N40" s="13"/>
      <c r="O40" s="14"/>
      <c r="P40" s="13"/>
      <c r="Q40" s="14"/>
      <c r="R40" s="13"/>
      <c r="S40" s="14"/>
      <c r="T40" s="14"/>
      <c r="U40" s="14"/>
    </row>
    <row r="41" spans="1:22" ht="13.8" thickBot="1" x14ac:dyDescent="0.3">
      <c r="A41" s="709"/>
      <c r="B41" s="20" t="s">
        <v>1007</v>
      </c>
      <c r="C41" s="21">
        <f t="shared" ref="C41:S41" si="4">+C39</f>
        <v>89938.37</v>
      </c>
      <c r="D41" s="21">
        <f t="shared" si="4"/>
        <v>103744.03</v>
      </c>
      <c r="E41" s="21">
        <f>+E39</f>
        <v>94949.29</v>
      </c>
      <c r="F41" s="21">
        <f>+F39</f>
        <v>93004.470000000016</v>
      </c>
      <c r="G41" s="21">
        <f>+G39</f>
        <v>86631.79</v>
      </c>
      <c r="H41" s="21">
        <f t="shared" si="4"/>
        <v>88374.909999999974</v>
      </c>
      <c r="I41" s="21">
        <f t="shared" si="4"/>
        <v>92714.789999999964</v>
      </c>
      <c r="J41" s="21">
        <f t="shared" ref="J41" si="5">+J39</f>
        <v>77501.360000000015</v>
      </c>
      <c r="K41" s="22">
        <f t="shared" ref="K41:O41" si="6">+K39</f>
        <v>106320</v>
      </c>
      <c r="L41" s="21">
        <f t="shared" si="6"/>
        <v>85460.26</v>
      </c>
      <c r="M41" s="21">
        <f t="shared" si="6"/>
        <v>109846</v>
      </c>
      <c r="N41" s="21">
        <f t="shared" si="6"/>
        <v>89201.060000000012</v>
      </c>
      <c r="O41" s="22">
        <f t="shared" si="6"/>
        <v>130782</v>
      </c>
      <c r="P41" s="21">
        <f t="shared" ref="P41" si="7">+P39</f>
        <v>108132.38</v>
      </c>
      <c r="Q41" s="22">
        <f t="shared" ref="Q41" si="8">+Q39</f>
        <v>155932</v>
      </c>
      <c r="R41" s="21">
        <f t="shared" si="4"/>
        <v>48964.67</v>
      </c>
      <c r="S41" s="22">
        <f t="shared" si="4"/>
        <v>140050</v>
      </c>
      <c r="T41" s="22">
        <f>+S41</f>
        <v>140050</v>
      </c>
      <c r="U41" s="22">
        <f>+U39</f>
        <v>140050</v>
      </c>
    </row>
    <row r="42" spans="1:22" ht="13.8" thickTop="1" x14ac:dyDescent="0.25">
      <c r="A42" s="703"/>
      <c r="B42" s="74"/>
      <c r="C42" s="24"/>
      <c r="D42" s="24"/>
      <c r="E42" s="24"/>
      <c r="F42" s="24"/>
      <c r="G42" s="24"/>
      <c r="H42" s="24"/>
      <c r="I42" s="25"/>
      <c r="J42" s="25"/>
      <c r="K42" s="25"/>
      <c r="L42" s="25"/>
      <c r="M42" s="25"/>
      <c r="N42" s="25"/>
      <c r="O42" s="25"/>
      <c r="P42" s="25"/>
      <c r="Q42" s="25"/>
      <c r="R42" s="181" t="s">
        <v>732</v>
      </c>
      <c r="S42" s="1001">
        <f>+S41-Q41</f>
        <v>-15882</v>
      </c>
      <c r="T42" s="1002">
        <f>ROUND((+S42/Q41),4)</f>
        <v>-0.1019</v>
      </c>
      <c r="U42" s="25"/>
    </row>
    <row r="43" spans="1:22" x14ac:dyDescent="0.25">
      <c r="A43" s="703"/>
      <c r="B43" s="4"/>
      <c r="C43" s="24"/>
      <c r="D43" s="24"/>
      <c r="E43" s="24"/>
      <c r="F43" s="24"/>
      <c r="G43" s="24"/>
      <c r="H43" s="24"/>
      <c r="I43" s="25"/>
      <c r="J43" s="25"/>
      <c r="K43" s="25"/>
      <c r="L43" s="25"/>
      <c r="M43" s="25"/>
      <c r="N43" s="25"/>
      <c r="O43" s="25"/>
      <c r="P43" s="25"/>
      <c r="Q43" s="25"/>
      <c r="R43" s="24"/>
      <c r="S43" s="25"/>
      <c r="T43" s="25"/>
      <c r="U43" s="25"/>
    </row>
    <row r="44" spans="1:22" ht="15.6" x14ac:dyDescent="0.3">
      <c r="A44" s="767"/>
      <c r="B44" s="294"/>
      <c r="C44" s="295"/>
      <c r="D44" s="295"/>
      <c r="E44" s="295"/>
      <c r="F44" s="295"/>
      <c r="G44" s="295"/>
      <c r="H44" s="295"/>
      <c r="I44" s="294"/>
      <c r="J44" s="294"/>
      <c r="K44" s="294"/>
      <c r="L44" s="294"/>
      <c r="M44" s="294"/>
      <c r="N44" s="294"/>
      <c r="O44" s="294"/>
      <c r="P44" s="294"/>
      <c r="Q44" s="294"/>
      <c r="R44" s="294"/>
      <c r="S44" s="294"/>
      <c r="T44" s="294"/>
      <c r="U44" s="294"/>
    </row>
    <row r="45" spans="1:22" ht="15.6" x14ac:dyDescent="0.3">
      <c r="A45" s="703"/>
      <c r="B45" s="294"/>
      <c r="C45" s="295"/>
      <c r="D45" s="295"/>
      <c r="E45" s="295"/>
      <c r="F45" s="295"/>
      <c r="G45" s="295"/>
      <c r="H45" s="295"/>
      <c r="I45" s="294"/>
      <c r="J45" s="294"/>
      <c r="K45" s="294"/>
      <c r="L45" s="294"/>
      <c r="M45" s="294"/>
      <c r="N45" s="294"/>
      <c r="O45" s="294"/>
      <c r="P45" s="294"/>
      <c r="Q45" s="294"/>
      <c r="R45" s="294"/>
      <c r="S45" s="294"/>
      <c r="T45" s="294"/>
      <c r="U45" s="294"/>
    </row>
    <row r="46" spans="1:22" ht="16.2" thickBot="1" x14ac:dyDescent="0.35">
      <c r="A46" s="703"/>
      <c r="B46" s="294"/>
      <c r="C46" s="295"/>
      <c r="D46" s="295"/>
      <c r="E46" s="295"/>
      <c r="F46" s="295"/>
      <c r="G46" s="295"/>
      <c r="H46" s="295"/>
      <c r="I46" s="294"/>
      <c r="J46" s="294"/>
      <c r="K46" s="294"/>
      <c r="L46" s="294"/>
      <c r="M46" s="294"/>
      <c r="N46" s="294"/>
      <c r="O46" s="294"/>
      <c r="P46" s="294"/>
      <c r="Q46" s="294"/>
      <c r="R46" s="294"/>
      <c r="S46" s="294"/>
      <c r="T46" s="294"/>
      <c r="U46" s="294"/>
    </row>
    <row r="47" spans="1:22" ht="13.8" thickTop="1" x14ac:dyDescent="0.25">
      <c r="A47" s="718"/>
      <c r="B47" s="349"/>
      <c r="C47" s="350" t="s">
        <v>256</v>
      </c>
      <c r="D47" s="351" t="s">
        <v>256</v>
      </c>
      <c r="E47" s="351" t="s">
        <v>256</v>
      </c>
      <c r="F47" s="194"/>
      <c r="G47" s="194"/>
      <c r="H47" s="194"/>
      <c r="I47" s="202"/>
      <c r="J47" s="202"/>
      <c r="K47" s="202"/>
      <c r="L47" s="202"/>
      <c r="O47" s="352" t="s">
        <v>255</v>
      </c>
      <c r="P47" s="353" t="s">
        <v>716</v>
      </c>
      <c r="Q47" s="354" t="s">
        <v>730</v>
      </c>
      <c r="R47" s="353" t="s">
        <v>731</v>
      </c>
      <c r="S47" s="355"/>
      <c r="T47" s="550"/>
      <c r="U47" s="354"/>
    </row>
    <row r="48" spans="1:22" ht="13.8" thickBot="1" x14ac:dyDescent="0.3">
      <c r="A48" s="719" t="s">
        <v>715</v>
      </c>
      <c r="B48" s="356"/>
      <c r="C48" s="357" t="s">
        <v>243</v>
      </c>
      <c r="D48" s="357" t="s">
        <v>244</v>
      </c>
      <c r="E48" s="358" t="s">
        <v>245</v>
      </c>
      <c r="F48" s="194"/>
      <c r="G48" s="194"/>
      <c r="H48" s="194"/>
      <c r="I48" s="202"/>
      <c r="J48" s="202"/>
      <c r="K48" s="202"/>
      <c r="L48" s="202"/>
      <c r="O48" s="359" t="s">
        <v>469</v>
      </c>
      <c r="P48" s="359" t="s">
        <v>1345</v>
      </c>
      <c r="Q48" s="358" t="s">
        <v>732</v>
      </c>
      <c r="R48" s="360" t="s">
        <v>732</v>
      </c>
      <c r="S48" s="361" t="s">
        <v>733</v>
      </c>
      <c r="T48" s="551"/>
      <c r="U48" s="359"/>
    </row>
    <row r="49" spans="1:21" ht="13.8" thickTop="1" x14ac:dyDescent="0.25">
      <c r="A49" s="724" t="s">
        <v>951</v>
      </c>
      <c r="B49" s="369" t="s">
        <v>952</v>
      </c>
      <c r="C49" s="373">
        <v>17860.46</v>
      </c>
      <c r="D49" s="373">
        <v>18618.21</v>
      </c>
      <c r="E49" s="373">
        <v>18675.71</v>
      </c>
      <c r="F49" s="194"/>
      <c r="G49" s="194"/>
      <c r="H49" s="194"/>
      <c r="I49" s="202"/>
      <c r="J49" s="202"/>
      <c r="K49" s="202"/>
      <c r="L49" s="202"/>
      <c r="O49" s="372">
        <f>+Q10</f>
        <v>28000</v>
      </c>
      <c r="P49" s="393">
        <f>+S10</f>
        <v>33000</v>
      </c>
      <c r="Q49" s="368">
        <f t="shared" ref="Q49:Q73" si="9">+P49-O49</f>
        <v>5000</v>
      </c>
      <c r="R49" s="374">
        <f t="shared" ref="R49:R73" si="10">IF(O49+P49&lt;&gt;0,IF(O49&lt;&gt;0,IF(Q49&lt;&gt;0,ROUND((+Q49/O49),4),""),1),"")</f>
        <v>0.17860000000000001</v>
      </c>
      <c r="S49" s="367" t="s">
        <v>2462</v>
      </c>
      <c r="T49" s="553"/>
      <c r="U49" s="368"/>
    </row>
    <row r="50" spans="1:21" x14ac:dyDescent="0.25">
      <c r="A50" s="724" t="s">
        <v>953</v>
      </c>
      <c r="B50" s="369" t="s">
        <v>954</v>
      </c>
      <c r="C50" s="373">
        <v>418.21</v>
      </c>
      <c r="D50" s="373">
        <v>455.51</v>
      </c>
      <c r="E50" s="373">
        <v>520.94000000000005</v>
      </c>
      <c r="F50" s="194"/>
      <c r="G50" s="194"/>
      <c r="H50" s="194"/>
      <c r="I50" s="202"/>
      <c r="J50" s="202"/>
      <c r="K50" s="202"/>
      <c r="L50" s="202"/>
      <c r="O50" s="372">
        <f>+Q11</f>
        <v>1300</v>
      </c>
      <c r="P50" s="393">
        <f>+S11</f>
        <v>1000</v>
      </c>
      <c r="Q50" s="368">
        <f t="shared" si="9"/>
        <v>-300</v>
      </c>
      <c r="R50" s="374">
        <f t="shared" si="10"/>
        <v>-0.23080000000000001</v>
      </c>
      <c r="S50" s="367" t="s">
        <v>2463</v>
      </c>
      <c r="T50" s="553"/>
      <c r="U50" s="368"/>
    </row>
    <row r="51" spans="1:21" x14ac:dyDescent="0.25">
      <c r="A51" s="724" t="s">
        <v>957</v>
      </c>
      <c r="B51" s="369" t="s">
        <v>958</v>
      </c>
      <c r="C51" s="373">
        <v>30066.65</v>
      </c>
      <c r="D51" s="373">
        <v>32695.66</v>
      </c>
      <c r="E51" s="373">
        <v>29432.98</v>
      </c>
      <c r="F51" s="194"/>
      <c r="G51" s="194"/>
      <c r="H51" s="194"/>
      <c r="I51" s="202"/>
      <c r="J51" s="202"/>
      <c r="K51" s="202"/>
      <c r="L51" s="202"/>
      <c r="O51" s="372">
        <f>+Q13</f>
        <v>26000</v>
      </c>
      <c r="P51" s="393">
        <f t="shared" ref="P51:P58" si="11">+S13</f>
        <v>25000</v>
      </c>
      <c r="Q51" s="368">
        <f t="shared" si="9"/>
        <v>-1000</v>
      </c>
      <c r="R51" s="374">
        <f t="shared" si="10"/>
        <v>-3.85E-2</v>
      </c>
      <c r="S51" s="367" t="s">
        <v>2460</v>
      </c>
      <c r="T51" s="553"/>
      <c r="U51" s="368"/>
    </row>
    <row r="52" spans="1:21" x14ac:dyDescent="0.25">
      <c r="A52" s="724" t="s">
        <v>959</v>
      </c>
      <c r="B52" s="369" t="s">
        <v>960</v>
      </c>
      <c r="C52" s="373">
        <v>6158.88</v>
      </c>
      <c r="D52" s="373">
        <v>6302.72</v>
      </c>
      <c r="E52" s="373">
        <v>6068.61</v>
      </c>
      <c r="F52" s="194"/>
      <c r="G52" s="194"/>
      <c r="H52" s="194"/>
      <c r="I52" s="202"/>
      <c r="J52" s="202"/>
      <c r="K52" s="202"/>
      <c r="L52" s="202"/>
      <c r="O52" s="372">
        <f t="shared" ref="O52:O57" si="12">+Q14</f>
        <v>33000</v>
      </c>
      <c r="P52" s="393">
        <f t="shared" si="11"/>
        <v>35000</v>
      </c>
      <c r="Q52" s="368">
        <f t="shared" si="9"/>
        <v>2000</v>
      </c>
      <c r="R52" s="374">
        <f t="shared" si="10"/>
        <v>6.0600000000000001E-2</v>
      </c>
      <c r="S52" s="367" t="s">
        <v>2461</v>
      </c>
      <c r="T52" s="553"/>
      <c r="U52" s="368"/>
    </row>
    <row r="53" spans="1:21" x14ac:dyDescent="0.25">
      <c r="A53" s="724" t="s">
        <v>961</v>
      </c>
      <c r="B53" s="369" t="s">
        <v>962</v>
      </c>
      <c r="C53" s="373">
        <v>3735.02</v>
      </c>
      <c r="D53" s="373">
        <v>3841.24</v>
      </c>
      <c r="E53" s="373">
        <v>3791.57</v>
      </c>
      <c r="F53" s="194"/>
      <c r="G53" s="194"/>
      <c r="H53" s="194"/>
      <c r="I53" s="202"/>
      <c r="J53" s="202"/>
      <c r="K53" s="202"/>
      <c r="L53" s="202"/>
      <c r="O53" s="372">
        <f t="shared" si="12"/>
        <v>5700</v>
      </c>
      <c r="P53" s="393">
        <f t="shared" si="11"/>
        <v>5000</v>
      </c>
      <c r="Q53" s="368">
        <f t="shared" si="9"/>
        <v>-700</v>
      </c>
      <c r="R53" s="374">
        <f t="shared" si="10"/>
        <v>-0.12280000000000001</v>
      </c>
      <c r="S53" s="367"/>
      <c r="T53" s="553"/>
      <c r="U53" s="368"/>
    </row>
    <row r="54" spans="1:21" x14ac:dyDescent="0.25">
      <c r="A54" s="724" t="s">
        <v>963</v>
      </c>
      <c r="B54" s="369" t="s">
        <v>964</v>
      </c>
      <c r="C54" s="373">
        <v>2394.5</v>
      </c>
      <c r="D54" s="373">
        <v>2061.5700000000002</v>
      </c>
      <c r="E54" s="373">
        <v>1032.4000000000001</v>
      </c>
      <c r="F54" s="194"/>
      <c r="G54" s="194"/>
      <c r="H54" s="194"/>
      <c r="I54" s="202"/>
      <c r="J54" s="202"/>
      <c r="K54" s="202"/>
      <c r="L54" s="202"/>
      <c r="O54" s="372">
        <f t="shared" si="12"/>
        <v>1100</v>
      </c>
      <c r="P54" s="393">
        <f t="shared" si="11"/>
        <v>900</v>
      </c>
      <c r="Q54" s="368">
        <f t="shared" si="9"/>
        <v>-200</v>
      </c>
      <c r="R54" s="374">
        <f t="shared" si="10"/>
        <v>-0.18179999999999999</v>
      </c>
      <c r="S54" s="367"/>
      <c r="T54" s="553"/>
      <c r="U54" s="368"/>
    </row>
    <row r="55" spans="1:21" x14ac:dyDescent="0.25">
      <c r="A55" s="724" t="s">
        <v>965</v>
      </c>
      <c r="B55" s="369" t="s">
        <v>966</v>
      </c>
      <c r="C55" s="373">
        <v>2549.33</v>
      </c>
      <c r="D55" s="373">
        <v>2900.08</v>
      </c>
      <c r="E55" s="373">
        <v>2577.86</v>
      </c>
      <c r="F55" s="194"/>
      <c r="G55" s="194"/>
      <c r="H55" s="194"/>
      <c r="I55" s="202"/>
      <c r="J55" s="202"/>
      <c r="K55" s="202"/>
      <c r="L55" s="202"/>
      <c r="O55" s="372">
        <f t="shared" si="12"/>
        <v>3800</v>
      </c>
      <c r="P55" s="393">
        <f t="shared" si="11"/>
        <v>3200</v>
      </c>
      <c r="Q55" s="368">
        <f t="shared" si="9"/>
        <v>-600</v>
      </c>
      <c r="R55" s="374">
        <f t="shared" si="10"/>
        <v>-0.15790000000000001</v>
      </c>
      <c r="S55" s="367"/>
      <c r="T55" s="553"/>
      <c r="U55" s="368"/>
    </row>
    <row r="56" spans="1:21" x14ac:dyDescent="0.25">
      <c r="A56" s="724" t="s">
        <v>967</v>
      </c>
      <c r="B56" s="369" t="s">
        <v>968</v>
      </c>
      <c r="C56" s="373">
        <v>14145.02</v>
      </c>
      <c r="D56" s="373">
        <v>21632.63</v>
      </c>
      <c r="E56" s="373">
        <v>18865.080000000002</v>
      </c>
      <c r="F56" s="194"/>
      <c r="G56" s="194"/>
      <c r="H56" s="194"/>
      <c r="I56" s="202"/>
      <c r="J56" s="202"/>
      <c r="K56" s="202"/>
      <c r="L56" s="202"/>
      <c r="O56" s="372">
        <f t="shared" si="12"/>
        <v>34000</v>
      </c>
      <c r="P56" s="393">
        <f t="shared" si="11"/>
        <v>15000</v>
      </c>
      <c r="Q56" s="368">
        <f t="shared" si="9"/>
        <v>-19000</v>
      </c>
      <c r="R56" s="374">
        <f t="shared" si="10"/>
        <v>-0.55879999999999996</v>
      </c>
      <c r="S56" s="367"/>
      <c r="T56" s="553"/>
      <c r="U56" s="368"/>
    </row>
    <row r="57" spans="1:21" x14ac:dyDescent="0.25">
      <c r="A57" s="724" t="s">
        <v>969</v>
      </c>
      <c r="B57" s="369" t="s">
        <v>970</v>
      </c>
      <c r="C57" s="373">
        <v>8111.96</v>
      </c>
      <c r="D57" s="373">
        <v>10821.64</v>
      </c>
      <c r="E57" s="373">
        <v>9566.7000000000007</v>
      </c>
      <c r="F57" s="194"/>
      <c r="G57" s="194"/>
      <c r="H57" s="194"/>
      <c r="I57" s="202"/>
      <c r="J57" s="202"/>
      <c r="K57" s="202"/>
      <c r="L57" s="202"/>
      <c r="O57" s="372">
        <f t="shared" si="12"/>
        <v>11200</v>
      </c>
      <c r="P57" s="393">
        <f t="shared" si="11"/>
        <v>10000</v>
      </c>
      <c r="Q57" s="368">
        <f t="shared" si="9"/>
        <v>-1200</v>
      </c>
      <c r="R57" s="374">
        <f t="shared" si="10"/>
        <v>-0.1071</v>
      </c>
      <c r="S57" s="367"/>
      <c r="T57" s="553"/>
      <c r="U57" s="368"/>
    </row>
    <row r="58" spans="1:21" x14ac:dyDescent="0.25">
      <c r="A58" s="724" t="s">
        <v>971</v>
      </c>
      <c r="B58" s="369" t="s">
        <v>972</v>
      </c>
      <c r="C58" s="373"/>
      <c r="D58" s="373">
        <v>0</v>
      </c>
      <c r="E58" s="373"/>
      <c r="F58" s="194"/>
      <c r="G58" s="194"/>
      <c r="H58" s="194"/>
      <c r="I58" s="202"/>
      <c r="J58" s="202"/>
      <c r="K58" s="202"/>
      <c r="L58" s="202"/>
      <c r="O58" s="372"/>
      <c r="P58" s="393">
        <f t="shared" si="11"/>
        <v>0</v>
      </c>
      <c r="Q58" s="368">
        <f t="shared" si="9"/>
        <v>0</v>
      </c>
      <c r="R58" s="374" t="str">
        <f t="shared" si="10"/>
        <v/>
      </c>
      <c r="S58" s="367"/>
      <c r="T58" s="553"/>
      <c r="U58" s="368"/>
    </row>
    <row r="59" spans="1:21" x14ac:dyDescent="0.25">
      <c r="A59" s="724" t="s">
        <v>975</v>
      </c>
      <c r="B59" s="369" t="s">
        <v>976</v>
      </c>
      <c r="C59" s="373">
        <v>619.48</v>
      </c>
      <c r="D59" s="373">
        <v>657.3</v>
      </c>
      <c r="E59" s="373">
        <v>614.69000000000005</v>
      </c>
      <c r="F59" s="194"/>
      <c r="G59" s="194"/>
      <c r="H59" s="194"/>
      <c r="I59" s="202"/>
      <c r="J59" s="202"/>
      <c r="K59" s="202"/>
      <c r="L59" s="202"/>
      <c r="O59" s="372">
        <f>+Q22</f>
        <v>784</v>
      </c>
      <c r="P59" s="393">
        <f t="shared" ref="P59:P69" si="13">+S22</f>
        <v>800</v>
      </c>
      <c r="Q59" s="368">
        <f t="shared" si="9"/>
        <v>16</v>
      </c>
      <c r="R59" s="374">
        <f t="shared" si="10"/>
        <v>2.0400000000000001E-2</v>
      </c>
      <c r="S59" s="367"/>
      <c r="T59" s="553"/>
      <c r="U59" s="368"/>
    </row>
    <row r="60" spans="1:21" x14ac:dyDescent="0.25">
      <c r="A60" s="724" t="s">
        <v>977</v>
      </c>
      <c r="B60" s="369" t="s">
        <v>978</v>
      </c>
      <c r="C60" s="373">
        <v>1206.5999999999999</v>
      </c>
      <c r="D60" s="373">
        <v>1314.27</v>
      </c>
      <c r="E60" s="373">
        <v>1180.54</v>
      </c>
      <c r="F60" s="194"/>
      <c r="G60" s="194"/>
      <c r="H60" s="194"/>
      <c r="I60" s="202"/>
      <c r="J60" s="202"/>
      <c r="K60" s="202"/>
      <c r="L60" s="202"/>
      <c r="O60" s="372">
        <f t="shared" ref="O60:O69" si="14">+Q23</f>
        <v>1848</v>
      </c>
      <c r="P60" s="393">
        <f t="shared" si="13"/>
        <v>1600</v>
      </c>
      <c r="Q60" s="368">
        <f t="shared" si="9"/>
        <v>-248</v>
      </c>
      <c r="R60" s="374">
        <f t="shared" si="10"/>
        <v>-0.13420000000000001</v>
      </c>
      <c r="S60" s="367"/>
      <c r="T60" s="553"/>
      <c r="U60" s="368"/>
    </row>
    <row r="61" spans="1:21" x14ac:dyDescent="0.25">
      <c r="A61" s="724" t="s">
        <v>979</v>
      </c>
      <c r="B61" s="369" t="s">
        <v>980</v>
      </c>
      <c r="C61" s="373">
        <v>347.6</v>
      </c>
      <c r="D61" s="373">
        <v>178.4</v>
      </c>
      <c r="E61" s="373">
        <v>211.9</v>
      </c>
      <c r="F61" s="194"/>
      <c r="G61" s="194"/>
      <c r="H61" s="194"/>
      <c r="I61" s="202"/>
      <c r="J61" s="202"/>
      <c r="K61" s="202"/>
      <c r="L61" s="202"/>
      <c r="O61" s="372">
        <f t="shared" si="14"/>
        <v>600</v>
      </c>
      <c r="P61" s="393">
        <f t="shared" si="13"/>
        <v>500</v>
      </c>
      <c r="Q61" s="368">
        <f t="shared" si="9"/>
        <v>-100</v>
      </c>
      <c r="R61" s="374">
        <f t="shared" si="10"/>
        <v>-0.16669999999999999</v>
      </c>
      <c r="S61" s="367"/>
      <c r="T61" s="553"/>
      <c r="U61" s="368"/>
    </row>
    <row r="62" spans="1:21" x14ac:dyDescent="0.25">
      <c r="A62" s="724" t="s">
        <v>981</v>
      </c>
      <c r="B62" s="369" t="s">
        <v>982</v>
      </c>
      <c r="C62" s="375">
        <v>103</v>
      </c>
      <c r="D62" s="373">
        <v>98</v>
      </c>
      <c r="E62" s="373">
        <v>140</v>
      </c>
      <c r="F62" s="194"/>
      <c r="G62" s="194"/>
      <c r="H62" s="194"/>
      <c r="I62" s="202"/>
      <c r="J62" s="202"/>
      <c r="K62" s="202"/>
      <c r="L62" s="202"/>
      <c r="O62" s="372">
        <f t="shared" si="14"/>
        <v>150</v>
      </c>
      <c r="P62" s="393">
        <f t="shared" si="13"/>
        <v>150</v>
      </c>
      <c r="Q62" s="368">
        <f t="shared" si="9"/>
        <v>0</v>
      </c>
      <c r="R62" s="374" t="str">
        <f t="shared" si="10"/>
        <v/>
      </c>
      <c r="S62" s="367"/>
      <c r="T62" s="553"/>
      <c r="U62" s="368"/>
    </row>
    <row r="63" spans="1:21" x14ac:dyDescent="0.25">
      <c r="A63" s="724" t="s">
        <v>983</v>
      </c>
      <c r="B63" s="369" t="s">
        <v>984</v>
      </c>
      <c r="C63" s="375"/>
      <c r="D63" s="373"/>
      <c r="E63" s="373"/>
      <c r="F63" s="194"/>
      <c r="G63" s="194"/>
      <c r="H63" s="194"/>
      <c r="I63" s="202"/>
      <c r="J63" s="202"/>
      <c r="K63" s="202"/>
      <c r="L63" s="202"/>
      <c r="O63" s="372">
        <f t="shared" si="14"/>
        <v>0</v>
      </c>
      <c r="P63" s="393">
        <f t="shared" si="13"/>
        <v>0</v>
      </c>
      <c r="Q63" s="368">
        <f t="shared" si="9"/>
        <v>0</v>
      </c>
      <c r="R63" s="374" t="str">
        <f t="shared" si="10"/>
        <v/>
      </c>
      <c r="S63" s="367"/>
      <c r="T63" s="553"/>
      <c r="U63" s="368"/>
    </row>
    <row r="64" spans="1:21" x14ac:dyDescent="0.25">
      <c r="A64" s="724" t="s">
        <v>985</v>
      </c>
      <c r="B64" s="369" t="s">
        <v>986</v>
      </c>
      <c r="C64" s="375">
        <v>113.6</v>
      </c>
      <c r="D64" s="373">
        <v>129</v>
      </c>
      <c r="E64" s="373">
        <v>138.1</v>
      </c>
      <c r="F64" s="194"/>
      <c r="G64" s="194"/>
      <c r="H64" s="194"/>
      <c r="I64" s="202"/>
      <c r="J64" s="202"/>
      <c r="K64" s="202"/>
      <c r="L64" s="202"/>
      <c r="O64" s="372">
        <f t="shared" si="14"/>
        <v>400</v>
      </c>
      <c r="P64" s="393">
        <f t="shared" si="13"/>
        <v>500</v>
      </c>
      <c r="Q64" s="368">
        <f t="shared" si="9"/>
        <v>100</v>
      </c>
      <c r="R64" s="374">
        <f t="shared" si="10"/>
        <v>0.25</v>
      </c>
      <c r="S64" s="367"/>
      <c r="T64" s="553"/>
      <c r="U64" s="368"/>
    </row>
    <row r="65" spans="1:21" x14ac:dyDescent="0.25">
      <c r="A65" s="724" t="s">
        <v>987</v>
      </c>
      <c r="B65" s="369" t="s">
        <v>988</v>
      </c>
      <c r="C65" s="375">
        <v>455.4</v>
      </c>
      <c r="D65" s="373">
        <v>588</v>
      </c>
      <c r="E65" s="373">
        <v>582.35</v>
      </c>
      <c r="F65" s="194"/>
      <c r="G65" s="194"/>
      <c r="H65" s="194"/>
      <c r="I65" s="202"/>
      <c r="J65" s="202"/>
      <c r="K65" s="202"/>
      <c r="L65" s="202"/>
      <c r="O65" s="372">
        <f t="shared" si="14"/>
        <v>1000</v>
      </c>
      <c r="P65" s="393">
        <f t="shared" si="13"/>
        <v>1300</v>
      </c>
      <c r="Q65" s="368">
        <f t="shared" si="9"/>
        <v>300</v>
      </c>
      <c r="R65" s="374">
        <f t="shared" si="10"/>
        <v>0.3</v>
      </c>
      <c r="S65" s="367"/>
      <c r="T65" s="553"/>
      <c r="U65" s="368"/>
    </row>
    <row r="66" spans="1:21" x14ac:dyDescent="0.25">
      <c r="A66" s="724" t="s">
        <v>989</v>
      </c>
      <c r="B66" s="369" t="s">
        <v>990</v>
      </c>
      <c r="C66" s="375">
        <v>41.4</v>
      </c>
      <c r="D66" s="373">
        <v>0</v>
      </c>
      <c r="E66" s="373"/>
      <c r="F66" s="194"/>
      <c r="G66" s="194"/>
      <c r="H66" s="194"/>
      <c r="I66" s="202"/>
      <c r="J66" s="202"/>
      <c r="K66" s="202"/>
      <c r="L66" s="202"/>
      <c r="O66" s="372">
        <f t="shared" si="14"/>
        <v>0</v>
      </c>
      <c r="P66" s="393">
        <f t="shared" si="13"/>
        <v>0</v>
      </c>
      <c r="Q66" s="368">
        <f t="shared" si="9"/>
        <v>0</v>
      </c>
      <c r="R66" s="374" t="str">
        <f t="shared" si="10"/>
        <v/>
      </c>
      <c r="S66" s="367"/>
      <c r="T66" s="553"/>
      <c r="U66" s="368"/>
    </row>
    <row r="67" spans="1:21" x14ac:dyDescent="0.25">
      <c r="A67" s="724" t="s">
        <v>991</v>
      </c>
      <c r="B67" s="369" t="s">
        <v>992</v>
      </c>
      <c r="C67" s="375">
        <v>157</v>
      </c>
      <c r="D67" s="373">
        <v>124</v>
      </c>
      <c r="E67" s="373">
        <v>217</v>
      </c>
      <c r="F67" s="194"/>
      <c r="G67" s="194"/>
      <c r="H67" s="194"/>
      <c r="I67" s="202"/>
      <c r="J67" s="202"/>
      <c r="K67" s="202"/>
      <c r="L67" s="202"/>
      <c r="O67" s="372">
        <f t="shared" si="14"/>
        <v>275</v>
      </c>
      <c r="P67" s="393">
        <f t="shared" si="13"/>
        <v>300</v>
      </c>
      <c r="Q67" s="368">
        <f t="shared" si="9"/>
        <v>25</v>
      </c>
      <c r="R67" s="374">
        <f t="shared" si="10"/>
        <v>9.0899999999999995E-2</v>
      </c>
      <c r="S67" s="367"/>
      <c r="T67" s="553"/>
      <c r="U67" s="368"/>
    </row>
    <row r="68" spans="1:21" x14ac:dyDescent="0.25">
      <c r="A68" s="724" t="s">
        <v>993</v>
      </c>
      <c r="B68" s="369" t="s">
        <v>994</v>
      </c>
      <c r="C68" s="373">
        <v>350.26</v>
      </c>
      <c r="D68" s="373">
        <v>236.36</v>
      </c>
      <c r="E68" s="373">
        <v>243.42</v>
      </c>
      <c r="F68" s="194"/>
      <c r="G68" s="194"/>
      <c r="H68" s="194"/>
      <c r="I68" s="202"/>
      <c r="J68" s="202"/>
      <c r="K68" s="202"/>
      <c r="L68" s="202"/>
      <c r="O68" s="372">
        <f t="shared" si="14"/>
        <v>2100</v>
      </c>
      <c r="P68" s="393">
        <f t="shared" si="13"/>
        <v>2100</v>
      </c>
      <c r="Q68" s="368">
        <f t="shared" si="9"/>
        <v>0</v>
      </c>
      <c r="R68" s="374" t="str">
        <f t="shared" si="10"/>
        <v/>
      </c>
      <c r="S68" s="367"/>
      <c r="T68" s="553"/>
      <c r="U68" s="368"/>
    </row>
    <row r="69" spans="1:21" x14ac:dyDescent="0.25">
      <c r="A69" s="724" t="s">
        <v>995</v>
      </c>
      <c r="B69" s="369" t="s">
        <v>996</v>
      </c>
      <c r="C69" s="373">
        <v>72</v>
      </c>
      <c r="D69" s="373">
        <v>72</v>
      </c>
      <c r="E69" s="373">
        <v>72</v>
      </c>
      <c r="F69" s="194"/>
      <c r="G69" s="194"/>
      <c r="H69" s="194"/>
      <c r="I69" s="202"/>
      <c r="J69" s="202"/>
      <c r="K69" s="202"/>
      <c r="L69" s="202"/>
      <c r="O69" s="372">
        <f t="shared" si="14"/>
        <v>250</v>
      </c>
      <c r="P69" s="393">
        <f t="shared" si="13"/>
        <v>100</v>
      </c>
      <c r="Q69" s="368">
        <f t="shared" si="9"/>
        <v>-150</v>
      </c>
      <c r="R69" s="374">
        <f t="shared" si="10"/>
        <v>-0.6</v>
      </c>
      <c r="S69" s="367"/>
      <c r="T69" s="553"/>
      <c r="U69" s="368"/>
    </row>
    <row r="70" spans="1:21" x14ac:dyDescent="0.25">
      <c r="A70" s="724" t="s">
        <v>999</v>
      </c>
      <c r="B70" s="369" t="s">
        <v>1000</v>
      </c>
      <c r="C70" s="373">
        <v>216</v>
      </c>
      <c r="D70" s="373">
        <v>248.8</v>
      </c>
      <c r="E70" s="373">
        <v>298.56</v>
      </c>
      <c r="F70" s="194"/>
      <c r="G70" s="194"/>
      <c r="H70" s="194"/>
      <c r="I70" s="202"/>
      <c r="J70" s="202"/>
      <c r="K70" s="202"/>
      <c r="L70" s="202"/>
      <c r="O70" s="372">
        <f>+Q34</f>
        <v>700</v>
      </c>
      <c r="P70" s="393">
        <f>+S34</f>
        <v>900</v>
      </c>
      <c r="Q70" s="368">
        <f t="shared" si="9"/>
        <v>200</v>
      </c>
      <c r="R70" s="374">
        <f t="shared" si="10"/>
        <v>0.28570000000000001</v>
      </c>
      <c r="S70" s="367"/>
      <c r="T70" s="553"/>
      <c r="U70" s="368"/>
    </row>
    <row r="71" spans="1:21" x14ac:dyDescent="0.25">
      <c r="A71" s="724" t="s">
        <v>1001</v>
      </c>
      <c r="B71" s="369" t="s">
        <v>1002</v>
      </c>
      <c r="C71" s="373">
        <v>744</v>
      </c>
      <c r="D71" s="373">
        <v>696.64</v>
      </c>
      <c r="E71" s="373">
        <v>646.88</v>
      </c>
      <c r="F71" s="194"/>
      <c r="G71" s="194"/>
      <c r="H71" s="194"/>
      <c r="I71" s="202"/>
      <c r="J71" s="202"/>
      <c r="K71" s="202"/>
      <c r="L71" s="202"/>
      <c r="O71" s="372">
        <f t="shared" ref="O71:O73" si="15">+Q35</f>
        <v>3500</v>
      </c>
      <c r="P71" s="393">
        <f>+S35</f>
        <v>3500</v>
      </c>
      <c r="Q71" s="368">
        <f t="shared" si="9"/>
        <v>0</v>
      </c>
      <c r="R71" s="374" t="str">
        <f t="shared" si="10"/>
        <v/>
      </c>
      <c r="S71" s="367" t="s">
        <v>2464</v>
      </c>
      <c r="T71" s="553"/>
      <c r="U71" s="368"/>
    </row>
    <row r="72" spans="1:21" x14ac:dyDescent="0.25">
      <c r="A72" s="724" t="s">
        <v>1003</v>
      </c>
      <c r="B72" s="369" t="s">
        <v>1004</v>
      </c>
      <c r="C72" s="373"/>
      <c r="D72" s="373"/>
      <c r="E72" s="373"/>
      <c r="F72" s="194"/>
      <c r="G72" s="194"/>
      <c r="H72" s="194"/>
      <c r="I72" s="202"/>
      <c r="J72" s="202"/>
      <c r="K72" s="202"/>
      <c r="L72" s="202"/>
      <c r="O72" s="372">
        <f t="shared" si="15"/>
        <v>0</v>
      </c>
      <c r="P72" s="393">
        <f>+S36</f>
        <v>0</v>
      </c>
      <c r="Q72" s="368">
        <f t="shared" si="9"/>
        <v>0</v>
      </c>
      <c r="R72" s="374" t="str">
        <f t="shared" si="10"/>
        <v/>
      </c>
      <c r="S72" s="367"/>
      <c r="T72" s="553"/>
      <c r="U72" s="368"/>
    </row>
    <row r="73" spans="1:21" x14ac:dyDescent="0.25">
      <c r="A73" s="724" t="s">
        <v>1005</v>
      </c>
      <c r="B73" s="369" t="s">
        <v>1006</v>
      </c>
      <c r="C73" s="373">
        <v>72</v>
      </c>
      <c r="D73" s="373">
        <v>72</v>
      </c>
      <c r="E73" s="373">
        <v>72</v>
      </c>
      <c r="F73" s="194"/>
      <c r="G73" s="194"/>
      <c r="H73" s="194"/>
      <c r="I73" s="202"/>
      <c r="J73" s="202"/>
      <c r="K73" s="202"/>
      <c r="L73" s="202"/>
      <c r="O73" s="372">
        <f t="shared" si="15"/>
        <v>225</v>
      </c>
      <c r="P73" s="393">
        <f>+S37</f>
        <v>200</v>
      </c>
      <c r="Q73" s="368">
        <f t="shared" si="9"/>
        <v>-25</v>
      </c>
      <c r="R73" s="374">
        <f t="shared" si="10"/>
        <v>-0.1111</v>
      </c>
      <c r="S73" s="367"/>
      <c r="T73" s="553"/>
      <c r="U73" s="368"/>
    </row>
    <row r="74" spans="1:21" x14ac:dyDescent="0.25">
      <c r="D74" s="194"/>
      <c r="E74" s="194"/>
      <c r="F74" s="194"/>
      <c r="G74" s="194"/>
      <c r="H74" s="194"/>
      <c r="I74" s="202"/>
      <c r="J74" s="202"/>
      <c r="K74" s="202"/>
      <c r="L74" s="202"/>
      <c r="O74" s="194"/>
      <c r="P74" s="202"/>
      <c r="Q74" s="202"/>
    </row>
    <row r="75" spans="1:21" x14ac:dyDescent="0.25">
      <c r="B75" s="4" t="s">
        <v>735</v>
      </c>
      <c r="C75" s="23"/>
      <c r="D75" s="23"/>
      <c r="E75" s="23"/>
      <c r="F75" s="23"/>
      <c r="G75" s="23"/>
      <c r="H75" s="194"/>
      <c r="I75" s="202"/>
      <c r="J75" s="202"/>
      <c r="K75" s="202"/>
      <c r="L75" s="202"/>
      <c r="O75" s="597">
        <f>SUM(O49:O73)</f>
        <v>155932</v>
      </c>
      <c r="P75" s="597">
        <f>SUM(P49:P73)</f>
        <v>140050</v>
      </c>
      <c r="Q75" s="597">
        <f>SUM(Q49:Q73)</f>
        <v>-15882</v>
      </c>
      <c r="R75" s="598">
        <f>IF(O75+P75&lt;&gt;0,IF(O75&lt;&gt;0,IF(Q75&lt;&gt;0,ROUND((+Q75/O75),4),""),1),"")</f>
        <v>-0.1019</v>
      </c>
    </row>
  </sheetData>
  <phoneticPr fontId="0" type="noConversion"/>
  <hyperlinks>
    <hyperlink ref="A1" location="'Working Budget with funding det'!A1" display="Main " xr:uid="{00000000-0004-0000-1800-000000000000}"/>
    <hyperlink ref="B1" location="'Table of Contents'!A1" display="TOC" xr:uid="{00000000-0004-0000-1800-000001000000}"/>
  </hyperlinks>
  <pageMargins left="0.75" right="0.75" top="1" bottom="1" header="0.5" footer="0.5"/>
  <pageSetup scale="96" fitToHeight="2" orientation="landscape" r:id="rId1"/>
  <headerFooter alignWithMargins="0">
    <oddFooter>&amp;L&amp;D  &amp;T&amp;C&amp;F&amp;R&amp;A</oddFooter>
  </headerFooter>
  <rowBreaks count="1" manualBreakCount="1">
    <brk id="41" max="1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U30"/>
  <sheetViews>
    <sheetView topLeftCell="A4" workbookViewId="0">
      <selection activeCell="R14" sqref="R14"/>
    </sheetView>
  </sheetViews>
  <sheetFormatPr defaultRowHeight="13.2" x14ac:dyDescent="0.25"/>
  <cols>
    <col min="1" max="1" width="9.44140625" style="712" bestFit="1" customWidth="1"/>
    <col min="2" max="2" width="35.77734375" customWidth="1"/>
    <col min="3" max="8" width="14.33203125" style="1" hidden="1" customWidth="1"/>
    <col min="9" max="10" width="14.33203125" hidden="1" customWidth="1"/>
    <col min="11" max="14" width="12.109375" hidden="1" customWidth="1"/>
    <col min="15" max="21" width="12.109375" customWidth="1"/>
  </cols>
  <sheetData>
    <row r="1" spans="1:21" x14ac:dyDescent="0.25">
      <c r="A1" s="701" t="s">
        <v>736</v>
      </c>
      <c r="B1" s="290" t="s">
        <v>194</v>
      </c>
      <c r="D1" s="194"/>
      <c r="E1" s="194"/>
      <c r="F1" s="194"/>
      <c r="G1" s="194"/>
      <c r="H1" s="194"/>
      <c r="I1" s="194"/>
      <c r="J1" s="194"/>
      <c r="K1" s="194"/>
      <c r="L1" s="194"/>
      <c r="M1" s="194"/>
      <c r="N1" s="194"/>
      <c r="O1" s="194"/>
      <c r="P1" s="194"/>
      <c r="Q1" s="194"/>
      <c r="S1" s="1"/>
      <c r="T1" s="1"/>
    </row>
    <row r="2" spans="1:21" ht="13.8" x14ac:dyDescent="0.25">
      <c r="A2" s="702" t="s">
        <v>944</v>
      </c>
      <c r="B2" s="43"/>
      <c r="E2" s="125"/>
      <c r="I2" s="125" t="s">
        <v>706</v>
      </c>
      <c r="J2" s="125"/>
      <c r="K2" s="125"/>
      <c r="L2" s="125"/>
      <c r="M2" s="125"/>
      <c r="N2" s="125"/>
      <c r="O2" s="125"/>
      <c r="P2" s="125"/>
      <c r="Q2" s="125"/>
      <c r="R2" s="58" t="s">
        <v>1935</v>
      </c>
      <c r="S2" s="1"/>
      <c r="T2" s="1"/>
      <c r="U2" s="44" t="s">
        <v>1934</v>
      </c>
    </row>
    <row r="3" spans="1:21" ht="13.8" thickBot="1" x14ac:dyDescent="0.3">
      <c r="A3" s="703"/>
      <c r="B3" s="4"/>
      <c r="C3" s="23"/>
      <c r="D3" s="23"/>
      <c r="E3" s="23"/>
      <c r="F3" s="23"/>
      <c r="G3" s="23"/>
      <c r="H3" s="23"/>
      <c r="I3" s="23"/>
      <c r="J3" s="23"/>
      <c r="K3" s="23"/>
      <c r="L3" s="23"/>
      <c r="M3" s="23"/>
      <c r="N3" s="23"/>
      <c r="O3" s="23"/>
      <c r="P3" s="23"/>
      <c r="Q3" s="23"/>
      <c r="R3" s="4"/>
      <c r="S3" s="23"/>
      <c r="T3" s="23"/>
      <c r="U3" s="4"/>
    </row>
    <row r="4" spans="1:21"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1"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1"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1"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1" ht="13.8" thickTop="1" x14ac:dyDescent="0.25">
      <c r="A8" s="725"/>
      <c r="B8" s="185"/>
      <c r="C8" s="117"/>
      <c r="D8" s="18"/>
      <c r="E8" s="18"/>
      <c r="F8" s="18"/>
      <c r="G8" s="18"/>
      <c r="H8" s="18"/>
      <c r="I8" s="19"/>
      <c r="J8" s="19"/>
      <c r="K8" s="19"/>
      <c r="L8" s="18"/>
      <c r="M8" s="18"/>
      <c r="N8" s="18"/>
      <c r="O8" s="19"/>
      <c r="P8" s="19"/>
      <c r="Q8" s="19"/>
      <c r="R8" s="18"/>
      <c r="S8" s="19"/>
      <c r="T8" s="19"/>
      <c r="U8" s="19"/>
    </row>
    <row r="9" spans="1:21" ht="13.8" thickBot="1" x14ac:dyDescent="0.3">
      <c r="A9" s="725">
        <v>5100</v>
      </c>
      <c r="B9" s="60" t="s">
        <v>946</v>
      </c>
      <c r="C9" s="117"/>
      <c r="D9" s="18"/>
      <c r="E9" s="18"/>
      <c r="F9" s="18"/>
      <c r="G9" s="18"/>
      <c r="H9" s="15"/>
      <c r="I9" s="16"/>
      <c r="J9" s="16"/>
      <c r="K9" s="16"/>
      <c r="L9" s="15"/>
      <c r="M9" s="16"/>
      <c r="N9" s="15"/>
      <c r="O9" s="16"/>
      <c r="P9" s="15">
        <v>2000</v>
      </c>
      <c r="Q9" s="16">
        <v>4000</v>
      </c>
      <c r="R9" s="15">
        <v>1777.8</v>
      </c>
      <c r="S9" s="16">
        <v>4000</v>
      </c>
      <c r="T9" s="16"/>
      <c r="U9" s="16"/>
    </row>
    <row r="10" spans="1:21" x14ac:dyDescent="0.25">
      <c r="A10" s="725"/>
      <c r="B10" s="61" t="s">
        <v>880</v>
      </c>
      <c r="C10" s="117"/>
      <c r="D10" s="18"/>
      <c r="E10" s="18"/>
      <c r="F10" s="18"/>
      <c r="G10" s="18"/>
      <c r="H10" s="18"/>
      <c r="I10" s="19"/>
      <c r="J10" s="19"/>
      <c r="K10" s="19"/>
      <c r="L10" s="18"/>
      <c r="M10" s="19">
        <f t="shared" ref="M10:R10" si="0">+M9</f>
        <v>0</v>
      </c>
      <c r="N10" s="18">
        <f t="shared" ref="N10" si="1">+N9</f>
        <v>0</v>
      </c>
      <c r="O10" s="19">
        <f t="shared" si="0"/>
        <v>0</v>
      </c>
      <c r="P10" s="18">
        <f t="shared" ref="P10" si="2">+P9</f>
        <v>2000</v>
      </c>
      <c r="Q10" s="19">
        <f>+Q9</f>
        <v>4000</v>
      </c>
      <c r="R10" s="19">
        <f t="shared" si="0"/>
        <v>1777.8</v>
      </c>
      <c r="S10" s="19">
        <f>+S9</f>
        <v>4000</v>
      </c>
      <c r="T10" s="19"/>
      <c r="U10" s="19"/>
    </row>
    <row r="11" spans="1:21" x14ac:dyDescent="0.25">
      <c r="A11" s="725"/>
      <c r="B11" s="60"/>
      <c r="C11" s="117"/>
      <c r="D11" s="18"/>
      <c r="E11" s="18"/>
      <c r="F11" s="18"/>
      <c r="G11" s="18"/>
      <c r="H11" s="18"/>
      <c r="I11" s="19"/>
      <c r="J11" s="19"/>
      <c r="K11" s="19"/>
      <c r="L11" s="18"/>
      <c r="M11" s="19"/>
      <c r="N11" s="18"/>
      <c r="O11" s="19"/>
      <c r="P11" s="18"/>
      <c r="Q11" s="19"/>
      <c r="R11" s="18"/>
      <c r="S11" s="19"/>
      <c r="T11" s="19"/>
      <c r="U11" s="19"/>
    </row>
    <row r="12" spans="1:21" x14ac:dyDescent="0.25">
      <c r="A12" s="725"/>
      <c r="B12" s="101"/>
      <c r="C12" s="117"/>
      <c r="D12" s="18"/>
      <c r="E12" s="18"/>
      <c r="F12" s="18"/>
      <c r="G12" s="18"/>
      <c r="H12" s="18"/>
      <c r="I12" s="19"/>
      <c r="J12" s="19"/>
      <c r="K12" s="19"/>
      <c r="L12" s="18"/>
      <c r="M12" s="19"/>
      <c r="N12" s="18"/>
      <c r="O12" s="19"/>
      <c r="P12" s="18"/>
      <c r="Q12" s="19"/>
      <c r="R12" s="18"/>
      <c r="S12" s="19"/>
      <c r="T12" s="19"/>
      <c r="U12" s="19"/>
    </row>
    <row r="13" spans="1:21" ht="13.8" thickBot="1" x14ac:dyDescent="0.3">
      <c r="A13" s="708">
        <v>5700</v>
      </c>
      <c r="B13" s="584" t="s">
        <v>1936</v>
      </c>
      <c r="C13" s="116"/>
      <c r="D13" s="15"/>
      <c r="E13" s="15"/>
      <c r="F13" s="15"/>
      <c r="G13" s="15"/>
      <c r="H13" s="15"/>
      <c r="I13" s="15"/>
      <c r="J13" s="15"/>
      <c r="K13" s="16"/>
      <c r="L13" s="15"/>
      <c r="M13" s="16"/>
      <c r="N13" s="15"/>
      <c r="O13" s="16"/>
      <c r="P13" s="15">
        <v>191.4</v>
      </c>
      <c r="Q13" s="16">
        <v>1000</v>
      </c>
      <c r="R13" s="15">
        <v>306.62</v>
      </c>
      <c r="S13" s="16">
        <v>1200</v>
      </c>
      <c r="T13" s="16"/>
      <c r="U13" s="16"/>
    </row>
    <row r="14" spans="1:21" x14ac:dyDescent="0.25">
      <c r="A14" s="708"/>
      <c r="B14" s="61" t="s">
        <v>728</v>
      </c>
      <c r="C14" s="117"/>
      <c r="D14" s="18"/>
      <c r="E14" s="18"/>
      <c r="F14" s="18"/>
      <c r="G14" s="18"/>
      <c r="H14" s="18"/>
      <c r="I14" s="18"/>
      <c r="J14" s="18"/>
      <c r="K14" s="34"/>
      <c r="L14" s="18"/>
      <c r="M14" s="34">
        <f t="shared" ref="M14:O14" si="3">SUM(M13:M13)</f>
        <v>0</v>
      </c>
      <c r="N14" s="18">
        <f t="shared" ref="N14" si="4">SUM(N13:N13)</f>
        <v>0</v>
      </c>
      <c r="O14" s="34">
        <f t="shared" si="3"/>
        <v>0</v>
      </c>
      <c r="P14" s="18">
        <f t="shared" ref="P14" si="5">SUM(P13:P13)</f>
        <v>191.4</v>
      </c>
      <c r="Q14" s="34">
        <f t="shared" ref="Q14" si="6">SUM(Q13:Q13)</f>
        <v>1000</v>
      </c>
      <c r="R14" s="18">
        <f t="shared" ref="R14:S14" si="7">SUM(R13:R13)</f>
        <v>306.62</v>
      </c>
      <c r="S14" s="34">
        <f t="shared" si="7"/>
        <v>1200</v>
      </c>
      <c r="T14" s="34"/>
      <c r="U14" s="34">
        <f>SUM(U13:U13)</f>
        <v>0</v>
      </c>
    </row>
    <row r="15" spans="1:21" x14ac:dyDescent="0.25">
      <c r="A15" s="708"/>
      <c r="B15" s="60"/>
      <c r="C15" s="115"/>
      <c r="D15" s="13"/>
      <c r="E15" s="13"/>
      <c r="F15" s="13"/>
      <c r="G15" s="13"/>
      <c r="H15" s="13"/>
      <c r="I15" s="13"/>
      <c r="J15" s="13"/>
      <c r="K15" s="14"/>
      <c r="L15" s="13"/>
      <c r="M15" s="14"/>
      <c r="N15" s="13"/>
      <c r="O15" s="14"/>
      <c r="P15" s="13"/>
      <c r="Q15" s="14"/>
      <c r="R15" s="13"/>
      <c r="S15" s="14"/>
      <c r="T15" s="14"/>
      <c r="U15" s="14"/>
    </row>
    <row r="16" spans="1:21" x14ac:dyDescent="0.25">
      <c r="A16" s="708"/>
      <c r="B16" s="60"/>
      <c r="C16" s="115"/>
      <c r="D16" s="13"/>
      <c r="E16" s="13"/>
      <c r="F16" s="13"/>
      <c r="G16" s="13"/>
      <c r="H16" s="13"/>
      <c r="I16" s="13"/>
      <c r="J16" s="13"/>
      <c r="K16" s="14"/>
      <c r="L16" s="13"/>
      <c r="M16" s="14"/>
      <c r="N16" s="13"/>
      <c r="O16" s="14"/>
      <c r="P16" s="13"/>
      <c r="Q16" s="14"/>
      <c r="R16" s="13"/>
      <c r="S16" s="14"/>
      <c r="T16" s="14"/>
      <c r="U16" s="14"/>
    </row>
    <row r="17" spans="1:21" ht="13.8" thickBot="1" x14ac:dyDescent="0.3">
      <c r="A17" s="709"/>
      <c r="B17" s="583" t="s">
        <v>948</v>
      </c>
      <c r="C17" s="577"/>
      <c r="D17" s="21"/>
      <c r="E17" s="21"/>
      <c r="F17" s="21"/>
      <c r="G17" s="21"/>
      <c r="H17" s="21"/>
      <c r="I17" s="21"/>
      <c r="J17" s="21"/>
      <c r="K17" s="39"/>
      <c r="L17" s="21"/>
      <c r="M17" s="39">
        <f t="shared" ref="M17:O17" si="8">+M14+M10</f>
        <v>0</v>
      </c>
      <c r="N17" s="21">
        <f t="shared" ref="N17" si="9">+N14+N10</f>
        <v>0</v>
      </c>
      <c r="O17" s="39">
        <f t="shared" si="8"/>
        <v>0</v>
      </c>
      <c r="P17" s="21">
        <f t="shared" ref="P17" si="10">+P14+P10</f>
        <v>2191.4</v>
      </c>
      <c r="Q17" s="39">
        <f>+Q14+Q10</f>
        <v>5000</v>
      </c>
      <c r="R17" s="21">
        <f t="shared" ref="R17" si="11">+R14</f>
        <v>306.62</v>
      </c>
      <c r="S17" s="39">
        <f>+S14+S10</f>
        <v>5200</v>
      </c>
      <c r="T17" s="39">
        <f>+S17</f>
        <v>5200</v>
      </c>
      <c r="U17" s="39">
        <f>+S17</f>
        <v>5200</v>
      </c>
    </row>
    <row r="18" spans="1:21" ht="13.8" thickTop="1" x14ac:dyDescent="0.25">
      <c r="A18" s="703"/>
      <c r="B18" s="584"/>
      <c r="C18" s="24"/>
      <c r="D18" s="24"/>
      <c r="E18" s="24"/>
      <c r="F18" s="24"/>
      <c r="G18" s="24"/>
      <c r="H18" s="24"/>
      <c r="I18" s="24"/>
      <c r="J18" s="24"/>
      <c r="K18" s="24"/>
      <c r="L18" s="24"/>
      <c r="M18" s="24"/>
      <c r="N18" s="24"/>
      <c r="O18" s="24"/>
      <c r="P18" s="24"/>
      <c r="Q18" s="24"/>
      <c r="R18" s="181" t="s">
        <v>732</v>
      </c>
      <c r="S18" s="1001">
        <f>+S17-Q17</f>
        <v>200</v>
      </c>
      <c r="T18" s="1002">
        <f>ROUND((+S18/Q17),4)</f>
        <v>0.04</v>
      </c>
      <c r="U18" s="23"/>
    </row>
    <row r="19" spans="1:21" x14ac:dyDescent="0.25">
      <c r="B19" s="213"/>
    </row>
    <row r="20" spans="1:21" x14ac:dyDescent="0.25">
      <c r="B20" s="213"/>
    </row>
    <row r="21" spans="1:21" x14ac:dyDescent="0.25">
      <c r="B21" s="268"/>
    </row>
    <row r="22" spans="1:21" ht="13.8" thickBot="1" x14ac:dyDescent="0.3">
      <c r="B22" s="213"/>
    </row>
    <row r="23" spans="1:21" ht="13.8" thickTop="1" x14ac:dyDescent="0.25">
      <c r="A23" s="718"/>
      <c r="B23" s="349"/>
      <c r="C23" s="350" t="s">
        <v>256</v>
      </c>
      <c r="D23" s="351" t="s">
        <v>256</v>
      </c>
      <c r="E23" s="351" t="s">
        <v>256</v>
      </c>
      <c r="K23" s="352" t="s">
        <v>255</v>
      </c>
      <c r="L23" s="353" t="s">
        <v>716</v>
      </c>
      <c r="O23" s="352" t="s">
        <v>255</v>
      </c>
      <c r="P23" s="353" t="s">
        <v>716</v>
      </c>
      <c r="Q23" s="354" t="s">
        <v>730</v>
      </c>
      <c r="R23" s="353" t="s">
        <v>731</v>
      </c>
      <c r="S23" s="355"/>
      <c r="T23" s="550"/>
      <c r="U23" s="354"/>
    </row>
    <row r="24" spans="1:21" ht="13.8" thickBot="1" x14ac:dyDescent="0.3">
      <c r="A24" s="719" t="s">
        <v>715</v>
      </c>
      <c r="B24" s="356"/>
      <c r="C24" s="357" t="s">
        <v>243</v>
      </c>
      <c r="D24" s="357" t="s">
        <v>244</v>
      </c>
      <c r="E24" s="358" t="s">
        <v>245</v>
      </c>
      <c r="K24" s="359" t="s">
        <v>253</v>
      </c>
      <c r="L24" s="359" t="s">
        <v>469</v>
      </c>
      <c r="O24" s="359" t="s">
        <v>469</v>
      </c>
      <c r="P24" s="359" t="s">
        <v>1345</v>
      </c>
      <c r="Q24" s="358" t="s">
        <v>732</v>
      </c>
      <c r="R24" s="360" t="s">
        <v>732</v>
      </c>
      <c r="S24" s="361" t="s">
        <v>733</v>
      </c>
      <c r="T24" s="551"/>
      <c r="U24" s="359"/>
    </row>
    <row r="25" spans="1:21" ht="13.8" thickTop="1" x14ac:dyDescent="0.25">
      <c r="A25" s="726"/>
      <c r="B25" s="376"/>
      <c r="C25" s="365"/>
      <c r="D25" s="365"/>
      <c r="E25" s="365"/>
      <c r="K25" s="366"/>
      <c r="L25" s="365"/>
      <c r="O25" s="366"/>
      <c r="P25" s="365"/>
      <c r="Q25" s="368"/>
      <c r="R25" s="374"/>
      <c r="S25" s="367"/>
      <c r="T25" s="553"/>
      <c r="U25" s="368"/>
    </row>
    <row r="26" spans="1:21" x14ac:dyDescent="0.25">
      <c r="A26" s="726">
        <v>5100</v>
      </c>
      <c r="B26" s="376" t="s">
        <v>946</v>
      </c>
      <c r="C26" s="365"/>
      <c r="D26" s="365"/>
      <c r="E26" s="365"/>
      <c r="F26" s="596"/>
      <c r="G26" s="596"/>
      <c r="K26" s="366">
        <f>+O9</f>
        <v>0</v>
      </c>
      <c r="L26" s="365">
        <f>+S9</f>
        <v>4000</v>
      </c>
      <c r="O26" s="366">
        <f>+Q9</f>
        <v>4000</v>
      </c>
      <c r="P26" s="365">
        <f>+S9</f>
        <v>4000</v>
      </c>
      <c r="Q26" s="368">
        <f t="shared" ref="Q26:Q28" si="12">+P26-O26</f>
        <v>0</v>
      </c>
      <c r="R26" s="374" t="str">
        <f t="shared" ref="R26:R28" si="13">IF(O26+P26&lt;&gt;0,IF(O26&lt;&gt;0,IF(Q26&lt;&gt;0,ROUND((+Q26/O26),4),""),1),"")</f>
        <v/>
      </c>
      <c r="S26" s="367"/>
      <c r="T26" s="553"/>
      <c r="U26" s="368"/>
    </row>
    <row r="27" spans="1:21" x14ac:dyDescent="0.25">
      <c r="A27" s="726"/>
      <c r="B27" s="397"/>
      <c r="C27" s="377"/>
      <c r="D27" s="377"/>
      <c r="E27" s="377"/>
      <c r="K27" s="595"/>
      <c r="L27" s="377"/>
      <c r="O27" s="595"/>
      <c r="P27" s="377"/>
      <c r="Q27" s="368">
        <f t="shared" si="12"/>
        <v>0</v>
      </c>
      <c r="R27" s="374" t="str">
        <f t="shared" si="13"/>
        <v/>
      </c>
      <c r="S27" s="367"/>
      <c r="T27" s="553"/>
      <c r="U27" s="368"/>
    </row>
    <row r="28" spans="1:21" ht="13.8" thickBot="1" x14ac:dyDescent="0.3">
      <c r="A28" s="724">
        <v>5700</v>
      </c>
      <c r="B28" s="388" t="s">
        <v>1937</v>
      </c>
      <c r="C28" s="371">
        <v>1485</v>
      </c>
      <c r="D28" s="371">
        <v>0</v>
      </c>
      <c r="E28" s="371">
        <v>676</v>
      </c>
      <c r="K28" s="381">
        <f>+O13</f>
        <v>0</v>
      </c>
      <c r="L28" s="526">
        <f>+S13</f>
        <v>1200</v>
      </c>
      <c r="O28" s="381">
        <f>+Q13</f>
        <v>1000</v>
      </c>
      <c r="P28" s="526">
        <f>+S13</f>
        <v>1200</v>
      </c>
      <c r="Q28" s="368">
        <f t="shared" si="12"/>
        <v>200</v>
      </c>
      <c r="R28" s="374">
        <f t="shared" si="13"/>
        <v>0.2</v>
      </c>
      <c r="S28" s="367" t="s">
        <v>2390</v>
      </c>
      <c r="T28" s="553"/>
      <c r="U28" s="368"/>
    </row>
    <row r="29" spans="1:21" x14ac:dyDescent="0.25">
      <c r="K29" s="1"/>
      <c r="O29" s="1"/>
    </row>
    <row r="30" spans="1:21" x14ac:dyDescent="0.25">
      <c r="B30" s="4" t="s">
        <v>735</v>
      </c>
      <c r="C30" s="23"/>
      <c r="D30" s="23"/>
      <c r="E30" s="23"/>
      <c r="F30" s="23"/>
      <c r="G30" s="23"/>
      <c r="K30" s="597">
        <f>SUM(K26:K28)</f>
        <v>0</v>
      </c>
      <c r="L30" s="597">
        <f>SUM(L26:L28)</f>
        <v>5200</v>
      </c>
      <c r="O30" s="597">
        <f>SUM(O26:O28)</f>
        <v>5000</v>
      </c>
      <c r="P30" s="597">
        <f>SUM(P26:P28)</f>
        <v>5200</v>
      </c>
      <c r="Q30" s="25">
        <f>+L30-K30</f>
        <v>5200</v>
      </c>
      <c r="R30" s="598">
        <f>IF(K30+L30&lt;&gt;0,IF(K30&lt;&gt;0,IF(Q30&lt;&gt;0,ROUND((+Q30/K30),4),""),1),"")</f>
        <v>1</v>
      </c>
    </row>
  </sheetData>
  <phoneticPr fontId="15" type="noConversion"/>
  <hyperlinks>
    <hyperlink ref="A1" location="'Working Budget with funding det'!A1" display="Main " xr:uid="{00000000-0004-0000-1700-000000000000}"/>
    <hyperlink ref="B1" location="'Table of Contents'!A1" display="TOC" xr:uid="{00000000-0004-0000-1700-000001000000}"/>
  </hyperlinks>
  <pageMargins left="0.75" right="0.75" top="1" bottom="1" header="0.5" footer="0.5"/>
  <pageSetup fitToHeight="6" orientation="landscape" r:id="rId1"/>
  <headerFooter alignWithMargins="0">
    <oddFooter>&amp;L&amp;D &amp;T&amp;C&amp;F&amp;R&amp;A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X139"/>
  <sheetViews>
    <sheetView zoomScaleNormal="100" workbookViewId="0">
      <pane ySplit="8" topLeftCell="A47" activePane="bottomLeft" state="frozen"/>
      <selection activeCell="S36" sqref="S36"/>
      <selection pane="bottomLeft" activeCell="T100" sqref="T100"/>
    </sheetView>
  </sheetViews>
  <sheetFormatPr defaultRowHeight="13.2" x14ac:dyDescent="0.25"/>
  <cols>
    <col min="1" max="1" width="12.6640625" style="712" customWidth="1"/>
    <col min="2" max="2" width="36.6640625" customWidth="1"/>
    <col min="3" max="3" width="16" style="1" hidden="1" customWidth="1"/>
    <col min="4" max="8" width="16" style="105" hidden="1" customWidth="1"/>
    <col min="9" max="10" width="15.77734375" style="105" hidden="1" customWidth="1"/>
    <col min="11" max="14" width="14.44140625" style="105" hidden="1" customWidth="1"/>
    <col min="15" max="17" width="14.44140625" style="105" customWidth="1"/>
    <col min="18" max="18" width="15.77734375" customWidth="1"/>
    <col min="19" max="20" width="15.109375" style="1" customWidth="1"/>
    <col min="21" max="22" width="17.33203125" style="1" customWidth="1"/>
    <col min="23" max="23" width="10.109375" bestFit="1" customWidth="1"/>
  </cols>
  <sheetData>
    <row r="1" spans="1:22" ht="13.8" x14ac:dyDescent="0.25">
      <c r="A1" s="701" t="s">
        <v>736</v>
      </c>
      <c r="B1" s="290" t="s">
        <v>194</v>
      </c>
      <c r="D1" s="194"/>
      <c r="E1" s="194"/>
      <c r="F1" s="194"/>
      <c r="G1" s="194"/>
      <c r="H1" s="194"/>
      <c r="I1" s="194"/>
      <c r="J1" s="194"/>
      <c r="K1" s="194"/>
      <c r="L1" s="194"/>
      <c r="M1" s="194"/>
      <c r="N1" s="194"/>
      <c r="O1" s="194"/>
      <c r="P1" s="194"/>
      <c r="Q1" s="194"/>
      <c r="S1" s="265"/>
      <c r="T1" s="265"/>
      <c r="U1" s="198"/>
    </row>
    <row r="2" spans="1:22" ht="13.8" x14ac:dyDescent="0.25">
      <c r="A2" s="702" t="s">
        <v>1008</v>
      </c>
      <c r="B2" s="43"/>
      <c r="D2" s="194"/>
      <c r="E2" s="125"/>
      <c r="F2" s="194"/>
      <c r="G2" s="194"/>
      <c r="H2" s="194"/>
      <c r="I2" s="125" t="s">
        <v>706</v>
      </c>
      <c r="J2" s="125"/>
      <c r="K2" s="125"/>
      <c r="L2" s="125"/>
      <c r="M2" s="125"/>
      <c r="N2" s="125"/>
      <c r="O2" s="125"/>
      <c r="P2" s="125"/>
      <c r="Q2" s="125"/>
      <c r="R2" s="58" t="s">
        <v>530</v>
      </c>
      <c r="S2" s="265"/>
      <c r="T2" s="265"/>
      <c r="U2" s="44" t="s">
        <v>1009</v>
      </c>
    </row>
    <row r="3" spans="1:22" ht="13.8" thickBot="1" x14ac:dyDescent="0.3">
      <c r="A3" s="703"/>
      <c r="B3" s="4"/>
      <c r="C3" s="23"/>
      <c r="D3" s="23"/>
      <c r="E3" s="23"/>
      <c r="F3" s="23"/>
      <c r="G3" s="23"/>
      <c r="H3" s="23"/>
      <c r="I3" s="23"/>
      <c r="J3" s="23"/>
      <c r="K3" s="23"/>
      <c r="L3" s="23"/>
      <c r="M3" s="23"/>
      <c r="N3" s="23"/>
      <c r="O3" s="23"/>
      <c r="P3" s="23"/>
      <c r="Q3" s="23"/>
      <c r="R3" s="4"/>
      <c r="S3" s="97"/>
      <c r="T3" s="97"/>
      <c r="U3" s="4"/>
      <c r="V3" s="4"/>
    </row>
    <row r="4" spans="1:22"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2"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2"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2"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2" ht="13.8" hidden="1" thickTop="1" x14ac:dyDescent="0.25">
      <c r="A8" s="725">
        <v>5111</v>
      </c>
      <c r="B8" s="185" t="s">
        <v>1010</v>
      </c>
      <c r="C8" s="117">
        <v>94541.440000000002</v>
      </c>
      <c r="D8" s="18">
        <f>4666+71741</f>
        <v>76407</v>
      </c>
      <c r="E8" s="18">
        <v>79100</v>
      </c>
      <c r="F8" s="18">
        <v>84668.79</v>
      </c>
      <c r="G8" s="18">
        <v>86894</v>
      </c>
      <c r="H8" s="18"/>
      <c r="I8" s="34"/>
      <c r="J8" s="34"/>
      <c r="K8" s="209"/>
      <c r="L8" s="209"/>
      <c r="M8" s="209"/>
      <c r="N8" s="209"/>
      <c r="O8" s="209"/>
      <c r="P8" s="209"/>
      <c r="Q8" s="209"/>
      <c r="R8" s="18"/>
      <c r="S8" s="209"/>
      <c r="T8" s="209"/>
      <c r="U8" s="19"/>
    </row>
    <row r="9" spans="1:22" ht="13.8" thickTop="1" x14ac:dyDescent="0.25">
      <c r="A9" s="725">
        <v>5112</v>
      </c>
      <c r="B9" s="60" t="s">
        <v>738</v>
      </c>
      <c r="C9" s="115">
        <v>558256.29</v>
      </c>
      <c r="D9" s="18">
        <v>673834.28</v>
      </c>
      <c r="E9" s="18">
        <v>754753.01</v>
      </c>
      <c r="F9" s="18">
        <v>801324.19</v>
      </c>
      <c r="G9" s="18">
        <v>830656.61</v>
      </c>
      <c r="H9" s="18">
        <f>-90402+839726.16</f>
        <v>749324.16</v>
      </c>
      <c r="I9" s="13">
        <f>56327.4+938205.2</f>
        <v>994532.6</v>
      </c>
      <c r="J9" s="13">
        <v>979569.74</v>
      </c>
      <c r="K9" s="208">
        <v>1066247</v>
      </c>
      <c r="L9" s="127">
        <v>1033229.88</v>
      </c>
      <c r="M9" s="208">
        <v>1126021</v>
      </c>
      <c r="N9" s="127">
        <v>1097042.94</v>
      </c>
      <c r="O9" s="208">
        <f>28999+5956+1184459</f>
        <v>1219414</v>
      </c>
      <c r="P9" s="127">
        <v>1190860.75</v>
      </c>
      <c r="Q9" s="208">
        <v>1265672</v>
      </c>
      <c r="R9" s="13">
        <v>609154.53</v>
      </c>
      <c r="S9" s="208">
        <f>ROUND((SUM(R68:R85)),0)+1</f>
        <v>1308691</v>
      </c>
      <c r="T9" s="19"/>
      <c r="U9" s="19"/>
      <c r="V9" s="334"/>
    </row>
    <row r="10" spans="1:22" x14ac:dyDescent="0.25">
      <c r="A10" s="725">
        <v>5113</v>
      </c>
      <c r="B10" s="60" t="s">
        <v>1011</v>
      </c>
      <c r="C10" s="115">
        <v>10745.01</v>
      </c>
      <c r="D10" s="18">
        <f>105.98+10950.18</f>
        <v>11056.16</v>
      </c>
      <c r="E10" s="18">
        <v>10477.32</v>
      </c>
      <c r="F10" s="18">
        <v>10864.62</v>
      </c>
      <c r="G10" s="18">
        <v>11393.66</v>
      </c>
      <c r="H10" s="18">
        <v>11758.11</v>
      </c>
      <c r="I10" s="13">
        <v>12311.69</v>
      </c>
      <c r="J10" s="13">
        <v>13072.92</v>
      </c>
      <c r="K10" s="208">
        <v>14034</v>
      </c>
      <c r="L10" s="127">
        <v>13517.7</v>
      </c>
      <c r="M10" s="208">
        <v>14556</v>
      </c>
      <c r="N10" s="127">
        <v>13930.8</v>
      </c>
      <c r="O10" s="208">
        <f>449+14857</f>
        <v>15306</v>
      </c>
      <c r="P10" s="127">
        <v>14742.3</v>
      </c>
      <c r="Q10" s="208">
        <v>15998</v>
      </c>
      <c r="R10" s="13">
        <v>7361.25</v>
      </c>
      <c r="S10" s="208">
        <f>ROUND((+R86),0)</f>
        <v>16805</v>
      </c>
      <c r="T10" s="19"/>
      <c r="U10" s="19"/>
      <c r="V10" s="327"/>
    </row>
    <row r="11" spans="1:22" x14ac:dyDescent="0.25">
      <c r="A11" s="708">
        <v>5114</v>
      </c>
      <c r="B11" s="60" t="s">
        <v>1012</v>
      </c>
      <c r="C11" s="115">
        <f>95.03+22206.8</f>
        <v>22301.829999999998</v>
      </c>
      <c r="D11" s="13">
        <f>15705.21+1162.29</f>
        <v>16867.5</v>
      </c>
      <c r="E11" s="13">
        <v>22998.86</v>
      </c>
      <c r="F11" s="13">
        <v>28723.59</v>
      </c>
      <c r="G11" s="13">
        <v>26839.71</v>
      </c>
      <c r="H11" s="13">
        <v>30833.5</v>
      </c>
      <c r="I11" s="13">
        <v>10672.75</v>
      </c>
      <c r="J11" s="13">
        <v>4624</v>
      </c>
      <c r="K11" s="14">
        <v>22858</v>
      </c>
      <c r="L11" s="127">
        <v>6305</v>
      </c>
      <c r="M11" s="14">
        <v>28000</v>
      </c>
      <c r="N11" s="127">
        <v>6730.5</v>
      </c>
      <c r="O11" s="14">
        <f>15000</f>
        <v>15000</v>
      </c>
      <c r="P11" s="13">
        <v>6063</v>
      </c>
      <c r="Q11" s="14">
        <v>16000</v>
      </c>
      <c r="R11" s="13">
        <v>3554.5</v>
      </c>
      <c r="S11" s="14">
        <v>20000</v>
      </c>
      <c r="T11" s="19"/>
      <c r="U11" s="19"/>
      <c r="V11" s="327"/>
    </row>
    <row r="12" spans="1:22" x14ac:dyDescent="0.25">
      <c r="A12" s="708">
        <v>5132</v>
      </c>
      <c r="B12" s="60" t="s">
        <v>1013</v>
      </c>
      <c r="C12" s="115">
        <v>133928.87</v>
      </c>
      <c r="D12" s="13">
        <v>109534.24</v>
      </c>
      <c r="E12" s="13">
        <v>122687.36</v>
      </c>
      <c r="F12" s="13">
        <v>126122.56</v>
      </c>
      <c r="G12" s="13">
        <v>127810.01</v>
      </c>
      <c r="H12" s="13">
        <v>130789.6</v>
      </c>
      <c r="I12" s="13">
        <v>125185.91</v>
      </c>
      <c r="J12" s="13">
        <v>141973.56</v>
      </c>
      <c r="K12" s="14">
        <v>130249</v>
      </c>
      <c r="L12" s="127">
        <v>136288.74</v>
      </c>
      <c r="M12" s="14">
        <v>142000</v>
      </c>
      <c r="N12" s="127">
        <v>133536.17000000001</v>
      </c>
      <c r="O12" s="14">
        <v>142000</v>
      </c>
      <c r="P12" s="13">
        <v>120283.05</v>
      </c>
      <c r="Q12" s="14">
        <v>145000</v>
      </c>
      <c r="R12" s="13">
        <v>66463.88</v>
      </c>
      <c r="S12" s="14">
        <v>150000</v>
      </c>
      <c r="T12" s="19"/>
      <c r="U12" s="19"/>
      <c r="V12" s="327"/>
    </row>
    <row r="13" spans="1:22" x14ac:dyDescent="0.25">
      <c r="A13" s="708">
        <v>5135</v>
      </c>
      <c r="B13" s="60" t="s">
        <v>1014</v>
      </c>
      <c r="C13" s="115">
        <v>13416.61</v>
      </c>
      <c r="D13" s="13">
        <v>8222.52</v>
      </c>
      <c r="E13" s="13">
        <v>6134.34</v>
      </c>
      <c r="F13" s="13">
        <v>4797.04</v>
      </c>
      <c r="G13" s="13">
        <v>4891.88</v>
      </c>
      <c r="H13" s="13">
        <v>8947.85</v>
      </c>
      <c r="I13" s="13">
        <v>4273.67</v>
      </c>
      <c r="J13" s="13">
        <v>5538.01</v>
      </c>
      <c r="K13" s="14">
        <v>8000</v>
      </c>
      <c r="L13" s="127">
        <v>764.31</v>
      </c>
      <c r="M13" s="14">
        <v>8000</v>
      </c>
      <c r="N13" s="127">
        <v>3119.24</v>
      </c>
      <c r="O13" s="14">
        <v>8000</v>
      </c>
      <c r="P13" s="13">
        <v>3060.7</v>
      </c>
      <c r="Q13" s="14">
        <v>8000</v>
      </c>
      <c r="R13" s="13">
        <v>1365.92</v>
      </c>
      <c r="S13" s="14">
        <v>8000</v>
      </c>
      <c r="T13" s="19"/>
      <c r="U13" s="19"/>
      <c r="V13" s="327"/>
    </row>
    <row r="14" spans="1:22" x14ac:dyDescent="0.25">
      <c r="A14" s="708">
        <v>5141</v>
      </c>
      <c r="B14" s="60" t="s">
        <v>1015</v>
      </c>
      <c r="C14" s="115">
        <v>76334.600000000006</v>
      </c>
      <c r="D14" s="13">
        <v>84591.45</v>
      </c>
      <c r="E14" s="13">
        <v>89808.42</v>
      </c>
      <c r="F14" s="13">
        <v>87004.96</v>
      </c>
      <c r="G14" s="13">
        <v>82596.990000000005</v>
      </c>
      <c r="H14" s="13">
        <v>84853.57</v>
      </c>
      <c r="I14" s="13">
        <v>91100.04</v>
      </c>
      <c r="J14" s="13">
        <v>79809.279999999999</v>
      </c>
      <c r="K14" s="14">
        <v>87545</v>
      </c>
      <c r="L14" s="127">
        <v>91927.14</v>
      </c>
      <c r="M14" s="14">
        <v>102817</v>
      </c>
      <c r="N14" s="127">
        <v>107503.62</v>
      </c>
      <c r="O14" s="14">
        <f>2023+101760+1332</f>
        <v>105115</v>
      </c>
      <c r="P14" s="13">
        <v>120135.03</v>
      </c>
      <c r="Q14" s="14">
        <v>131449</v>
      </c>
      <c r="R14" s="13">
        <v>61818.86</v>
      </c>
      <c r="S14" s="14">
        <f>+U87</f>
        <v>146941.10499999998</v>
      </c>
      <c r="T14" s="19"/>
      <c r="U14" s="19"/>
      <c r="V14" s="334"/>
    </row>
    <row r="15" spans="1:22" x14ac:dyDescent="0.25">
      <c r="A15" s="708">
        <v>5142</v>
      </c>
      <c r="B15" s="60" t="s">
        <v>1016</v>
      </c>
      <c r="C15" s="115">
        <v>9209.4</v>
      </c>
      <c r="D15" s="13">
        <v>9918.3799999999992</v>
      </c>
      <c r="E15" s="13">
        <v>10383.99</v>
      </c>
      <c r="F15" s="13">
        <v>10222.549999999999</v>
      </c>
      <c r="G15" s="13">
        <v>8943.35</v>
      </c>
      <c r="H15" s="13">
        <v>9444.15</v>
      </c>
      <c r="I15" s="13">
        <v>9751.73</v>
      </c>
      <c r="J15" s="13">
        <v>13690.42</v>
      </c>
      <c r="K15" s="14">
        <f>4446+11000</f>
        <v>15446</v>
      </c>
      <c r="L15" s="127">
        <v>14574.36</v>
      </c>
      <c r="M15" s="14">
        <v>15446</v>
      </c>
      <c r="N15" s="127">
        <v>14734.4</v>
      </c>
      <c r="O15" s="14">
        <f>3718+15446</f>
        <v>19164</v>
      </c>
      <c r="P15" s="13">
        <v>18552.310000000001</v>
      </c>
      <c r="Q15" s="14">
        <v>20000</v>
      </c>
      <c r="R15" s="13">
        <v>8579</v>
      </c>
      <c r="S15" s="14">
        <v>20000</v>
      </c>
      <c r="T15" s="19"/>
      <c r="U15" s="19"/>
      <c r="V15" s="327"/>
    </row>
    <row r="16" spans="1:22" x14ac:dyDescent="0.25">
      <c r="A16" s="708">
        <v>5143</v>
      </c>
      <c r="B16" s="60" t="s">
        <v>1017</v>
      </c>
      <c r="C16" s="115">
        <v>36513.300000000003</v>
      </c>
      <c r="D16" s="13">
        <v>45805.83</v>
      </c>
      <c r="E16" s="13">
        <v>52853.36</v>
      </c>
      <c r="F16" s="13">
        <v>55508.14</v>
      </c>
      <c r="G16" s="13">
        <v>52994.1</v>
      </c>
      <c r="H16" s="13">
        <v>52435.4</v>
      </c>
      <c r="I16" s="13">
        <v>54628.09</v>
      </c>
      <c r="J16" s="13">
        <v>57320.56</v>
      </c>
      <c r="K16" s="14">
        <f>ROUND(((((66546*1.01)*1.015)*1.005)*1.02),0)+2163</f>
        <v>72095</v>
      </c>
      <c r="L16" s="127">
        <v>68585.61</v>
      </c>
      <c r="M16" s="14">
        <v>72095</v>
      </c>
      <c r="N16" s="127">
        <v>69443.820000000007</v>
      </c>
      <c r="O16" s="14">
        <v>72095</v>
      </c>
      <c r="P16" s="13">
        <v>70015.98</v>
      </c>
      <c r="Q16" s="14">
        <f>ROUND(((((66546*1.01)*1.015)*1.005)*1.02),0)+2163</f>
        <v>72095</v>
      </c>
      <c r="R16" s="13">
        <v>30653.5</v>
      </c>
      <c r="S16" s="14">
        <v>73000</v>
      </c>
      <c r="T16" s="19"/>
      <c r="U16" s="19"/>
      <c r="V16" s="327"/>
    </row>
    <row r="17" spans="1:22" x14ac:dyDescent="0.25">
      <c r="A17" s="708">
        <v>5144</v>
      </c>
      <c r="B17" s="60" t="s">
        <v>27</v>
      </c>
      <c r="C17" s="115">
        <v>3200</v>
      </c>
      <c r="D17" s="13">
        <v>3200</v>
      </c>
      <c r="E17" s="13">
        <v>2900</v>
      </c>
      <c r="F17" s="13">
        <v>2900</v>
      </c>
      <c r="G17" s="13">
        <v>3000</v>
      </c>
      <c r="H17" s="13">
        <v>600</v>
      </c>
      <c r="I17" s="13">
        <v>600</v>
      </c>
      <c r="J17" s="13">
        <v>600</v>
      </c>
      <c r="K17" s="14">
        <v>600</v>
      </c>
      <c r="L17" s="127">
        <v>700</v>
      </c>
      <c r="M17" s="14">
        <v>700</v>
      </c>
      <c r="N17" s="127">
        <v>700</v>
      </c>
      <c r="O17" s="14">
        <v>700</v>
      </c>
      <c r="P17" s="13">
        <v>700</v>
      </c>
      <c r="Q17" s="14">
        <v>700</v>
      </c>
      <c r="R17" s="13"/>
      <c r="S17" s="1055">
        <f>SUM(X68:X87)</f>
        <v>1000</v>
      </c>
      <c r="T17" s="19"/>
      <c r="U17" s="19"/>
      <c r="V17" s="334"/>
    </row>
    <row r="18" spans="1:22" x14ac:dyDescent="0.25">
      <c r="A18" s="708">
        <v>5145</v>
      </c>
      <c r="B18" s="60" t="s">
        <v>1018</v>
      </c>
      <c r="C18" s="210">
        <v>2988.86</v>
      </c>
      <c r="D18" s="35">
        <v>3254.28</v>
      </c>
      <c r="E18" s="35">
        <v>3467.77</v>
      </c>
      <c r="F18" s="35">
        <v>3588.94</v>
      </c>
      <c r="G18" s="35">
        <v>3323.52</v>
      </c>
      <c r="H18" s="35">
        <v>3392.76</v>
      </c>
      <c r="I18" s="35">
        <v>4154.3999999999996</v>
      </c>
      <c r="J18" s="35">
        <v>4050.54</v>
      </c>
      <c r="K18" s="36">
        <v>3900</v>
      </c>
      <c r="L18" s="200">
        <v>4292.88</v>
      </c>
      <c r="M18" s="36">
        <v>4000</v>
      </c>
      <c r="N18" s="200">
        <v>4067.85</v>
      </c>
      <c r="O18" s="36">
        <v>4280</v>
      </c>
      <c r="P18" s="35">
        <v>4333.2700000000004</v>
      </c>
      <c r="Q18" s="36">
        <v>4280</v>
      </c>
      <c r="R18" s="35">
        <v>2129.13</v>
      </c>
      <c r="S18" s="36">
        <v>4280</v>
      </c>
      <c r="T18" s="19"/>
      <c r="U18" s="19"/>
      <c r="V18" s="327"/>
    </row>
    <row r="19" spans="1:22" x14ac:dyDescent="0.25">
      <c r="A19" s="708">
        <v>5147</v>
      </c>
      <c r="B19" s="12" t="s">
        <v>1019</v>
      </c>
      <c r="C19" s="35"/>
      <c r="D19" s="35"/>
      <c r="E19" s="35"/>
      <c r="F19" s="35"/>
      <c r="G19" s="35">
        <v>1013.8</v>
      </c>
      <c r="H19" s="35">
        <v>2457.08</v>
      </c>
      <c r="I19" s="35">
        <v>2121.6</v>
      </c>
      <c r="J19" s="35">
        <v>2513.2800000000002</v>
      </c>
      <c r="K19" s="36">
        <v>4000</v>
      </c>
      <c r="L19" s="200">
        <v>4036.48</v>
      </c>
      <c r="M19" s="36">
        <v>4000</v>
      </c>
      <c r="N19" s="200">
        <v>3960.32</v>
      </c>
      <c r="O19" s="36">
        <v>4000</v>
      </c>
      <c r="P19" s="35">
        <v>3949.44</v>
      </c>
      <c r="Q19" s="36">
        <v>4000</v>
      </c>
      <c r="R19" s="35">
        <v>1914.88</v>
      </c>
      <c r="S19" s="36">
        <v>4000</v>
      </c>
      <c r="T19" s="19"/>
      <c r="U19" s="19"/>
      <c r="V19" s="327"/>
    </row>
    <row r="20" spans="1:22" x14ac:dyDescent="0.25">
      <c r="A20" s="708">
        <v>5148</v>
      </c>
      <c r="B20" s="12" t="s">
        <v>1020</v>
      </c>
      <c r="C20" s="35"/>
      <c r="D20" s="35"/>
      <c r="E20" s="35"/>
      <c r="F20" s="35"/>
      <c r="G20" s="35"/>
      <c r="H20" s="35"/>
      <c r="I20" s="35"/>
      <c r="J20" s="35">
        <v>1487.7</v>
      </c>
      <c r="K20" s="36">
        <v>1500</v>
      </c>
      <c r="L20" s="200">
        <v>1524.81</v>
      </c>
      <c r="M20" s="36">
        <v>1500</v>
      </c>
      <c r="N20" s="200">
        <v>1487.82</v>
      </c>
      <c r="O20" s="36">
        <v>1500</v>
      </c>
      <c r="P20" s="35">
        <v>1500.15</v>
      </c>
      <c r="Q20" s="36">
        <v>1500</v>
      </c>
      <c r="R20" s="35">
        <v>719.25</v>
      </c>
      <c r="S20" s="36">
        <v>1500</v>
      </c>
      <c r="T20" s="19"/>
      <c r="U20" s="19"/>
      <c r="V20" s="327"/>
    </row>
    <row r="21" spans="1:22" x14ac:dyDescent="0.25">
      <c r="A21" s="708">
        <v>5149</v>
      </c>
      <c r="B21" s="12" t="s">
        <v>878</v>
      </c>
      <c r="C21" s="35"/>
      <c r="D21" s="35"/>
      <c r="E21" s="35"/>
      <c r="F21" s="35"/>
      <c r="G21" s="35"/>
      <c r="H21" s="35"/>
      <c r="I21" s="35"/>
      <c r="J21" s="35">
        <v>3000</v>
      </c>
      <c r="K21" s="36">
        <v>3000</v>
      </c>
      <c r="L21" s="200">
        <v>3000</v>
      </c>
      <c r="M21" s="36">
        <v>3000</v>
      </c>
      <c r="N21" s="200">
        <v>3000</v>
      </c>
      <c r="O21" s="36">
        <v>3000</v>
      </c>
      <c r="P21" s="35">
        <v>3000</v>
      </c>
      <c r="Q21" s="36">
        <v>3000</v>
      </c>
      <c r="R21" s="35"/>
      <c r="S21" s="36">
        <v>6000</v>
      </c>
      <c r="T21" s="19"/>
      <c r="U21" s="19"/>
      <c r="V21" s="327"/>
    </row>
    <row r="22" spans="1:22" x14ac:dyDescent="0.25">
      <c r="A22" s="708">
        <v>5151</v>
      </c>
      <c r="B22" s="12" t="s">
        <v>1021</v>
      </c>
      <c r="C22" s="35">
        <v>44408.6</v>
      </c>
      <c r="D22" s="35">
        <v>8051.52</v>
      </c>
      <c r="E22" s="35">
        <v>7516.41</v>
      </c>
      <c r="F22" s="35"/>
      <c r="G22" s="35">
        <v>4270.1499999999996</v>
      </c>
      <c r="H22" s="35">
        <v>3071.99</v>
      </c>
      <c r="I22" s="35"/>
      <c r="J22" s="35">
        <v>52269.05</v>
      </c>
      <c r="K22" s="36"/>
      <c r="L22" s="200">
        <v>3606.56</v>
      </c>
      <c r="M22" s="36"/>
      <c r="N22" s="200"/>
      <c r="O22" s="36"/>
      <c r="P22" s="35">
        <v>6920</v>
      </c>
      <c r="Q22" s="36"/>
      <c r="R22" s="35">
        <v>7120</v>
      </c>
      <c r="S22" s="36"/>
      <c r="T22" s="19"/>
      <c r="U22" s="19"/>
      <c r="V22" s="327"/>
    </row>
    <row r="23" spans="1:22" x14ac:dyDescent="0.25">
      <c r="A23" s="708">
        <v>5152</v>
      </c>
      <c r="B23" s="12" t="s">
        <v>1022</v>
      </c>
      <c r="C23" s="35">
        <v>4330.43</v>
      </c>
      <c r="D23" s="35">
        <v>716.25</v>
      </c>
      <c r="E23" s="35">
        <v>751.63</v>
      </c>
      <c r="F23" s="35"/>
      <c r="G23" s="35">
        <v>427.02</v>
      </c>
      <c r="H23" s="35"/>
      <c r="I23" s="35"/>
      <c r="J23" s="35">
        <v>5226.9799999999996</v>
      </c>
      <c r="K23" s="36"/>
      <c r="L23" s="200">
        <v>378.65</v>
      </c>
      <c r="M23" s="36"/>
      <c r="N23" s="200"/>
      <c r="O23" s="36"/>
      <c r="P23" s="35">
        <v>1730</v>
      </c>
      <c r="Q23" s="36"/>
      <c r="R23" s="35">
        <v>1780</v>
      </c>
      <c r="S23" s="36"/>
      <c r="T23" s="19"/>
      <c r="U23" s="19"/>
      <c r="V23" s="327"/>
    </row>
    <row r="24" spans="1:22" x14ac:dyDescent="0.25">
      <c r="A24" s="708">
        <v>5153</v>
      </c>
      <c r="B24" s="12" t="s">
        <v>1023</v>
      </c>
      <c r="C24" s="35">
        <v>2110.3200000000002</v>
      </c>
      <c r="D24" s="35">
        <v>237.36</v>
      </c>
      <c r="E24" s="35">
        <v>249.28</v>
      </c>
      <c r="F24" s="35"/>
      <c r="G24" s="35">
        <v>251.76</v>
      </c>
      <c r="H24" s="35"/>
      <c r="I24" s="35"/>
      <c r="J24" s="35">
        <v>2385.92</v>
      </c>
      <c r="K24" s="36"/>
      <c r="L24" s="200"/>
      <c r="M24" s="36"/>
      <c r="N24" s="200"/>
      <c r="O24" s="36"/>
      <c r="P24" s="35"/>
      <c r="Q24" s="36"/>
      <c r="R24" s="35"/>
      <c r="S24" s="36"/>
      <c r="T24" s="19"/>
      <c r="U24" s="19"/>
      <c r="V24" s="327"/>
    </row>
    <row r="25" spans="1:22" x14ac:dyDescent="0.25">
      <c r="A25" s="708">
        <v>5191</v>
      </c>
      <c r="B25" s="12" t="s">
        <v>1024</v>
      </c>
      <c r="C25" s="35">
        <v>1250</v>
      </c>
      <c r="D25" s="35">
        <v>1250</v>
      </c>
      <c r="E25" s="35">
        <v>2000</v>
      </c>
      <c r="F25" s="35">
        <v>750</v>
      </c>
      <c r="G25" s="35">
        <v>1250</v>
      </c>
      <c r="H25" s="35">
        <v>1000</v>
      </c>
      <c r="I25" s="35">
        <v>2250</v>
      </c>
      <c r="J25" s="35">
        <v>5500</v>
      </c>
      <c r="K25" s="36">
        <v>7500</v>
      </c>
      <c r="L25" s="35">
        <v>2000</v>
      </c>
      <c r="M25" s="36">
        <v>7500</v>
      </c>
      <c r="N25" s="35">
        <v>4500</v>
      </c>
      <c r="O25" s="36">
        <v>7500</v>
      </c>
      <c r="P25" s="35">
        <v>5000</v>
      </c>
      <c r="Q25" s="36">
        <v>8000</v>
      </c>
      <c r="R25" s="35"/>
      <c r="S25" s="36">
        <v>8000</v>
      </c>
      <c r="T25" s="19"/>
      <c r="U25" s="19"/>
      <c r="V25" s="327"/>
    </row>
    <row r="26" spans="1:22" x14ac:dyDescent="0.25">
      <c r="A26" s="708">
        <v>5193</v>
      </c>
      <c r="B26" s="12" t="s">
        <v>1025</v>
      </c>
      <c r="C26" s="35"/>
      <c r="D26" s="35"/>
      <c r="E26" s="35"/>
      <c r="F26" s="35">
        <f>4273.95+3500</f>
        <v>7773.95</v>
      </c>
      <c r="G26" s="35">
        <f>9833.91+7000</f>
        <v>16833.91</v>
      </c>
      <c r="H26" s="35"/>
      <c r="I26" s="35"/>
      <c r="J26" s="35">
        <v>3270.01</v>
      </c>
      <c r="K26" s="36">
        <v>0</v>
      </c>
      <c r="L26" s="35">
        <f>11179.3+1705.88</f>
        <v>12885.18</v>
      </c>
      <c r="M26" s="36"/>
      <c r="N26" s="35">
        <v>3563.6</v>
      </c>
      <c r="O26" s="36"/>
      <c r="P26" s="35">
        <v>6142.35</v>
      </c>
      <c r="Q26" s="36">
        <v>0</v>
      </c>
      <c r="R26" s="35">
        <f>3412.93+3500</f>
        <v>6912.93</v>
      </c>
      <c r="S26" s="36">
        <v>4410</v>
      </c>
      <c r="T26" s="19"/>
      <c r="U26" s="19"/>
      <c r="V26" s="327"/>
    </row>
    <row r="27" spans="1:22" ht="13.8" thickBot="1" x14ac:dyDescent="0.3">
      <c r="A27" s="708">
        <v>5195</v>
      </c>
      <c r="B27" s="12" t="s">
        <v>1026</v>
      </c>
      <c r="C27" s="35">
        <v>15543.38</v>
      </c>
      <c r="D27" s="35">
        <v>42221.279999999999</v>
      </c>
      <c r="E27" s="35">
        <v>32224.55</v>
      </c>
      <c r="F27" s="35">
        <v>29791.279999999999</v>
      </c>
      <c r="G27" s="35">
        <v>35389.57</v>
      </c>
      <c r="H27" s="35">
        <v>42189.93</v>
      </c>
      <c r="I27" s="35">
        <v>53020</v>
      </c>
      <c r="J27" s="35">
        <v>32183.26</v>
      </c>
      <c r="K27" s="36">
        <v>31800</v>
      </c>
      <c r="L27" s="35">
        <v>39531.949999999997</v>
      </c>
      <c r="M27" s="36">
        <v>43000</v>
      </c>
      <c r="N27" s="35">
        <v>37546.49</v>
      </c>
      <c r="O27" s="36">
        <v>43000</v>
      </c>
      <c r="P27" s="35">
        <v>49958.5</v>
      </c>
      <c r="Q27" s="36">
        <v>45000</v>
      </c>
      <c r="R27" s="35">
        <v>8358.57</v>
      </c>
      <c r="S27" s="36">
        <v>52000</v>
      </c>
      <c r="T27" s="19"/>
      <c r="U27" s="19"/>
      <c r="V27" s="334"/>
    </row>
    <row r="28" spans="1:22" x14ac:dyDescent="0.25">
      <c r="A28" s="708"/>
      <c r="B28" s="17" t="s">
        <v>718</v>
      </c>
      <c r="C28" s="30">
        <f t="shared" ref="C28:R28" si="0">SUM(C8:C27)</f>
        <v>1029078.94</v>
      </c>
      <c r="D28" s="30">
        <f t="shared" si="0"/>
        <v>1095168.05</v>
      </c>
      <c r="E28" s="30">
        <f t="shared" si="0"/>
        <v>1198306.2999999998</v>
      </c>
      <c r="F28" s="30">
        <f>SUM(F8:F27)</f>
        <v>1254040.6099999999</v>
      </c>
      <c r="G28" s="30">
        <f>SUM(G8:G27)</f>
        <v>1298780.04</v>
      </c>
      <c r="H28" s="30">
        <f>SUM(H8:H27)</f>
        <v>1131098.1000000001</v>
      </c>
      <c r="I28" s="30">
        <f t="shared" si="0"/>
        <v>1364602.48</v>
      </c>
      <c r="J28" s="30">
        <f t="shared" si="0"/>
        <v>1408085.23</v>
      </c>
      <c r="K28" s="31">
        <f>SUM(K8:K27)</f>
        <v>1468774</v>
      </c>
      <c r="L28" s="256">
        <f t="shared" ref="L28:P28" si="1">SUM(L8:L27)</f>
        <v>1437149.25</v>
      </c>
      <c r="M28" s="31">
        <f t="shared" si="1"/>
        <v>1572635</v>
      </c>
      <c r="N28" s="256">
        <f t="shared" si="1"/>
        <v>1504867.5700000003</v>
      </c>
      <c r="O28" s="31">
        <f t="shared" si="1"/>
        <v>1660074</v>
      </c>
      <c r="P28" s="30">
        <f t="shared" si="1"/>
        <v>1626946.83</v>
      </c>
      <c r="Q28" s="31">
        <f>SUM(Q8:Q27)</f>
        <v>1740694</v>
      </c>
      <c r="R28" s="30">
        <f t="shared" si="0"/>
        <v>817886.20000000007</v>
      </c>
      <c r="S28" s="31">
        <f>SUM(S8:S27)</f>
        <v>1824627.105</v>
      </c>
      <c r="T28" s="31">
        <f>+S28</f>
        <v>1824627.105</v>
      </c>
      <c r="U28" s="31">
        <f>+S28</f>
        <v>1824627.105</v>
      </c>
      <c r="V28" s="334"/>
    </row>
    <row r="29" spans="1:22" x14ac:dyDescent="0.25">
      <c r="A29" s="708"/>
      <c r="B29" s="12"/>
      <c r="C29" s="13"/>
      <c r="D29" s="13"/>
      <c r="E29" s="13"/>
      <c r="F29" s="13"/>
      <c r="G29" s="13"/>
      <c r="H29" s="13"/>
      <c r="I29" s="13"/>
      <c r="J29" s="13"/>
      <c r="K29" s="14"/>
      <c r="L29" s="127"/>
      <c r="M29" s="14"/>
      <c r="N29" s="127"/>
      <c r="O29" s="14"/>
      <c r="P29" s="13"/>
      <c r="Q29" s="14"/>
      <c r="R29" s="13"/>
      <c r="S29" s="14"/>
      <c r="T29" s="14"/>
      <c r="U29" s="14"/>
      <c r="V29" s="327"/>
    </row>
    <row r="30" spans="1:22" x14ac:dyDescent="0.25">
      <c r="A30" s="708">
        <v>5242</v>
      </c>
      <c r="B30" s="12" t="s">
        <v>1027</v>
      </c>
      <c r="C30" s="13">
        <v>1923.55</v>
      </c>
      <c r="D30" s="13">
        <v>1658.62</v>
      </c>
      <c r="E30" s="13">
        <v>1894.84</v>
      </c>
      <c r="F30" s="13">
        <v>1105.04</v>
      </c>
      <c r="G30" s="13">
        <v>534.73</v>
      </c>
      <c r="H30" s="13">
        <v>2307.02</v>
      </c>
      <c r="I30" s="127">
        <v>904.08</v>
      </c>
      <c r="J30" s="127">
        <v>1474.23</v>
      </c>
      <c r="K30" s="14">
        <v>1750</v>
      </c>
      <c r="L30" s="127">
        <v>1163.42</v>
      </c>
      <c r="M30" s="14">
        <v>1750</v>
      </c>
      <c r="N30" s="127">
        <v>874.74</v>
      </c>
      <c r="O30" s="14">
        <v>1750</v>
      </c>
      <c r="P30" s="13">
        <v>315.39999999999998</v>
      </c>
      <c r="Q30" s="14">
        <v>1750</v>
      </c>
      <c r="R30" s="13">
        <v>1611.83</v>
      </c>
      <c r="S30" s="14">
        <v>1750</v>
      </c>
      <c r="T30" s="14"/>
      <c r="U30" s="14"/>
      <c r="V30" s="327"/>
    </row>
    <row r="31" spans="1:22" x14ac:dyDescent="0.25">
      <c r="A31" s="708">
        <v>5247</v>
      </c>
      <c r="B31" s="12" t="s">
        <v>1028</v>
      </c>
      <c r="C31" s="13"/>
      <c r="D31" s="13"/>
      <c r="E31" s="13"/>
      <c r="F31" s="13"/>
      <c r="G31" s="13">
        <v>19764.91</v>
      </c>
      <c r="H31" s="13">
        <v>19447.28</v>
      </c>
      <c r="I31" s="127">
        <v>20346.37</v>
      </c>
      <c r="J31" s="127">
        <v>23499.32</v>
      </c>
      <c r="K31" s="14">
        <v>24000</v>
      </c>
      <c r="L31" s="127">
        <v>23751.75</v>
      </c>
      <c r="M31" s="14">
        <v>25100</v>
      </c>
      <c r="N31" s="127">
        <v>26198.38</v>
      </c>
      <c r="O31" s="14">
        <v>26000</v>
      </c>
      <c r="P31" s="13">
        <v>29887.05</v>
      </c>
      <c r="Q31" s="14">
        <v>31900</v>
      </c>
      <c r="R31" s="13">
        <v>23638.01</v>
      </c>
      <c r="S31" s="14">
        <v>35500</v>
      </c>
      <c r="T31" s="14"/>
      <c r="U31" s="14"/>
      <c r="V31" s="327"/>
    </row>
    <row r="32" spans="1:22" x14ac:dyDescent="0.25">
      <c r="A32" s="708">
        <v>5250</v>
      </c>
      <c r="B32" s="12" t="s">
        <v>1029</v>
      </c>
      <c r="C32" s="13">
        <v>27200.82</v>
      </c>
      <c r="D32" s="13">
        <v>21469.42</v>
      </c>
      <c r="E32" s="13">
        <v>28516.33</v>
      </c>
      <c r="F32" s="13">
        <v>22395.21</v>
      </c>
      <c r="G32" s="13">
        <v>7534.06</v>
      </c>
      <c r="H32" s="13">
        <v>8660.18</v>
      </c>
      <c r="I32" s="127">
        <v>8092.83</v>
      </c>
      <c r="J32" s="127">
        <v>10669.89</v>
      </c>
      <c r="K32" s="14">
        <v>11000</v>
      </c>
      <c r="L32" s="127">
        <v>15121.21</v>
      </c>
      <c r="M32" s="14">
        <v>11000</v>
      </c>
      <c r="N32" s="127">
        <v>11639.75</v>
      </c>
      <c r="O32" s="14">
        <f>2500+12000</f>
        <v>14500</v>
      </c>
      <c r="P32" s="13">
        <v>13504.84</v>
      </c>
      <c r="Q32" s="14">
        <v>15500</v>
      </c>
      <c r="R32" s="13">
        <v>2286.1</v>
      </c>
      <c r="S32" s="14">
        <v>16000</v>
      </c>
      <c r="T32" s="14"/>
      <c r="U32" s="14"/>
      <c r="V32" s="327"/>
    </row>
    <row r="33" spans="1:22" x14ac:dyDescent="0.25">
      <c r="A33" s="708">
        <v>5260</v>
      </c>
      <c r="B33" s="12" t="s">
        <v>1030</v>
      </c>
      <c r="C33" s="94"/>
      <c r="D33" s="94"/>
      <c r="E33" s="94"/>
      <c r="F33" s="94">
        <v>763.41</v>
      </c>
      <c r="G33" s="94">
        <v>694.8</v>
      </c>
      <c r="H33" s="94">
        <v>881.4</v>
      </c>
      <c r="I33" s="247">
        <v>877.5</v>
      </c>
      <c r="J33" s="247">
        <v>6441.39</v>
      </c>
      <c r="K33" s="32">
        <v>1360</v>
      </c>
      <c r="L33" s="247">
        <v>936.82</v>
      </c>
      <c r="M33" s="32">
        <v>1360</v>
      </c>
      <c r="N33" s="247">
        <v>1170</v>
      </c>
      <c r="O33" s="32">
        <v>1360</v>
      </c>
      <c r="P33" s="94">
        <v>1072.3399999999999</v>
      </c>
      <c r="Q33" s="32">
        <v>1360</v>
      </c>
      <c r="R33" s="94">
        <v>330</v>
      </c>
      <c r="S33" s="32">
        <v>1360</v>
      </c>
      <c r="T33" s="32"/>
      <c r="U33" s="14"/>
      <c r="V33" s="327"/>
    </row>
    <row r="34" spans="1:22" x14ac:dyDescent="0.25">
      <c r="A34" s="708">
        <v>5314</v>
      </c>
      <c r="B34" s="12" t="s">
        <v>1031</v>
      </c>
      <c r="C34" s="94"/>
      <c r="D34" s="94"/>
      <c r="E34" s="94"/>
      <c r="F34" s="94"/>
      <c r="G34" s="94"/>
      <c r="H34" s="94">
        <v>4655.99</v>
      </c>
      <c r="I34" s="247">
        <v>6174</v>
      </c>
      <c r="J34" s="247">
        <v>5471</v>
      </c>
      <c r="K34" s="32">
        <v>6000</v>
      </c>
      <c r="L34" s="247">
        <v>17151</v>
      </c>
      <c r="M34" s="32">
        <v>8000</v>
      </c>
      <c r="N34" s="247">
        <v>4390</v>
      </c>
      <c r="O34" s="32">
        <v>8000</v>
      </c>
      <c r="P34" s="94">
        <v>5682</v>
      </c>
      <c r="Q34" s="32">
        <v>6000</v>
      </c>
      <c r="R34" s="94">
        <v>1848</v>
      </c>
      <c r="S34" s="32">
        <v>6000</v>
      </c>
      <c r="T34" s="32"/>
      <c r="U34" s="14"/>
      <c r="V34" s="327"/>
    </row>
    <row r="35" spans="1:22" x14ac:dyDescent="0.25">
      <c r="A35" s="708">
        <v>5315</v>
      </c>
      <c r="B35" s="12" t="s">
        <v>1032</v>
      </c>
      <c r="C35" s="94">
        <v>11637.02</v>
      </c>
      <c r="D35" s="94">
        <v>0</v>
      </c>
      <c r="E35" s="94">
        <v>3445.6</v>
      </c>
      <c r="F35" s="94">
        <v>11061.07</v>
      </c>
      <c r="G35" s="94">
        <v>4170.46</v>
      </c>
      <c r="H35" s="94">
        <v>5244.13</v>
      </c>
      <c r="I35" s="247">
        <v>5004.57</v>
      </c>
      <c r="J35" s="247">
        <v>7361.18</v>
      </c>
      <c r="K35" s="32">
        <v>0</v>
      </c>
      <c r="L35" s="247"/>
      <c r="M35" s="32">
        <v>0</v>
      </c>
      <c r="N35" s="247">
        <v>5469.3</v>
      </c>
      <c r="O35" s="32">
        <v>0</v>
      </c>
      <c r="P35" s="94"/>
      <c r="Q35" s="32">
        <v>0</v>
      </c>
      <c r="R35" s="94"/>
      <c r="S35" s="32">
        <v>0</v>
      </c>
      <c r="T35" s="32"/>
      <c r="U35" s="14"/>
      <c r="V35" s="327"/>
    </row>
    <row r="36" spans="1:22" x14ac:dyDescent="0.25">
      <c r="A36" s="708">
        <v>5318</v>
      </c>
      <c r="B36" s="12" t="s">
        <v>1033</v>
      </c>
      <c r="C36" s="13">
        <v>389.48</v>
      </c>
      <c r="D36" s="13">
        <v>414.14</v>
      </c>
      <c r="E36" s="13">
        <v>251.14</v>
      </c>
      <c r="F36" s="13">
        <v>152.4</v>
      </c>
      <c r="G36" s="13">
        <v>25.17</v>
      </c>
      <c r="H36" s="13">
        <v>58.05</v>
      </c>
      <c r="I36" s="127">
        <v>5.34</v>
      </c>
      <c r="J36" s="127">
        <v>48.52</v>
      </c>
      <c r="K36" s="14">
        <v>300</v>
      </c>
      <c r="L36" s="127">
        <v>13.34</v>
      </c>
      <c r="M36" s="14">
        <v>300</v>
      </c>
      <c r="N36" s="127"/>
      <c r="O36" s="14">
        <v>300</v>
      </c>
      <c r="P36" s="13">
        <v>11.96</v>
      </c>
      <c r="Q36" s="14">
        <v>300</v>
      </c>
      <c r="R36" s="13"/>
      <c r="S36" s="14">
        <v>100</v>
      </c>
      <c r="T36" s="14"/>
      <c r="U36" s="14"/>
      <c r="V36" s="327"/>
    </row>
    <row r="37" spans="1:22" x14ac:dyDescent="0.25">
      <c r="A37" s="708">
        <v>5319</v>
      </c>
      <c r="B37" s="12" t="s">
        <v>1034</v>
      </c>
      <c r="C37" s="13">
        <v>377</v>
      </c>
      <c r="D37" s="13">
        <v>365</v>
      </c>
      <c r="E37" s="13">
        <v>225</v>
      </c>
      <c r="F37" s="13">
        <v>197</v>
      </c>
      <c r="G37" s="13">
        <v>107</v>
      </c>
      <c r="H37" s="13">
        <v>70</v>
      </c>
      <c r="I37" s="127">
        <v>160</v>
      </c>
      <c r="J37" s="127">
        <v>150</v>
      </c>
      <c r="K37" s="14">
        <v>300</v>
      </c>
      <c r="L37" s="127">
        <v>80</v>
      </c>
      <c r="M37" s="14">
        <v>300</v>
      </c>
      <c r="N37" s="127">
        <v>60</v>
      </c>
      <c r="O37" s="14">
        <v>300</v>
      </c>
      <c r="P37" s="13">
        <v>57</v>
      </c>
      <c r="Q37" s="14">
        <v>300</v>
      </c>
      <c r="R37" s="13"/>
      <c r="S37" s="14">
        <v>150</v>
      </c>
      <c r="T37" s="14"/>
      <c r="U37" s="14"/>
      <c r="V37" s="327"/>
    </row>
    <row r="38" spans="1:22" x14ac:dyDescent="0.25">
      <c r="A38" s="708">
        <v>5341</v>
      </c>
      <c r="B38" s="12" t="s">
        <v>751</v>
      </c>
      <c r="C38" s="13">
        <v>9988.5499999999993</v>
      </c>
      <c r="D38" s="13">
        <v>9838.16</v>
      </c>
      <c r="E38" s="13">
        <v>9610.84</v>
      </c>
      <c r="F38" s="13">
        <v>9829.93</v>
      </c>
      <c r="G38" s="13">
        <v>9619.1299999999992</v>
      </c>
      <c r="H38" s="13">
        <v>9346.1299999999992</v>
      </c>
      <c r="I38" s="127">
        <v>9830.56</v>
      </c>
      <c r="J38" s="127">
        <v>10255.549999999999</v>
      </c>
      <c r="K38" s="14">
        <v>10000</v>
      </c>
      <c r="L38" s="127">
        <v>10792.73</v>
      </c>
      <c r="M38" s="14">
        <v>10500</v>
      </c>
      <c r="N38" s="127">
        <v>11449.75</v>
      </c>
      <c r="O38" s="14">
        <v>10800</v>
      </c>
      <c r="P38" s="13">
        <v>11781.95</v>
      </c>
      <c r="Q38" s="14">
        <v>12000</v>
      </c>
      <c r="R38" s="13">
        <v>4857.0200000000004</v>
      </c>
      <c r="S38" s="14">
        <f>456+12500</f>
        <v>12956</v>
      </c>
      <c r="T38" s="14"/>
      <c r="U38" s="14"/>
      <c r="V38" s="327"/>
    </row>
    <row r="39" spans="1:22" x14ac:dyDescent="0.25">
      <c r="A39" s="708">
        <v>5344</v>
      </c>
      <c r="B39" s="12" t="s">
        <v>722</v>
      </c>
      <c r="C39" s="13">
        <v>485.47</v>
      </c>
      <c r="D39" s="13">
        <v>433.04</v>
      </c>
      <c r="E39" s="13">
        <v>431.03</v>
      </c>
      <c r="F39" s="13">
        <v>502.45</v>
      </c>
      <c r="G39" s="13">
        <v>403.99</v>
      </c>
      <c r="H39" s="13">
        <v>479.52</v>
      </c>
      <c r="I39" s="127">
        <v>516.46</v>
      </c>
      <c r="J39" s="127">
        <v>543.54</v>
      </c>
      <c r="K39" s="14">
        <v>500</v>
      </c>
      <c r="L39" s="127">
        <v>462.24</v>
      </c>
      <c r="M39" s="14">
        <v>550</v>
      </c>
      <c r="N39" s="127">
        <v>398.32</v>
      </c>
      <c r="O39" s="14">
        <v>550</v>
      </c>
      <c r="P39" s="13">
        <v>421.6</v>
      </c>
      <c r="Q39" s="14">
        <v>550</v>
      </c>
      <c r="R39" s="13">
        <v>100</v>
      </c>
      <c r="S39" s="14">
        <v>550</v>
      </c>
      <c r="T39" s="14"/>
      <c r="U39" s="14"/>
      <c r="V39" s="327"/>
    </row>
    <row r="40" spans="1:22" x14ac:dyDescent="0.25">
      <c r="A40" s="708">
        <v>5345</v>
      </c>
      <c r="B40" s="12" t="s">
        <v>752</v>
      </c>
      <c r="C40" s="13">
        <v>60</v>
      </c>
      <c r="D40" s="13">
        <v>312.44</v>
      </c>
      <c r="E40" s="13">
        <v>834.4</v>
      </c>
      <c r="F40" s="13">
        <v>0</v>
      </c>
      <c r="G40" s="13">
        <v>447</v>
      </c>
      <c r="H40" s="13">
        <v>319.68</v>
      </c>
      <c r="I40" s="127">
        <v>394.04</v>
      </c>
      <c r="J40" s="127">
        <v>448.28</v>
      </c>
      <c r="K40" s="14">
        <v>500</v>
      </c>
      <c r="L40" s="127">
        <v>731.44</v>
      </c>
      <c r="M40" s="14">
        <v>500</v>
      </c>
      <c r="N40" s="127">
        <v>318.75</v>
      </c>
      <c r="O40" s="14">
        <v>500</v>
      </c>
      <c r="P40" s="13">
        <v>1176</v>
      </c>
      <c r="Q40" s="14">
        <v>500</v>
      </c>
      <c r="R40" s="13"/>
      <c r="S40" s="14">
        <v>750</v>
      </c>
      <c r="T40" s="14"/>
      <c r="U40" s="14"/>
      <c r="V40" s="327"/>
    </row>
    <row r="41" spans="1:22" x14ac:dyDescent="0.25">
      <c r="A41" s="708">
        <v>5350</v>
      </c>
      <c r="B41" s="12" t="s">
        <v>933</v>
      </c>
      <c r="C41" s="18">
        <v>4888</v>
      </c>
      <c r="D41" s="18">
        <v>8902</v>
      </c>
      <c r="E41" s="18">
        <v>2516</v>
      </c>
      <c r="F41" s="18">
        <v>12259</v>
      </c>
      <c r="G41" s="18">
        <v>996</v>
      </c>
      <c r="H41" s="18">
        <v>1754</v>
      </c>
      <c r="I41" s="111">
        <v>15284</v>
      </c>
      <c r="J41" s="111">
        <v>1592</v>
      </c>
      <c r="K41" s="19">
        <v>2100</v>
      </c>
      <c r="L41" s="111">
        <v>1219</v>
      </c>
      <c r="M41" s="19">
        <v>2100</v>
      </c>
      <c r="N41" s="111">
        <v>696</v>
      </c>
      <c r="O41" s="19">
        <f>7800+2100</f>
        <v>9900</v>
      </c>
      <c r="P41" s="18">
        <v>8123.55</v>
      </c>
      <c r="Q41" s="19">
        <v>2100</v>
      </c>
      <c r="R41" s="18">
        <v>24.95</v>
      </c>
      <c r="S41" s="19">
        <v>2100</v>
      </c>
      <c r="T41" s="19"/>
      <c r="U41" s="19"/>
      <c r="V41" s="327"/>
    </row>
    <row r="42" spans="1:22" x14ac:dyDescent="0.25">
      <c r="A42" s="708">
        <v>5451</v>
      </c>
      <c r="B42" s="12" t="s">
        <v>1035</v>
      </c>
      <c r="C42" s="18">
        <v>151.84</v>
      </c>
      <c r="D42" s="18">
        <v>313.04000000000002</v>
      </c>
      <c r="E42" s="18">
        <v>240.78</v>
      </c>
      <c r="F42" s="18">
        <v>112.75</v>
      </c>
      <c r="G42" s="18">
        <v>139.61000000000001</v>
      </c>
      <c r="H42" s="18">
        <v>260.10000000000002</v>
      </c>
      <c r="I42" s="111">
        <v>104.27</v>
      </c>
      <c r="J42" s="111">
        <v>265.44</v>
      </c>
      <c r="K42" s="19">
        <v>300</v>
      </c>
      <c r="L42" s="111">
        <v>247.13</v>
      </c>
      <c r="M42" s="19">
        <v>300</v>
      </c>
      <c r="N42" s="111">
        <v>476.76</v>
      </c>
      <c r="O42" s="19">
        <v>300</v>
      </c>
      <c r="P42" s="18">
        <v>355.58</v>
      </c>
      <c r="Q42" s="19">
        <v>500</v>
      </c>
      <c r="R42" s="18">
        <v>89.93</v>
      </c>
      <c r="S42" s="19">
        <v>500</v>
      </c>
      <c r="T42" s="19"/>
      <c r="U42" s="19"/>
      <c r="V42" s="327"/>
    </row>
    <row r="43" spans="1:22" x14ac:dyDescent="0.25">
      <c r="A43" s="708">
        <v>5480</v>
      </c>
      <c r="B43" s="12" t="s">
        <v>1036</v>
      </c>
      <c r="C43" s="18">
        <f>68522.52-C44</f>
        <v>31988.520000000004</v>
      </c>
      <c r="D43" s="18">
        <v>20804.080000000002</v>
      </c>
      <c r="E43" s="18">
        <v>25094.28</v>
      </c>
      <c r="F43" s="18">
        <v>18000.5</v>
      </c>
      <c r="G43" s="18">
        <v>31258.58</v>
      </c>
      <c r="H43" s="18">
        <v>25831.08</v>
      </c>
      <c r="I43" s="111">
        <f>1137.74+23649.64</f>
        <v>24787.38</v>
      </c>
      <c r="J43" s="111">
        <v>31019.71</v>
      </c>
      <c r="K43" s="19">
        <v>26000</v>
      </c>
      <c r="L43" s="111">
        <v>31171.32</v>
      </c>
      <c r="M43" s="19">
        <v>27000</v>
      </c>
      <c r="N43" s="111">
        <v>29814.85</v>
      </c>
      <c r="O43" s="19">
        <v>28000</v>
      </c>
      <c r="P43" s="18">
        <v>29014.05</v>
      </c>
      <c r="Q43" s="19">
        <v>30000</v>
      </c>
      <c r="R43" s="18">
        <v>12796.49</v>
      </c>
      <c r="S43" s="19">
        <v>32000</v>
      </c>
      <c r="T43" s="19"/>
      <c r="U43" s="19"/>
      <c r="V43" s="327"/>
    </row>
    <row r="44" spans="1:22" x14ac:dyDescent="0.25">
      <c r="A44" s="708">
        <v>5481</v>
      </c>
      <c r="B44" s="12" t="s">
        <v>1037</v>
      </c>
      <c r="C44" s="18">
        <v>36534</v>
      </c>
      <c r="D44" s="18">
        <v>40525.1</v>
      </c>
      <c r="E44" s="18">
        <v>37560.18</v>
      </c>
      <c r="F44" s="18">
        <v>24219.75</v>
      </c>
      <c r="G44" s="18">
        <v>26119.52</v>
      </c>
      <c r="H44" s="18">
        <v>30176.73</v>
      </c>
      <c r="I44" s="111">
        <v>28160.62</v>
      </c>
      <c r="J44" s="111">
        <v>24111.4</v>
      </c>
      <c r="K44" s="19">
        <v>30000</v>
      </c>
      <c r="L44" s="111">
        <v>20704.87</v>
      </c>
      <c r="M44" s="19">
        <v>28000</v>
      </c>
      <c r="N44" s="111">
        <v>33592.53</v>
      </c>
      <c r="O44" s="19">
        <v>33000</v>
      </c>
      <c r="P44" s="18">
        <v>31826.92</v>
      </c>
      <c r="Q44" s="19">
        <v>34000</v>
      </c>
      <c r="R44" s="18">
        <v>12514.65</v>
      </c>
      <c r="S44" s="19">
        <v>34000</v>
      </c>
      <c r="T44" s="19"/>
      <c r="U44" s="19"/>
      <c r="V44" s="327"/>
    </row>
    <row r="45" spans="1:22" hidden="1" x14ac:dyDescent="0.25">
      <c r="A45" s="708">
        <v>5501</v>
      </c>
      <c r="B45" s="12" t="s">
        <v>1038</v>
      </c>
      <c r="C45" s="13"/>
      <c r="D45" s="18">
        <v>1000</v>
      </c>
      <c r="E45" s="18"/>
      <c r="F45" s="18">
        <v>230</v>
      </c>
      <c r="G45" s="18">
        <v>1000</v>
      </c>
      <c r="H45" s="18">
        <v>1200</v>
      </c>
      <c r="I45" s="111">
        <v>500</v>
      </c>
      <c r="J45" s="111"/>
      <c r="K45" s="19">
        <v>0</v>
      </c>
      <c r="L45" s="111"/>
      <c r="M45" s="19">
        <v>0</v>
      </c>
      <c r="N45" s="111"/>
      <c r="O45" s="19">
        <v>0</v>
      </c>
      <c r="P45" s="18"/>
      <c r="Q45" s="19">
        <v>0</v>
      </c>
      <c r="R45" s="13"/>
      <c r="S45" s="19">
        <v>0</v>
      </c>
      <c r="T45" s="19"/>
      <c r="U45" s="19"/>
      <c r="V45" s="327"/>
    </row>
    <row r="46" spans="1:22" x14ac:dyDescent="0.25">
      <c r="A46" s="708">
        <v>5580</v>
      </c>
      <c r="B46" s="12" t="s">
        <v>1039</v>
      </c>
      <c r="C46" s="13">
        <v>17942.53</v>
      </c>
      <c r="D46" s="13">
        <v>17659.2</v>
      </c>
      <c r="E46" s="13">
        <v>20857.36</v>
      </c>
      <c r="F46" s="13">
        <v>13576.91</v>
      </c>
      <c r="G46" s="13">
        <v>16470.63</v>
      </c>
      <c r="H46" s="13">
        <v>18033.55</v>
      </c>
      <c r="I46" s="127">
        <v>12767.34</v>
      </c>
      <c r="J46" s="127">
        <v>13246.1</v>
      </c>
      <c r="K46" s="14">
        <v>13000</v>
      </c>
      <c r="L46" s="127">
        <v>12447.67</v>
      </c>
      <c r="M46" s="14">
        <v>15000</v>
      </c>
      <c r="N46" s="127">
        <v>19248.95</v>
      </c>
      <c r="O46" s="14">
        <f>2500+13500</f>
        <v>16000</v>
      </c>
      <c r="P46" s="13">
        <v>13442.09</v>
      </c>
      <c r="Q46" s="14">
        <v>17000</v>
      </c>
      <c r="R46" s="13">
        <v>3160.79</v>
      </c>
      <c r="S46" s="14">
        <v>17500</v>
      </c>
      <c r="T46" s="14"/>
      <c r="U46" s="14"/>
      <c r="V46" s="327"/>
    </row>
    <row r="47" spans="1:22" x14ac:dyDescent="0.25">
      <c r="A47" s="708">
        <v>5581</v>
      </c>
      <c r="B47" s="12" t="s">
        <v>755</v>
      </c>
      <c r="C47" s="13">
        <v>22.95</v>
      </c>
      <c r="D47" s="13">
        <v>144.53</v>
      </c>
      <c r="E47" s="13">
        <v>40</v>
      </c>
      <c r="F47" s="13">
        <v>102.95</v>
      </c>
      <c r="G47" s="13">
        <v>40</v>
      </c>
      <c r="H47" s="13">
        <v>69.95</v>
      </c>
      <c r="I47" s="127">
        <v>421.99</v>
      </c>
      <c r="J47" s="127">
        <v>360.13</v>
      </c>
      <c r="K47" s="14">
        <v>400</v>
      </c>
      <c r="L47" s="127">
        <v>394.04</v>
      </c>
      <c r="M47" s="14">
        <v>400</v>
      </c>
      <c r="N47" s="127">
        <v>364.07</v>
      </c>
      <c r="O47" s="14">
        <v>400</v>
      </c>
      <c r="P47" s="13">
        <v>649.85</v>
      </c>
      <c r="Q47" s="14">
        <v>600</v>
      </c>
      <c r="R47" s="13">
        <v>31.42</v>
      </c>
      <c r="S47" s="14">
        <v>750</v>
      </c>
      <c r="T47" s="14"/>
      <c r="U47" s="14"/>
      <c r="V47" s="327"/>
    </row>
    <row r="48" spans="1:22" x14ac:dyDescent="0.25">
      <c r="A48" s="708">
        <v>5582</v>
      </c>
      <c r="B48" s="12" t="s">
        <v>1040</v>
      </c>
      <c r="C48" s="13">
        <v>13164.59</v>
      </c>
      <c r="D48" s="13">
        <v>14612.48</v>
      </c>
      <c r="E48" s="13">
        <v>13045.12</v>
      </c>
      <c r="F48" s="13">
        <v>12402.15</v>
      </c>
      <c r="G48" s="13">
        <v>14172.92</v>
      </c>
      <c r="H48" s="13">
        <v>16609.28</v>
      </c>
      <c r="I48" s="127">
        <v>16186.66</v>
      </c>
      <c r="J48" s="127">
        <v>15520.73</v>
      </c>
      <c r="K48" s="14">
        <f>14900+(16*200)</f>
        <v>18100</v>
      </c>
      <c r="L48" s="127">
        <v>16316.63</v>
      </c>
      <c r="M48" s="14">
        <f>14900+(16*200)</f>
        <v>18100</v>
      </c>
      <c r="N48" s="127">
        <v>18279.23</v>
      </c>
      <c r="O48" s="14">
        <f>3200+19000</f>
        <v>22200</v>
      </c>
      <c r="P48" s="13">
        <v>23681.65</v>
      </c>
      <c r="Q48" s="14">
        <v>22200</v>
      </c>
      <c r="R48" s="13">
        <v>8886.58</v>
      </c>
      <c r="S48" s="14">
        <v>24000</v>
      </c>
      <c r="T48" s="14"/>
      <c r="U48" s="14"/>
      <c r="V48" s="327"/>
    </row>
    <row r="49" spans="1:22" x14ac:dyDescent="0.25">
      <c r="A49" s="708">
        <v>5585</v>
      </c>
      <c r="B49" s="12" t="s">
        <v>1041</v>
      </c>
      <c r="C49" s="18"/>
      <c r="D49" s="13">
        <v>8296</v>
      </c>
      <c r="E49" s="13">
        <v>5859.25</v>
      </c>
      <c r="F49" s="13">
        <v>3333.42</v>
      </c>
      <c r="G49" s="13">
        <v>4047.07</v>
      </c>
      <c r="H49" s="13">
        <v>4091.88</v>
      </c>
      <c r="I49" s="127">
        <v>5826.01</v>
      </c>
      <c r="J49" s="127">
        <v>5845.61</v>
      </c>
      <c r="K49" s="14">
        <v>5900</v>
      </c>
      <c r="L49" s="127">
        <v>5987.7</v>
      </c>
      <c r="M49" s="14">
        <v>5900</v>
      </c>
      <c r="N49" s="127">
        <v>5790.94</v>
      </c>
      <c r="O49" s="14">
        <v>5900</v>
      </c>
      <c r="P49" s="13">
        <v>4812.29</v>
      </c>
      <c r="Q49" s="14">
        <v>6100</v>
      </c>
      <c r="R49" s="13">
        <v>925.67</v>
      </c>
      <c r="S49" s="14">
        <v>6350</v>
      </c>
      <c r="T49" s="14"/>
      <c r="U49" s="14"/>
      <c r="V49" s="327"/>
    </row>
    <row r="50" spans="1:22" x14ac:dyDescent="0.25">
      <c r="A50" s="708">
        <v>5710</v>
      </c>
      <c r="B50" s="12" t="s">
        <v>758</v>
      </c>
      <c r="C50" s="18">
        <v>4091</v>
      </c>
      <c r="D50" s="13">
        <v>4364.99</v>
      </c>
      <c r="E50" s="13">
        <v>2125.65</v>
      </c>
      <c r="F50" s="13">
        <v>2348.25</v>
      </c>
      <c r="G50" s="13">
        <v>8302.5300000000007</v>
      </c>
      <c r="H50" s="13">
        <v>1694.36</v>
      </c>
      <c r="I50" s="127">
        <v>2004.48</v>
      </c>
      <c r="J50" s="127">
        <v>1043.44</v>
      </c>
      <c r="K50" s="14">
        <v>1900</v>
      </c>
      <c r="L50" s="111">
        <v>1450.93</v>
      </c>
      <c r="M50" s="14">
        <v>1900</v>
      </c>
      <c r="N50" s="111">
        <v>2514.58</v>
      </c>
      <c r="O50" s="14">
        <v>1900</v>
      </c>
      <c r="P50" s="18">
        <v>1175.2</v>
      </c>
      <c r="Q50" s="14">
        <v>2500</v>
      </c>
      <c r="R50" s="18">
        <v>1612.68</v>
      </c>
      <c r="S50" s="14">
        <v>2500</v>
      </c>
      <c r="T50" s="14"/>
      <c r="U50" s="14"/>
      <c r="V50" s="327"/>
    </row>
    <row r="51" spans="1:22" x14ac:dyDescent="0.25">
      <c r="A51" s="708">
        <v>5730</v>
      </c>
      <c r="B51" s="12" t="s">
        <v>759</v>
      </c>
      <c r="C51" s="13">
        <v>1430</v>
      </c>
      <c r="D51" s="18">
        <v>1708</v>
      </c>
      <c r="E51" s="18">
        <v>1620</v>
      </c>
      <c r="F51" s="18">
        <v>1770</v>
      </c>
      <c r="G51" s="18">
        <v>2159</v>
      </c>
      <c r="H51" s="18">
        <v>1519</v>
      </c>
      <c r="I51" s="111">
        <v>1945</v>
      </c>
      <c r="J51" s="111">
        <v>2324</v>
      </c>
      <c r="K51" s="19">
        <v>2450</v>
      </c>
      <c r="L51" s="111">
        <v>2623</v>
      </c>
      <c r="M51" s="19">
        <v>2450</v>
      </c>
      <c r="N51" s="111">
        <v>2218</v>
      </c>
      <c r="O51" s="19">
        <v>2700</v>
      </c>
      <c r="P51" s="18">
        <v>2678</v>
      </c>
      <c r="Q51" s="19">
        <v>2700</v>
      </c>
      <c r="R51" s="18">
        <v>734</v>
      </c>
      <c r="S51" s="19">
        <f>365+2800</f>
        <v>3165</v>
      </c>
      <c r="T51" s="19"/>
      <c r="U51" s="19"/>
      <c r="V51" s="327"/>
    </row>
    <row r="52" spans="1:22" hidden="1" x14ac:dyDescent="0.25">
      <c r="A52" s="708"/>
      <c r="B52" s="12" t="s">
        <v>1042</v>
      </c>
      <c r="C52" s="35"/>
      <c r="D52" s="28"/>
      <c r="E52" s="28"/>
      <c r="F52" s="28"/>
      <c r="G52" s="28"/>
      <c r="H52" s="28"/>
      <c r="I52" s="254"/>
      <c r="J52" s="254"/>
      <c r="K52" s="29"/>
      <c r="L52" s="254">
        <v>980.4</v>
      </c>
      <c r="M52" s="29"/>
      <c r="N52" s="254"/>
      <c r="O52" s="29"/>
      <c r="P52" s="28"/>
      <c r="Q52" s="29"/>
      <c r="R52" s="28"/>
      <c r="S52" s="29"/>
      <c r="T52" s="29"/>
      <c r="U52" s="29"/>
      <c r="V52" s="327"/>
    </row>
    <row r="53" spans="1:22" ht="13.8" thickBot="1" x14ac:dyDescent="0.3">
      <c r="A53" s="708">
        <v>5740</v>
      </c>
      <c r="B53" s="12" t="s">
        <v>861</v>
      </c>
      <c r="C53" s="15">
        <v>11660</v>
      </c>
      <c r="D53" s="15">
        <v>15136</v>
      </c>
      <c r="E53" s="15">
        <v>18476</v>
      </c>
      <c r="F53" s="15">
        <v>21860</v>
      </c>
      <c r="G53" s="15">
        <v>23865</v>
      </c>
      <c r="H53" s="15">
        <v>25405</v>
      </c>
      <c r="I53" s="200">
        <v>26001</v>
      </c>
      <c r="J53" s="200">
        <v>25549</v>
      </c>
      <c r="K53" s="36">
        <v>27903</v>
      </c>
      <c r="L53" s="200">
        <v>26736</v>
      </c>
      <c r="M53" s="36">
        <v>28800</v>
      </c>
      <c r="N53" s="200">
        <v>33103</v>
      </c>
      <c r="O53" s="36">
        <v>34000</v>
      </c>
      <c r="P53" s="35">
        <v>38654</v>
      </c>
      <c r="Q53" s="36">
        <v>41500</v>
      </c>
      <c r="R53" s="35">
        <v>42879</v>
      </c>
      <c r="S53" s="36">
        <v>45000</v>
      </c>
      <c r="T53" s="36"/>
      <c r="U53" s="36"/>
      <c r="V53" s="327"/>
    </row>
    <row r="54" spans="1:22" x14ac:dyDescent="0.25">
      <c r="A54" s="708"/>
      <c r="B54" s="17" t="s">
        <v>728</v>
      </c>
      <c r="C54" s="28">
        <f t="shared" ref="C54:S54" si="2">SUM(C30:C53)</f>
        <v>173935.32</v>
      </c>
      <c r="D54" s="28">
        <f t="shared" si="2"/>
        <v>167956.24</v>
      </c>
      <c r="E54" s="28">
        <f t="shared" si="2"/>
        <v>172643.79999999996</v>
      </c>
      <c r="F54" s="28">
        <f t="shared" si="2"/>
        <v>156222.19</v>
      </c>
      <c r="G54" s="28">
        <f t="shared" si="2"/>
        <v>171872.11000000002</v>
      </c>
      <c r="H54" s="28">
        <f t="shared" si="2"/>
        <v>178114.31</v>
      </c>
      <c r="I54" s="30">
        <f t="shared" si="2"/>
        <v>186294.50000000003</v>
      </c>
      <c r="J54" s="30">
        <f t="shared" ref="J54" si="3">SUM(J30:J53)</f>
        <v>187240.46</v>
      </c>
      <c r="K54" s="164">
        <f t="shared" si="2"/>
        <v>183763</v>
      </c>
      <c r="L54" s="30">
        <f t="shared" si="2"/>
        <v>190482.64</v>
      </c>
      <c r="M54" s="164">
        <f t="shared" ref="M54" si="4">SUM(M30:M53)</f>
        <v>189310</v>
      </c>
      <c r="N54" s="30">
        <f t="shared" ref="N54" si="5">SUM(N30:N53)</f>
        <v>208067.90000000002</v>
      </c>
      <c r="O54" s="164">
        <f t="shared" ref="O54:P54" si="6">SUM(O30:O53)</f>
        <v>218360</v>
      </c>
      <c r="P54" s="30">
        <f t="shared" si="6"/>
        <v>218323.32</v>
      </c>
      <c r="Q54" s="164">
        <f t="shared" ref="Q54" si="7">SUM(Q30:Q53)</f>
        <v>229360</v>
      </c>
      <c r="R54" s="30">
        <f t="shared" si="2"/>
        <v>118327.11999999998</v>
      </c>
      <c r="S54" s="164">
        <f t="shared" si="2"/>
        <v>242981</v>
      </c>
      <c r="T54" s="164">
        <f>+S54</f>
        <v>242981</v>
      </c>
      <c r="U54" s="164">
        <f>+S54</f>
        <v>242981</v>
      </c>
      <c r="V54" s="327"/>
    </row>
    <row r="55" spans="1:22" x14ac:dyDescent="0.25">
      <c r="A55" s="708"/>
      <c r="B55" s="12"/>
      <c r="C55" s="35"/>
      <c r="D55" s="35"/>
      <c r="E55" s="35"/>
      <c r="F55" s="35"/>
      <c r="G55" s="35"/>
      <c r="H55" s="35"/>
      <c r="I55" s="35"/>
      <c r="J55" s="35"/>
      <c r="K55" s="36"/>
      <c r="L55" s="35"/>
      <c r="M55" s="36"/>
      <c r="N55" s="35"/>
      <c r="O55" s="36"/>
      <c r="P55" s="35"/>
      <c r="Q55" s="36"/>
      <c r="R55" s="35"/>
      <c r="S55" s="36"/>
      <c r="T55" s="36"/>
      <c r="U55" s="36"/>
      <c r="V55" s="327"/>
    </row>
    <row r="56" spans="1:22" ht="13.8" thickBot="1" x14ac:dyDescent="0.3">
      <c r="A56" s="708">
        <v>5800</v>
      </c>
      <c r="B56" s="12" t="s">
        <v>437</v>
      </c>
      <c r="C56" s="15">
        <v>36895.4</v>
      </c>
      <c r="D56" s="15">
        <v>39483.5</v>
      </c>
      <c r="E56" s="15">
        <v>39102.5</v>
      </c>
      <c r="F56" s="15">
        <v>39498.1</v>
      </c>
      <c r="G56" s="15">
        <v>39500</v>
      </c>
      <c r="H56" s="15">
        <v>41424</v>
      </c>
      <c r="I56" s="15">
        <v>34000</v>
      </c>
      <c r="J56" s="15">
        <v>51600</v>
      </c>
      <c r="K56" s="16">
        <v>53000</v>
      </c>
      <c r="L56" s="15">
        <v>22900</v>
      </c>
      <c r="M56" s="16">
        <v>53000</v>
      </c>
      <c r="N56" s="15">
        <v>44982.74</v>
      </c>
      <c r="O56" s="16">
        <v>54000</v>
      </c>
      <c r="P56" s="15">
        <v>54000</v>
      </c>
      <c r="Q56" s="16">
        <v>68100</v>
      </c>
      <c r="R56" s="15">
        <v>62683.25</v>
      </c>
      <c r="S56" s="16">
        <v>60000</v>
      </c>
      <c r="T56" s="16"/>
      <c r="U56" s="16">
        <f>+S56</f>
        <v>60000</v>
      </c>
      <c r="V56" s="327"/>
    </row>
    <row r="57" spans="1:22" x14ac:dyDescent="0.25">
      <c r="A57" s="708"/>
      <c r="B57" s="17" t="s">
        <v>829</v>
      </c>
      <c r="C57" s="18">
        <f t="shared" ref="C57:S57" si="8">SUM(C56:C56)</f>
        <v>36895.4</v>
      </c>
      <c r="D57" s="18">
        <f t="shared" si="8"/>
        <v>39483.5</v>
      </c>
      <c r="E57" s="18">
        <f t="shared" si="8"/>
        <v>39102.5</v>
      </c>
      <c r="F57" s="18">
        <f>+F56</f>
        <v>39498.1</v>
      </c>
      <c r="G57" s="18">
        <f>+G56</f>
        <v>39500</v>
      </c>
      <c r="H57" s="18">
        <f>+H56</f>
        <v>41424</v>
      </c>
      <c r="I57" s="18">
        <f t="shared" si="8"/>
        <v>34000</v>
      </c>
      <c r="J57" s="18">
        <f t="shared" ref="J57" si="9">SUM(J56:J56)</f>
        <v>51600</v>
      </c>
      <c r="K57" s="34">
        <f t="shared" ref="K57:O57" si="10">SUM(K56:K56)</f>
        <v>53000</v>
      </c>
      <c r="L57" s="18">
        <f t="shared" si="10"/>
        <v>22900</v>
      </c>
      <c r="M57" s="34">
        <f t="shared" si="10"/>
        <v>53000</v>
      </c>
      <c r="N57" s="18">
        <f t="shared" ref="N57" si="11">SUM(N56:N56)</f>
        <v>44982.74</v>
      </c>
      <c r="O57" s="34">
        <f t="shared" si="10"/>
        <v>54000</v>
      </c>
      <c r="P57" s="18">
        <f t="shared" ref="P57" si="12">SUM(P56:P56)</f>
        <v>54000</v>
      </c>
      <c r="Q57" s="34">
        <f t="shared" ref="Q57" si="13">SUM(Q56:Q56)</f>
        <v>68100</v>
      </c>
      <c r="R57" s="18">
        <f t="shared" si="8"/>
        <v>62683.25</v>
      </c>
      <c r="S57" s="34">
        <f t="shared" si="8"/>
        <v>60000</v>
      </c>
      <c r="T57" s="34">
        <f>+S57</f>
        <v>60000</v>
      </c>
      <c r="U57" s="34">
        <f>+U56</f>
        <v>60000</v>
      </c>
      <c r="V57" s="327"/>
    </row>
    <row r="58" spans="1:22" x14ac:dyDescent="0.25">
      <c r="A58" s="737"/>
      <c r="B58" s="107"/>
      <c r="C58" s="28"/>
      <c r="D58" s="28"/>
      <c r="E58" s="28"/>
      <c r="F58" s="28"/>
      <c r="G58" s="28"/>
      <c r="H58" s="28"/>
      <c r="I58" s="28"/>
      <c r="J58" s="28"/>
      <c r="K58" s="162"/>
      <c r="L58" s="28"/>
      <c r="M58" s="162"/>
      <c r="N58" s="28"/>
      <c r="O58" s="162"/>
      <c r="P58" s="28"/>
      <c r="Q58" s="162"/>
      <c r="R58" s="28"/>
      <c r="S58" s="162"/>
      <c r="T58" s="162"/>
      <c r="U58" s="162"/>
      <c r="V58" s="327"/>
    </row>
    <row r="59" spans="1:22" ht="13.8" thickBot="1" x14ac:dyDescent="0.3">
      <c r="A59" s="709"/>
      <c r="B59" s="20" t="s">
        <v>887</v>
      </c>
      <c r="C59" s="21">
        <f t="shared" ref="C59:T59" si="14">+C57+C54+C28</f>
        <v>1239909.6599999999</v>
      </c>
      <c r="D59" s="21">
        <f t="shared" si="14"/>
        <v>1302607.79</v>
      </c>
      <c r="E59" s="21">
        <f t="shared" si="14"/>
        <v>1410052.5999999999</v>
      </c>
      <c r="F59" s="21">
        <f t="shared" si="14"/>
        <v>1449760.9</v>
      </c>
      <c r="G59" s="21">
        <f t="shared" si="14"/>
        <v>1510152.1500000001</v>
      </c>
      <c r="H59" s="21">
        <f t="shared" si="14"/>
        <v>1350636.4100000001</v>
      </c>
      <c r="I59" s="21">
        <f t="shared" si="14"/>
        <v>1584896.98</v>
      </c>
      <c r="J59" s="21">
        <f t="shared" ref="J59" si="15">+J57+J54+J28</f>
        <v>1646925.69</v>
      </c>
      <c r="K59" s="22">
        <f t="shared" si="14"/>
        <v>1705537</v>
      </c>
      <c r="L59" s="21">
        <f t="shared" ref="L59:O59" si="16">+L57+L54+L28</f>
        <v>1650531.8900000001</v>
      </c>
      <c r="M59" s="22">
        <f t="shared" si="16"/>
        <v>1814945</v>
      </c>
      <c r="N59" s="21">
        <f t="shared" ref="N59" si="17">+N57+N54+N28</f>
        <v>1757918.2100000004</v>
      </c>
      <c r="O59" s="22">
        <f t="shared" si="16"/>
        <v>1932434</v>
      </c>
      <c r="P59" s="21">
        <f t="shared" ref="P59" si="18">+P57+P54+P28</f>
        <v>1899270.1500000001</v>
      </c>
      <c r="Q59" s="22">
        <f t="shared" ref="Q59" si="19">+Q57+Q54+Q28</f>
        <v>2038154</v>
      </c>
      <c r="R59" s="21">
        <f t="shared" si="14"/>
        <v>998896.57000000007</v>
      </c>
      <c r="S59" s="22">
        <f t="shared" si="14"/>
        <v>2127608.105</v>
      </c>
      <c r="T59" s="22">
        <f t="shared" si="14"/>
        <v>2127608.105</v>
      </c>
      <c r="U59" s="22">
        <f>+S59</f>
        <v>2127608.105</v>
      </c>
    </row>
    <row r="60" spans="1:22" ht="13.8" thickTop="1" x14ac:dyDescent="0.25">
      <c r="A60" s="703"/>
      <c r="B60" s="74"/>
      <c r="C60" s="24"/>
      <c r="D60" s="24"/>
      <c r="E60" s="24"/>
      <c r="F60" s="24"/>
      <c r="G60" s="24"/>
      <c r="H60" s="24"/>
      <c r="I60" s="25"/>
      <c r="J60" s="25"/>
      <c r="K60" s="25"/>
      <c r="L60" s="25"/>
      <c r="M60" s="25"/>
      <c r="N60" s="25"/>
      <c r="O60" s="25"/>
      <c r="P60" s="25"/>
      <c r="Q60" s="25"/>
      <c r="R60" s="181" t="s">
        <v>732</v>
      </c>
      <c r="S60" s="1001">
        <f>+S59-Q59</f>
        <v>89454.104999999981</v>
      </c>
      <c r="T60" s="1002">
        <f>ROUND((+S60/Q59),4)</f>
        <v>4.3900000000000002E-2</v>
      </c>
      <c r="U60" s="25"/>
    </row>
    <row r="61" spans="1:22" x14ac:dyDescent="0.25">
      <c r="A61" s="54">
        <v>45299</v>
      </c>
      <c r="B61" s="4" t="s">
        <v>2527</v>
      </c>
      <c r="C61" s="24"/>
      <c r="D61" s="24"/>
      <c r="E61" s="24"/>
      <c r="F61" s="24"/>
      <c r="G61" s="24"/>
      <c r="H61" s="24"/>
      <c r="I61" s="25"/>
      <c r="J61" s="25"/>
      <c r="K61" s="25"/>
      <c r="L61" s="25"/>
      <c r="M61" s="25"/>
      <c r="N61" s="25"/>
      <c r="O61" s="25"/>
      <c r="P61" s="25"/>
      <c r="Q61" s="25"/>
      <c r="R61" s="24"/>
      <c r="S61" s="25"/>
      <c r="T61" s="25"/>
      <c r="U61" s="25"/>
    </row>
    <row r="62" spans="1:22" x14ac:dyDescent="0.25">
      <c r="A62" s="54">
        <v>45308</v>
      </c>
      <c r="B62" s="4" t="s">
        <v>2544</v>
      </c>
      <c r="C62" s="24"/>
      <c r="D62" s="24"/>
      <c r="E62" s="24"/>
      <c r="F62" s="24"/>
      <c r="G62" s="24"/>
      <c r="H62" s="24"/>
      <c r="I62" s="25"/>
      <c r="J62" s="25"/>
      <c r="K62" s="25"/>
      <c r="L62" s="25"/>
      <c r="M62" s="25"/>
      <c r="N62" s="25"/>
      <c r="O62" s="25"/>
      <c r="P62" s="25"/>
      <c r="Q62" s="25"/>
      <c r="R62" s="24"/>
      <c r="S62" s="25"/>
      <c r="T62" s="25"/>
      <c r="U62" s="25"/>
    </row>
    <row r="63" spans="1:22" x14ac:dyDescent="0.25">
      <c r="A63" s="54">
        <v>45308</v>
      </c>
      <c r="B63" s="4" t="s">
        <v>2551</v>
      </c>
      <c r="C63" s="24"/>
      <c r="D63" s="24"/>
      <c r="E63" s="24"/>
      <c r="F63" s="24"/>
      <c r="G63" s="24"/>
      <c r="H63" s="24"/>
      <c r="I63" s="25"/>
      <c r="J63" s="25"/>
      <c r="K63" s="25"/>
      <c r="L63" s="25"/>
      <c r="M63" s="25"/>
      <c r="N63" s="25"/>
      <c r="O63" s="25"/>
      <c r="P63" s="25"/>
      <c r="Q63" s="25"/>
      <c r="R63" s="24"/>
      <c r="S63" s="25"/>
      <c r="T63" s="25"/>
      <c r="U63" s="25"/>
    </row>
    <row r="64" spans="1:22" x14ac:dyDescent="0.25">
      <c r="A64" s="54"/>
      <c r="B64" s="74"/>
      <c r="C64" s="24"/>
      <c r="D64" s="24"/>
      <c r="E64" s="24"/>
      <c r="F64" s="24"/>
      <c r="G64" s="24"/>
      <c r="H64" s="24"/>
      <c r="I64" s="24"/>
      <c r="J64" s="24"/>
      <c r="K64" s="24"/>
      <c r="L64" s="24"/>
      <c r="M64" s="24"/>
      <c r="N64" s="24"/>
      <c r="O64" s="24"/>
      <c r="P64" s="24"/>
      <c r="Q64" s="24"/>
      <c r="R64" s="25"/>
      <c r="S64" s="24"/>
      <c r="T64" s="24"/>
      <c r="U64" s="73"/>
      <c r="V64" s="23"/>
    </row>
    <row r="65" spans="1:24" ht="13.8" thickBot="1" x14ac:dyDescent="0.3">
      <c r="A65" s="54" t="s">
        <v>793</v>
      </c>
      <c r="B65" s="4"/>
      <c r="D65" s="194"/>
      <c r="E65" s="194"/>
      <c r="F65" s="194"/>
      <c r="G65" s="194"/>
      <c r="H65" s="194"/>
      <c r="I65" s="194"/>
      <c r="J65" s="194"/>
      <c r="K65" s="194"/>
      <c r="L65" s="194"/>
      <c r="O65" s="194" t="s">
        <v>2026</v>
      </c>
      <c r="P65" s="194"/>
      <c r="Q65" s="194"/>
    </row>
    <row r="66" spans="1:24" ht="13.8" thickTop="1" x14ac:dyDescent="0.25">
      <c r="A66" s="755" t="s">
        <v>760</v>
      </c>
      <c r="B66" s="146"/>
      <c r="D66" s="194"/>
      <c r="E66" s="194"/>
      <c r="F66" s="194"/>
      <c r="G66" s="194"/>
      <c r="H66" s="194"/>
      <c r="I66" s="194"/>
      <c r="J66" s="194"/>
      <c r="K66" s="194"/>
      <c r="L66" s="194"/>
      <c r="O66" s="251" t="s">
        <v>761</v>
      </c>
      <c r="P66" s="137" t="s">
        <v>762</v>
      </c>
      <c r="Q66" s="149" t="s">
        <v>831</v>
      </c>
      <c r="R66" s="139" t="s">
        <v>763</v>
      </c>
      <c r="S66" s="144" t="s">
        <v>1043</v>
      </c>
      <c r="T66" s="142"/>
      <c r="U66" s="142" t="s">
        <v>769</v>
      </c>
      <c r="V66"/>
    </row>
    <row r="67" spans="1:24" ht="13.8" thickBot="1" x14ac:dyDescent="0.3">
      <c r="A67" s="131" t="s">
        <v>765</v>
      </c>
      <c r="B67" s="100" t="s">
        <v>766</v>
      </c>
      <c r="D67" s="194"/>
      <c r="E67" s="194"/>
      <c r="F67" s="194"/>
      <c r="G67" s="194"/>
      <c r="H67" s="194"/>
      <c r="I67" s="194"/>
      <c r="J67" s="194"/>
      <c r="K67" s="194"/>
      <c r="L67" s="194"/>
      <c r="O67" s="269">
        <v>45474</v>
      </c>
      <c r="P67" s="140" t="s">
        <v>767</v>
      </c>
      <c r="Q67" s="141" t="s">
        <v>1044</v>
      </c>
      <c r="R67" s="141" t="s">
        <v>769</v>
      </c>
      <c r="S67" s="145" t="s">
        <v>731</v>
      </c>
      <c r="T67" s="143"/>
      <c r="U67" s="143" t="s">
        <v>1045</v>
      </c>
      <c r="V67" s="106" t="s">
        <v>770</v>
      </c>
      <c r="W67" s="106" t="s">
        <v>2117</v>
      </c>
      <c r="X67" s="106" t="s">
        <v>771</v>
      </c>
    </row>
    <row r="68" spans="1:24" ht="13.8" thickTop="1" x14ac:dyDescent="0.25">
      <c r="A68" s="816">
        <v>34967</v>
      </c>
      <c r="B68" s="965" t="s">
        <v>2083</v>
      </c>
      <c r="D68" s="194"/>
      <c r="E68" s="194"/>
      <c r="F68" s="194"/>
      <c r="G68" s="194"/>
      <c r="H68" s="194"/>
      <c r="I68" s="194"/>
      <c r="J68" s="194"/>
      <c r="K68" s="194"/>
      <c r="L68" s="194"/>
      <c r="O68" s="13" t="s">
        <v>1046</v>
      </c>
      <c r="P68" s="13"/>
      <c r="Q68" s="14"/>
      <c r="R68" s="1075">
        <v>110754</v>
      </c>
      <c r="S68" s="658">
        <v>0.2</v>
      </c>
      <c r="T68" s="658"/>
      <c r="U68" s="127">
        <f t="shared" ref="U68:U79" si="20">ROUND((+R68*S68),3)</f>
        <v>22150.799999999999</v>
      </c>
      <c r="V68" s="187"/>
    </row>
    <row r="69" spans="1:24" s="4" customFormat="1" ht="12" customHeight="1" x14ac:dyDescent="0.25">
      <c r="A69" s="817">
        <v>38530</v>
      </c>
      <c r="B69" s="61" t="s">
        <v>1047</v>
      </c>
      <c r="O69" s="127" t="s">
        <v>1048</v>
      </c>
      <c r="P69" s="13">
        <f>+'NAGE &amp; Non-Union Wages'!L11</f>
        <v>45.44</v>
      </c>
      <c r="Q69" s="222">
        <v>2088</v>
      </c>
      <c r="R69" s="111">
        <f t="shared" ref="R69:R86" si="21">ROUND((+Q69*P69),2)</f>
        <v>94878.720000000001</v>
      </c>
      <c r="S69" s="658">
        <v>0.25</v>
      </c>
      <c r="T69" s="127"/>
      <c r="U69" s="127">
        <f t="shared" si="20"/>
        <v>23719.68</v>
      </c>
      <c r="V69" s="983">
        <v>38530</v>
      </c>
      <c r="W69" s="703"/>
    </row>
    <row r="70" spans="1:24" x14ac:dyDescent="0.25">
      <c r="A70" s="818">
        <v>39495</v>
      </c>
      <c r="B70" s="238" t="s">
        <v>1049</v>
      </c>
      <c r="D70" s="194"/>
      <c r="E70" s="194"/>
      <c r="F70" s="194"/>
      <c r="G70" s="194"/>
      <c r="H70" s="194"/>
      <c r="I70" s="194"/>
      <c r="J70" s="194"/>
      <c r="K70" s="194"/>
      <c r="L70" s="194"/>
      <c r="O70" s="111" t="s">
        <v>1050</v>
      </c>
      <c r="P70" s="127">
        <f>+'Police Wages'!I10</f>
        <v>42.58</v>
      </c>
      <c r="Q70" s="239">
        <v>1975</v>
      </c>
      <c r="R70" s="127">
        <f t="shared" si="21"/>
        <v>84095.5</v>
      </c>
      <c r="S70" s="1324">
        <v>0.25</v>
      </c>
      <c r="T70" s="658"/>
      <c r="U70" s="127">
        <f t="shared" si="20"/>
        <v>21023.875</v>
      </c>
      <c r="V70" s="984">
        <v>39495</v>
      </c>
      <c r="W70" s="712"/>
    </row>
    <row r="71" spans="1:24" s="240" customFormat="1" x14ac:dyDescent="0.25">
      <c r="A71" s="819">
        <v>35423</v>
      </c>
      <c r="B71" s="241" t="s">
        <v>1051</v>
      </c>
      <c r="O71" s="111" t="s">
        <v>1052</v>
      </c>
      <c r="P71" s="127">
        <f>+'Police Wages'!I9</f>
        <v>38.340000000000003</v>
      </c>
      <c r="Q71" s="239">
        <v>1975</v>
      </c>
      <c r="R71" s="127">
        <f t="shared" si="21"/>
        <v>75721.5</v>
      </c>
      <c r="S71" s="658">
        <v>0.1</v>
      </c>
      <c r="T71" s="658"/>
      <c r="U71" s="127">
        <f t="shared" si="20"/>
        <v>7572.15</v>
      </c>
      <c r="V71" s="985">
        <v>35423</v>
      </c>
      <c r="W71" s="1083"/>
    </row>
    <row r="72" spans="1:24" s="240" customFormat="1" x14ac:dyDescent="0.25">
      <c r="A72" s="818">
        <v>41242</v>
      </c>
      <c r="B72" s="233" t="s">
        <v>1053</v>
      </c>
      <c r="O72" s="127" t="s">
        <v>1052</v>
      </c>
      <c r="P72" s="127">
        <f>+'Police Wages'!I9</f>
        <v>38.340000000000003</v>
      </c>
      <c r="Q72" s="239">
        <v>1975</v>
      </c>
      <c r="R72" s="127">
        <f t="shared" si="21"/>
        <v>75721.5</v>
      </c>
      <c r="S72" s="658"/>
      <c r="T72" s="658"/>
      <c r="U72" s="127">
        <f t="shared" si="20"/>
        <v>0</v>
      </c>
      <c r="V72" s="984">
        <v>41242</v>
      </c>
      <c r="W72" s="1083"/>
    </row>
    <row r="73" spans="1:24" s="240" customFormat="1" x14ac:dyDescent="0.25">
      <c r="A73" s="817">
        <v>40920</v>
      </c>
      <c r="B73" s="60" t="s">
        <v>1054</v>
      </c>
      <c r="O73" s="328" t="s">
        <v>1052</v>
      </c>
      <c r="P73" s="565">
        <f>+'Police Wages'!I9</f>
        <v>38.340000000000003</v>
      </c>
      <c r="Q73" s="1082">
        <v>1975</v>
      </c>
      <c r="R73" s="127">
        <f t="shared" si="21"/>
        <v>75721.5</v>
      </c>
      <c r="S73" s="658">
        <v>0.1</v>
      </c>
      <c r="T73" s="658"/>
      <c r="U73" s="127">
        <f t="shared" si="20"/>
        <v>7572.15</v>
      </c>
      <c r="V73" s="983">
        <v>40920</v>
      </c>
      <c r="W73" s="1083"/>
    </row>
    <row r="74" spans="1:24" s="240" customFormat="1" x14ac:dyDescent="0.25">
      <c r="A74" s="822">
        <v>43618</v>
      </c>
      <c r="B74" s="471" t="s">
        <v>1922</v>
      </c>
      <c r="C74" s="823"/>
      <c r="D74" s="986"/>
      <c r="E74" s="986"/>
      <c r="F74" s="986"/>
      <c r="G74" s="194"/>
      <c r="H74" s="194"/>
      <c r="I74" s="194"/>
      <c r="J74" s="194"/>
      <c r="K74" s="194"/>
      <c r="L74" s="194"/>
      <c r="O74" s="200" t="s">
        <v>2112</v>
      </c>
      <c r="P74" s="248">
        <f>+'Police Wages'!H9</f>
        <v>36.869999999999997</v>
      </c>
      <c r="Q74" s="293">
        <v>1975</v>
      </c>
      <c r="R74" s="568">
        <f t="shared" si="21"/>
        <v>72818.25</v>
      </c>
      <c r="S74" s="544"/>
      <c r="T74" s="544"/>
      <c r="U74" s="200"/>
      <c r="V74" s="133">
        <v>43618</v>
      </c>
      <c r="W74" s="1083"/>
    </row>
    <row r="75" spans="1:24" s="240" customFormat="1" ht="12.6" customHeight="1" x14ac:dyDescent="0.25">
      <c r="A75" s="817">
        <v>41821</v>
      </c>
      <c r="B75" s="12" t="s">
        <v>1055</v>
      </c>
      <c r="C75" s="1"/>
      <c r="D75" s="194"/>
      <c r="E75" s="194"/>
      <c r="F75" s="194"/>
      <c r="G75" s="194"/>
      <c r="O75" s="127" t="s">
        <v>1056</v>
      </c>
      <c r="P75" s="247">
        <f>+'Police Wages'!I7</f>
        <v>35.97</v>
      </c>
      <c r="Q75" s="293">
        <v>1975</v>
      </c>
      <c r="R75" s="311">
        <f t="shared" si="21"/>
        <v>71040.75</v>
      </c>
      <c r="S75" s="237">
        <v>0.1</v>
      </c>
      <c r="T75" s="237"/>
      <c r="U75" s="127">
        <f>ROUND((+R75*S75),3)</f>
        <v>7104.0749999999998</v>
      </c>
      <c r="V75" s="133">
        <v>41821</v>
      </c>
      <c r="W75" s="1083"/>
    </row>
    <row r="76" spans="1:24" s="240" customFormat="1" x14ac:dyDescent="0.25">
      <c r="A76" s="817">
        <v>42891</v>
      </c>
      <c r="B76" s="60" t="s">
        <v>1057</v>
      </c>
      <c r="C76" s="1"/>
      <c r="D76" s="194"/>
      <c r="E76" s="194"/>
      <c r="F76" s="194"/>
      <c r="G76" s="194"/>
      <c r="H76" s="194"/>
      <c r="O76" s="127" t="s">
        <v>869</v>
      </c>
      <c r="P76" s="127">
        <f>+'Police Wages'!H7</f>
        <v>34.57</v>
      </c>
      <c r="Q76" s="222">
        <v>1975</v>
      </c>
      <c r="R76" s="127">
        <f t="shared" si="21"/>
        <v>68275.75</v>
      </c>
      <c r="S76" s="237">
        <v>0.2</v>
      </c>
      <c r="T76" s="237"/>
      <c r="U76" s="127">
        <f>ROUND((+R76*S76),3)</f>
        <v>13655.15</v>
      </c>
      <c r="V76" s="983">
        <v>42891</v>
      </c>
      <c r="W76" s="1083"/>
    </row>
    <row r="77" spans="1:24" s="240" customFormat="1" x14ac:dyDescent="0.25">
      <c r="A77" s="817">
        <v>36926</v>
      </c>
      <c r="B77" s="60" t="s">
        <v>1058</v>
      </c>
      <c r="C77" s="1"/>
      <c r="D77" s="194"/>
      <c r="E77" s="194"/>
      <c r="O77" s="127" t="s">
        <v>1059</v>
      </c>
      <c r="P77" s="127">
        <f>+'Police Wages'!I6</f>
        <v>33.159999999999997</v>
      </c>
      <c r="Q77" s="222">
        <v>1975</v>
      </c>
      <c r="R77" s="127">
        <f t="shared" si="21"/>
        <v>65491</v>
      </c>
      <c r="S77" s="237"/>
      <c r="T77" s="237"/>
      <c r="U77" s="127">
        <f>ROUND((+R77*S77),3)</f>
        <v>0</v>
      </c>
      <c r="V77" s="983">
        <v>36926</v>
      </c>
      <c r="W77" s="1083">
        <v>24</v>
      </c>
      <c r="X77" s="240">
        <v>700</v>
      </c>
    </row>
    <row r="78" spans="1:24" s="240" customFormat="1" x14ac:dyDescent="0.25">
      <c r="A78" s="817">
        <v>38216</v>
      </c>
      <c r="B78" s="12" t="s">
        <v>1060</v>
      </c>
      <c r="C78" s="1"/>
      <c r="D78" s="194"/>
      <c r="E78" s="194"/>
      <c r="F78" s="194"/>
      <c r="G78" s="194"/>
      <c r="H78" s="194"/>
      <c r="O78" s="127" t="s">
        <v>1059</v>
      </c>
      <c r="P78" s="127">
        <f>+'Police Wages'!I6</f>
        <v>33.159999999999997</v>
      </c>
      <c r="Q78" s="222">
        <v>1975</v>
      </c>
      <c r="R78" s="127">
        <f t="shared" si="21"/>
        <v>65491</v>
      </c>
      <c r="S78" s="237"/>
      <c r="T78" s="237"/>
      <c r="U78" s="127">
        <f>ROUND((+R78*S78),3)</f>
        <v>0</v>
      </c>
      <c r="V78" s="983">
        <v>38216</v>
      </c>
      <c r="W78" s="1083"/>
    </row>
    <row r="79" spans="1:24" s="240" customFormat="1" x14ac:dyDescent="0.25">
      <c r="A79" s="818">
        <v>38215</v>
      </c>
      <c r="B79" s="233" t="s">
        <v>1061</v>
      </c>
      <c r="O79" s="127" t="s">
        <v>1059</v>
      </c>
      <c r="P79" s="127">
        <f>+'Police Wages'!I6</f>
        <v>33.159999999999997</v>
      </c>
      <c r="Q79" s="239">
        <v>1975</v>
      </c>
      <c r="R79" s="127">
        <f t="shared" si="21"/>
        <v>65491</v>
      </c>
      <c r="S79" s="1324">
        <v>0.1</v>
      </c>
      <c r="T79" s="658"/>
      <c r="U79" s="127">
        <f t="shared" si="20"/>
        <v>6549.1</v>
      </c>
      <c r="V79" s="984">
        <v>38215</v>
      </c>
      <c r="W79" s="1083"/>
    </row>
    <row r="80" spans="1:24" s="240" customFormat="1" x14ac:dyDescent="0.25">
      <c r="A80" s="817">
        <v>42827</v>
      </c>
      <c r="B80" s="60" t="s">
        <v>1062</v>
      </c>
      <c r="C80" s="1"/>
      <c r="D80" s="194"/>
      <c r="O80" s="127" t="s">
        <v>1059</v>
      </c>
      <c r="P80" s="127">
        <f>+'Police Wages'!I6</f>
        <v>33.159999999999997</v>
      </c>
      <c r="Q80" s="222">
        <v>1975</v>
      </c>
      <c r="R80" s="127">
        <f t="shared" si="21"/>
        <v>65491</v>
      </c>
      <c r="S80" s="237">
        <v>0.1</v>
      </c>
      <c r="T80" s="237"/>
      <c r="U80" s="127">
        <f t="shared" ref="U80:U82" si="22">ROUND((+R80*S80),3)</f>
        <v>6549.1</v>
      </c>
      <c r="V80" s="983">
        <v>42827</v>
      </c>
      <c r="W80" s="1083"/>
    </row>
    <row r="81" spans="1:24" x14ac:dyDescent="0.25">
      <c r="A81" s="817">
        <v>42295</v>
      </c>
      <c r="B81" s="12" t="s">
        <v>1063</v>
      </c>
      <c r="D81" s="194"/>
      <c r="E81" s="194"/>
      <c r="F81" s="194"/>
      <c r="G81" s="194"/>
      <c r="H81" s="194"/>
      <c r="I81" s="194"/>
      <c r="J81" s="194"/>
      <c r="K81" s="194"/>
      <c r="L81" s="194"/>
      <c r="O81" s="127" t="s">
        <v>1059</v>
      </c>
      <c r="P81" s="127">
        <f>+'Police Wages'!I6</f>
        <v>33.159999999999997</v>
      </c>
      <c r="Q81" s="236">
        <v>1975</v>
      </c>
      <c r="R81" s="127">
        <f t="shared" si="21"/>
        <v>65491</v>
      </c>
      <c r="S81" s="237"/>
      <c r="T81" s="237"/>
      <c r="U81" s="127">
        <f t="shared" si="22"/>
        <v>0</v>
      </c>
      <c r="V81" s="133">
        <v>42295</v>
      </c>
      <c r="W81" s="712"/>
    </row>
    <row r="82" spans="1:24" x14ac:dyDescent="0.25">
      <c r="A82" s="816">
        <v>42449</v>
      </c>
      <c r="B82" s="12" t="s">
        <v>1064</v>
      </c>
      <c r="D82" s="194"/>
      <c r="E82" s="194"/>
      <c r="F82" s="194"/>
      <c r="G82" s="194"/>
      <c r="H82" s="194"/>
      <c r="I82" s="194"/>
      <c r="J82" s="194"/>
      <c r="K82" s="194"/>
      <c r="L82" s="194"/>
      <c r="O82" s="127" t="s">
        <v>1059</v>
      </c>
      <c r="P82" s="127">
        <f>+'Police Wages'!I6</f>
        <v>33.159999999999997</v>
      </c>
      <c r="Q82" s="236">
        <v>1975</v>
      </c>
      <c r="R82" s="127">
        <f t="shared" si="21"/>
        <v>65491</v>
      </c>
      <c r="S82" s="237"/>
      <c r="T82" s="237"/>
      <c r="U82" s="127">
        <f t="shared" si="22"/>
        <v>0</v>
      </c>
      <c r="V82" s="132">
        <v>42449</v>
      </c>
      <c r="W82" s="712"/>
    </row>
    <row r="83" spans="1:24" x14ac:dyDescent="0.25">
      <c r="A83" s="820">
        <v>43299</v>
      </c>
      <c r="B83" s="471" t="s">
        <v>1065</v>
      </c>
      <c r="D83" s="194"/>
      <c r="E83" s="194"/>
      <c r="F83" s="194"/>
      <c r="G83" s="194"/>
      <c r="H83" s="194"/>
      <c r="I83" s="194"/>
      <c r="J83" s="194"/>
      <c r="K83" s="194"/>
      <c r="L83" s="194"/>
      <c r="O83" s="200" t="s">
        <v>2114</v>
      </c>
      <c r="P83" s="200">
        <f>+'Police Wages'!H6</f>
        <v>31.89</v>
      </c>
      <c r="Q83" s="293">
        <v>1975</v>
      </c>
      <c r="R83" s="200">
        <f t="shared" si="21"/>
        <v>62982.75</v>
      </c>
      <c r="S83" s="544">
        <v>0.1</v>
      </c>
      <c r="T83" s="544"/>
      <c r="U83" s="200">
        <f>ROUND((+R83*S83),3)</f>
        <v>6298.2749999999996</v>
      </c>
      <c r="V83" s="543">
        <v>43299</v>
      </c>
      <c r="W83" s="712"/>
    </row>
    <row r="84" spans="1:24" x14ac:dyDescent="0.25">
      <c r="A84" s="817">
        <v>44136</v>
      </c>
      <c r="B84" s="60" t="s">
        <v>1066</v>
      </c>
      <c r="C84" s="71"/>
      <c r="D84" s="987"/>
      <c r="E84" s="987"/>
      <c r="F84" s="987"/>
      <c r="G84" s="987"/>
      <c r="H84" s="987"/>
      <c r="I84" s="987"/>
      <c r="J84" s="987"/>
      <c r="K84" s="194"/>
      <c r="L84" s="194"/>
      <c r="O84" s="963" t="s">
        <v>2115</v>
      </c>
      <c r="P84" s="840">
        <f>+'Police Wages'!F6</f>
        <v>29.49</v>
      </c>
      <c r="Q84" s="293">
        <v>1975</v>
      </c>
      <c r="R84" s="127">
        <f t="shared" si="21"/>
        <v>58242.75</v>
      </c>
      <c r="S84" s="237">
        <v>0.2</v>
      </c>
      <c r="T84" s="237"/>
      <c r="U84" s="127">
        <f t="shared" ref="U84:U85" si="23">ROUND((+R84*S84),3)</f>
        <v>11648.55</v>
      </c>
      <c r="W84" s="712"/>
    </row>
    <row r="85" spans="1:24" x14ac:dyDescent="0.25">
      <c r="A85" s="817"/>
      <c r="B85" s="60" t="s">
        <v>1921</v>
      </c>
      <c r="C85" s="71"/>
      <c r="D85" s="987"/>
      <c r="E85" s="987"/>
      <c r="F85" s="987"/>
      <c r="G85" s="987"/>
      <c r="H85" s="987"/>
      <c r="I85" s="987"/>
      <c r="J85" s="987"/>
      <c r="K85" s="194"/>
      <c r="L85" s="194"/>
      <c r="O85" s="963" t="s">
        <v>1059</v>
      </c>
      <c r="P85" s="840">
        <f>+'Police Wages'!I6</f>
        <v>33.159999999999997</v>
      </c>
      <c r="Q85" s="293">
        <v>1975</v>
      </c>
      <c r="R85" s="127">
        <f t="shared" si="21"/>
        <v>65491</v>
      </c>
      <c r="S85" s="237">
        <v>0.2</v>
      </c>
      <c r="T85" s="237"/>
      <c r="U85" s="127">
        <f t="shared" si="23"/>
        <v>13098.2</v>
      </c>
      <c r="W85" s="712"/>
    </row>
    <row r="86" spans="1:24" x14ac:dyDescent="0.25">
      <c r="A86" s="133">
        <v>42094</v>
      </c>
      <c r="B86" s="61" t="s">
        <v>2116</v>
      </c>
      <c r="C86" s="71"/>
      <c r="D86" s="987"/>
      <c r="E86" s="987"/>
      <c r="F86" s="987"/>
      <c r="G86" s="987"/>
      <c r="H86" s="987"/>
      <c r="I86" s="987"/>
      <c r="J86" s="987"/>
      <c r="K86" s="194"/>
      <c r="L86" s="194"/>
      <c r="O86" s="127" t="s">
        <v>1184</v>
      </c>
      <c r="P86" s="127">
        <f>+'NAGE &amp; Non-Union Wages'!L4</f>
        <v>20.62</v>
      </c>
      <c r="Q86" s="293">
        <v>815</v>
      </c>
      <c r="R86" s="127">
        <f t="shared" si="21"/>
        <v>16805.3</v>
      </c>
      <c r="S86" s="127"/>
      <c r="T86" s="127"/>
      <c r="U86" s="71"/>
      <c r="V86" s="1081">
        <v>42094</v>
      </c>
      <c r="W86" s="712">
        <v>9</v>
      </c>
      <c r="X86">
        <v>300</v>
      </c>
    </row>
    <row r="87" spans="1:24" x14ac:dyDescent="0.25">
      <c r="A87" s="703"/>
      <c r="B87" s="4"/>
      <c r="C87" s="23"/>
      <c r="D87" s="23"/>
      <c r="E87" s="194"/>
      <c r="F87" s="194"/>
      <c r="G87" s="194"/>
      <c r="H87" s="194"/>
      <c r="I87" s="23"/>
      <c r="J87" s="23"/>
      <c r="K87" s="194"/>
      <c r="L87" s="194"/>
      <c r="O87" s="23"/>
      <c r="P87" s="23"/>
      <c r="Q87" s="23"/>
      <c r="R87" s="25"/>
      <c r="S87" s="23"/>
      <c r="T87" s="23"/>
      <c r="U87" s="659">
        <f>SUM(U68:U85)</f>
        <v>146941.10499999998</v>
      </c>
      <c r="W87" s="712"/>
    </row>
    <row r="88" spans="1:24" x14ac:dyDescent="0.25">
      <c r="C88" s="194"/>
      <c r="D88" s="194"/>
      <c r="E88" s="194"/>
      <c r="F88" s="194"/>
      <c r="G88" s="194"/>
      <c r="H88" s="194"/>
      <c r="I88" s="194"/>
      <c r="J88" s="194"/>
      <c r="K88" s="194"/>
      <c r="L88" s="194"/>
      <c r="O88" s="4"/>
      <c r="P88" s="4"/>
      <c r="Q88" s="4"/>
      <c r="R88" s="23"/>
      <c r="S88" s="23"/>
      <c r="T88" s="23"/>
      <c r="U88" s="23"/>
      <c r="V88"/>
    </row>
    <row r="89" spans="1:24" ht="13.8" thickBot="1" x14ac:dyDescent="0.3">
      <c r="C89" s="194"/>
      <c r="D89" s="194"/>
      <c r="E89" s="194"/>
      <c r="F89" s="194"/>
      <c r="G89" s="194"/>
      <c r="H89" s="194"/>
      <c r="I89" s="194"/>
      <c r="J89" s="194"/>
      <c r="K89" s="194"/>
      <c r="L89" s="194"/>
      <c r="O89" s="4"/>
      <c r="P89" s="4"/>
      <c r="Q89" s="4"/>
      <c r="R89" s="23"/>
      <c r="S89" s="23"/>
      <c r="T89" s="23"/>
      <c r="U89" s="23"/>
      <c r="V89"/>
    </row>
    <row r="90" spans="1:24" ht="13.8" thickTop="1" x14ac:dyDescent="0.25">
      <c r="A90" s="718"/>
      <c r="B90" s="349" t="s">
        <v>1962</v>
      </c>
      <c r="C90" s="350" t="s">
        <v>256</v>
      </c>
      <c r="D90" s="351" t="s">
        <v>256</v>
      </c>
      <c r="E90" s="351" t="s">
        <v>256</v>
      </c>
      <c r="F90" s="982"/>
      <c r="G90" s="982"/>
      <c r="H90" s="982"/>
      <c r="I90" s="982"/>
      <c r="J90" s="982"/>
      <c r="K90" s="982"/>
      <c r="L90" s="982"/>
      <c r="O90" s="352" t="s">
        <v>255</v>
      </c>
      <c r="P90" s="353" t="s">
        <v>716</v>
      </c>
      <c r="Q90" s="354" t="s">
        <v>730</v>
      </c>
      <c r="R90" s="353" t="s">
        <v>731</v>
      </c>
      <c r="S90" s="355"/>
      <c r="T90" s="550"/>
      <c r="U90" s="354"/>
    </row>
    <row r="91" spans="1:24" ht="13.8" thickBot="1" x14ac:dyDescent="0.3">
      <c r="A91" s="719" t="s">
        <v>715</v>
      </c>
      <c r="B91" s="356"/>
      <c r="C91" s="357" t="s">
        <v>243</v>
      </c>
      <c r="D91" s="357" t="s">
        <v>244</v>
      </c>
      <c r="E91" s="358" t="s">
        <v>245</v>
      </c>
      <c r="F91" s="982"/>
      <c r="G91" s="982"/>
      <c r="H91" s="982"/>
      <c r="I91" s="982"/>
      <c r="J91" s="982"/>
      <c r="K91" s="982"/>
      <c r="L91" s="982"/>
      <c r="O91" s="359" t="s">
        <v>469</v>
      </c>
      <c r="P91" s="359" t="s">
        <v>1345</v>
      </c>
      <c r="Q91" s="358" t="s">
        <v>732</v>
      </c>
      <c r="R91" s="360" t="s">
        <v>732</v>
      </c>
      <c r="S91" s="361" t="s">
        <v>733</v>
      </c>
      <c r="T91" s="551"/>
      <c r="U91" s="359"/>
    </row>
    <row r="92" spans="1:24" ht="13.8" thickTop="1" x14ac:dyDescent="0.25">
      <c r="A92" s="726">
        <v>5112</v>
      </c>
      <c r="B92" s="369" t="s">
        <v>738</v>
      </c>
      <c r="C92" s="373">
        <v>558256.29</v>
      </c>
      <c r="D92" s="365">
        <v>673834.28</v>
      </c>
      <c r="E92" s="365">
        <v>754753.01</v>
      </c>
      <c r="F92" s="982"/>
      <c r="G92" s="982"/>
      <c r="H92" s="982"/>
      <c r="I92" s="982"/>
      <c r="J92" s="982"/>
      <c r="K92" s="982"/>
      <c r="L92" s="982"/>
      <c r="O92" s="392">
        <f t="shared" ref="O92:O110" si="24">+Q9</f>
        <v>1265672</v>
      </c>
      <c r="P92" s="392">
        <f t="shared" ref="P92:P110" si="25">+S9</f>
        <v>1308691</v>
      </c>
      <c r="Q92" s="368">
        <f t="shared" ref="Q92:Q102" si="26">+P92-O92</f>
        <v>43019</v>
      </c>
      <c r="R92" s="374">
        <f t="shared" ref="R92:R102" si="27">IF(O92+P92&lt;&gt;0,IF(O92&lt;&gt;0,IF(Q92&lt;&gt;0,ROUND((+Q92/O92),4),""),1),"")</f>
        <v>3.4000000000000002E-2</v>
      </c>
      <c r="S92" s="367" t="s">
        <v>2355</v>
      </c>
      <c r="T92" s="553"/>
      <c r="U92" s="368"/>
    </row>
    <row r="93" spans="1:24" x14ac:dyDescent="0.25">
      <c r="A93" s="726">
        <v>5113</v>
      </c>
      <c r="B93" s="369" t="s">
        <v>1011</v>
      </c>
      <c r="C93" s="373">
        <v>10745.01</v>
      </c>
      <c r="D93" s="365">
        <f>105.98+10950.18</f>
        <v>11056.16</v>
      </c>
      <c r="E93" s="365">
        <v>10477.32</v>
      </c>
      <c r="F93" s="194"/>
      <c r="G93" s="194"/>
      <c r="H93" s="194"/>
      <c r="I93" s="194"/>
      <c r="J93" s="194"/>
      <c r="K93" s="194"/>
      <c r="L93" s="194"/>
      <c r="O93" s="392">
        <f t="shared" si="24"/>
        <v>15998</v>
      </c>
      <c r="P93" s="392">
        <f t="shared" si="25"/>
        <v>16805</v>
      </c>
      <c r="Q93" s="368">
        <f t="shared" si="26"/>
        <v>807</v>
      </c>
      <c r="R93" s="374">
        <f t="shared" si="27"/>
        <v>5.04E-2</v>
      </c>
      <c r="S93" s="367" t="s">
        <v>2355</v>
      </c>
      <c r="T93" s="553"/>
      <c r="U93" s="368"/>
    </row>
    <row r="94" spans="1:24" x14ac:dyDescent="0.25">
      <c r="A94" s="724">
        <v>5114</v>
      </c>
      <c r="B94" s="369" t="s">
        <v>1012</v>
      </c>
      <c r="C94" s="373">
        <f>95.03+22206.8</f>
        <v>22301.829999999998</v>
      </c>
      <c r="D94" s="373">
        <f>15705.21+1162.29</f>
        <v>16867.5</v>
      </c>
      <c r="E94" s="373">
        <v>22998.86</v>
      </c>
      <c r="F94" s="194"/>
      <c r="G94" s="194"/>
      <c r="H94" s="194"/>
      <c r="I94" s="194"/>
      <c r="J94" s="194"/>
      <c r="K94" s="194"/>
      <c r="L94" s="194"/>
      <c r="O94" s="392">
        <f t="shared" si="24"/>
        <v>16000</v>
      </c>
      <c r="P94" s="392">
        <f t="shared" si="25"/>
        <v>20000</v>
      </c>
      <c r="Q94" s="368">
        <f t="shared" si="26"/>
        <v>4000</v>
      </c>
      <c r="R94" s="374">
        <f t="shared" si="27"/>
        <v>0.25</v>
      </c>
      <c r="S94" s="367"/>
      <c r="T94" s="553"/>
      <c r="U94" s="368"/>
    </row>
    <row r="95" spans="1:24" x14ac:dyDescent="0.25">
      <c r="A95" s="724">
        <v>5132</v>
      </c>
      <c r="B95" s="369" t="s">
        <v>1013</v>
      </c>
      <c r="C95" s="373">
        <v>133928.87</v>
      </c>
      <c r="D95" s="373">
        <v>109534.24</v>
      </c>
      <c r="E95" s="373">
        <v>122687.36</v>
      </c>
      <c r="F95" s="194"/>
      <c r="G95" s="194"/>
      <c r="H95" s="194"/>
      <c r="I95" s="194"/>
      <c r="J95" s="194"/>
      <c r="K95" s="194"/>
      <c r="L95" s="194"/>
      <c r="O95" s="392">
        <f t="shared" si="24"/>
        <v>145000</v>
      </c>
      <c r="P95" s="392">
        <f t="shared" si="25"/>
        <v>150000</v>
      </c>
      <c r="Q95" s="368">
        <f t="shared" si="26"/>
        <v>5000</v>
      </c>
      <c r="R95" s="374">
        <f t="shared" si="27"/>
        <v>3.4500000000000003E-2</v>
      </c>
      <c r="S95" s="367" t="s">
        <v>2356</v>
      </c>
      <c r="T95" s="553"/>
      <c r="U95" s="368"/>
    </row>
    <row r="96" spans="1:24" x14ac:dyDescent="0.25">
      <c r="A96" s="724">
        <v>5135</v>
      </c>
      <c r="B96" s="369" t="s">
        <v>1014</v>
      </c>
      <c r="C96" s="373">
        <v>13416.61</v>
      </c>
      <c r="D96" s="373">
        <v>8222.52</v>
      </c>
      <c r="E96" s="373">
        <v>6134.34</v>
      </c>
      <c r="F96" s="194"/>
      <c r="G96" s="194"/>
      <c r="H96" s="194"/>
      <c r="I96" s="194"/>
      <c r="J96" s="194"/>
      <c r="K96" s="194"/>
      <c r="L96" s="194"/>
      <c r="O96" s="392">
        <f t="shared" si="24"/>
        <v>8000</v>
      </c>
      <c r="P96" s="392">
        <f t="shared" si="25"/>
        <v>8000</v>
      </c>
      <c r="Q96" s="368">
        <f t="shared" si="26"/>
        <v>0</v>
      </c>
      <c r="R96" s="374" t="str">
        <f t="shared" si="27"/>
        <v/>
      </c>
      <c r="S96" s="367"/>
      <c r="T96" s="553"/>
      <c r="U96" s="368"/>
    </row>
    <row r="97" spans="1:21" x14ac:dyDescent="0.25">
      <c r="A97" s="724">
        <v>5141</v>
      </c>
      <c r="B97" s="369" t="s">
        <v>1015</v>
      </c>
      <c r="C97" s="373">
        <v>76334.600000000006</v>
      </c>
      <c r="D97" s="373">
        <v>84591.45</v>
      </c>
      <c r="E97" s="373">
        <v>89808.42</v>
      </c>
      <c r="F97" s="194"/>
      <c r="G97" s="194"/>
      <c r="H97" s="194"/>
      <c r="I97" s="194"/>
      <c r="J97" s="194"/>
      <c r="K97" s="194"/>
      <c r="L97" s="194"/>
      <c r="O97" s="392">
        <f t="shared" si="24"/>
        <v>131449</v>
      </c>
      <c r="P97" s="392">
        <f t="shared" si="25"/>
        <v>146941.10499999998</v>
      </c>
      <c r="Q97" s="368">
        <f t="shared" si="26"/>
        <v>15492.104999999981</v>
      </c>
      <c r="R97" s="374">
        <f t="shared" si="27"/>
        <v>0.1179</v>
      </c>
      <c r="S97" s="367" t="s">
        <v>2552</v>
      </c>
      <c r="T97" s="553"/>
      <c r="U97" s="368"/>
    </row>
    <row r="98" spans="1:21" x14ac:dyDescent="0.25">
      <c r="A98" s="724">
        <v>5142</v>
      </c>
      <c r="B98" s="369" t="s">
        <v>1016</v>
      </c>
      <c r="C98" s="373">
        <v>9209.4</v>
      </c>
      <c r="D98" s="373">
        <v>9918.3799999999992</v>
      </c>
      <c r="E98" s="373">
        <v>10383.99</v>
      </c>
      <c r="F98" s="194"/>
      <c r="G98" s="194"/>
      <c r="H98" s="194"/>
      <c r="I98" s="194"/>
      <c r="J98" s="194"/>
      <c r="K98" s="194"/>
      <c r="L98" s="194"/>
      <c r="O98" s="392">
        <f t="shared" si="24"/>
        <v>20000</v>
      </c>
      <c r="P98" s="392">
        <f t="shared" si="25"/>
        <v>20000</v>
      </c>
      <c r="Q98" s="368">
        <f t="shared" si="26"/>
        <v>0</v>
      </c>
      <c r="R98" s="374" t="str">
        <f t="shared" si="27"/>
        <v/>
      </c>
      <c r="S98" s="367"/>
      <c r="T98" s="553"/>
      <c r="U98" s="368"/>
    </row>
    <row r="99" spans="1:21" x14ac:dyDescent="0.25">
      <c r="A99" s="724">
        <v>5143</v>
      </c>
      <c r="B99" s="369" t="s">
        <v>1017</v>
      </c>
      <c r="C99" s="373">
        <v>36513.300000000003</v>
      </c>
      <c r="D99" s="373">
        <v>45805.83</v>
      </c>
      <c r="E99" s="373">
        <v>52853.36</v>
      </c>
      <c r="F99" s="194"/>
      <c r="G99" s="194"/>
      <c r="H99" s="194"/>
      <c r="I99" s="194"/>
      <c r="J99" s="194"/>
      <c r="K99" s="194"/>
      <c r="L99" s="194"/>
      <c r="O99" s="392">
        <f t="shared" si="24"/>
        <v>72095</v>
      </c>
      <c r="P99" s="392">
        <f t="shared" si="25"/>
        <v>73000</v>
      </c>
      <c r="Q99" s="368">
        <f t="shared" si="26"/>
        <v>905</v>
      </c>
      <c r="R99" s="374">
        <f t="shared" si="27"/>
        <v>1.26E-2</v>
      </c>
      <c r="S99" s="367" t="s">
        <v>2356</v>
      </c>
      <c r="T99" s="553"/>
      <c r="U99" s="368"/>
    </row>
    <row r="100" spans="1:21" x14ac:dyDescent="0.25">
      <c r="A100" s="724">
        <v>5144</v>
      </c>
      <c r="B100" s="369" t="s">
        <v>27</v>
      </c>
      <c r="C100" s="373">
        <v>3200</v>
      </c>
      <c r="D100" s="373">
        <v>3200</v>
      </c>
      <c r="E100" s="373">
        <v>2900</v>
      </c>
      <c r="F100" s="194"/>
      <c r="G100" s="194"/>
      <c r="H100" s="194"/>
      <c r="I100" s="194"/>
      <c r="J100" s="194"/>
      <c r="K100" s="194"/>
      <c r="L100" s="194"/>
      <c r="O100" s="392">
        <f t="shared" si="24"/>
        <v>700</v>
      </c>
      <c r="P100" s="392">
        <f t="shared" si="25"/>
        <v>1000</v>
      </c>
      <c r="Q100" s="368">
        <f t="shared" si="26"/>
        <v>300</v>
      </c>
      <c r="R100" s="374">
        <f t="shared" si="27"/>
        <v>0.42859999999999998</v>
      </c>
      <c r="S100" s="367" t="s">
        <v>2355</v>
      </c>
      <c r="T100" s="553"/>
      <c r="U100" s="368"/>
    </row>
    <row r="101" spans="1:21" x14ac:dyDescent="0.25">
      <c r="A101" s="724">
        <v>5145</v>
      </c>
      <c r="B101" s="369" t="s">
        <v>1018</v>
      </c>
      <c r="C101" s="375">
        <v>2988.86</v>
      </c>
      <c r="D101" s="375">
        <v>3254.28</v>
      </c>
      <c r="E101" s="375">
        <v>3467.77</v>
      </c>
      <c r="F101" s="194"/>
      <c r="G101" s="194"/>
      <c r="H101" s="194"/>
      <c r="I101" s="194"/>
      <c r="J101" s="194"/>
      <c r="K101" s="194"/>
      <c r="L101" s="194"/>
      <c r="O101" s="392">
        <f t="shared" si="24"/>
        <v>4280</v>
      </c>
      <c r="P101" s="392">
        <f t="shared" si="25"/>
        <v>4280</v>
      </c>
      <c r="Q101" s="368">
        <f t="shared" si="26"/>
        <v>0</v>
      </c>
      <c r="R101" s="374" t="str">
        <f t="shared" si="27"/>
        <v/>
      </c>
      <c r="S101" s="367"/>
      <c r="T101" s="553"/>
      <c r="U101" s="368"/>
    </row>
    <row r="102" spans="1:21" x14ac:dyDescent="0.25">
      <c r="A102" s="724">
        <v>5147</v>
      </c>
      <c r="B102" s="369" t="s">
        <v>1019</v>
      </c>
      <c r="C102" s="375"/>
      <c r="D102" s="375"/>
      <c r="E102" s="375"/>
      <c r="F102" s="194"/>
      <c r="G102" s="194"/>
      <c r="H102" s="194"/>
      <c r="I102" s="194"/>
      <c r="J102" s="194"/>
      <c r="K102" s="194"/>
      <c r="L102" s="194"/>
      <c r="O102" s="392">
        <f t="shared" si="24"/>
        <v>4000</v>
      </c>
      <c r="P102" s="392">
        <f t="shared" si="25"/>
        <v>4000</v>
      </c>
      <c r="Q102" s="368">
        <f t="shared" si="26"/>
        <v>0</v>
      </c>
      <c r="R102" s="374" t="str">
        <f t="shared" si="27"/>
        <v/>
      </c>
      <c r="S102" s="367"/>
      <c r="T102" s="553"/>
      <c r="U102" s="368"/>
    </row>
    <row r="103" spans="1:21" x14ac:dyDescent="0.25">
      <c r="A103" s="724">
        <v>5148</v>
      </c>
      <c r="B103" s="369" t="s">
        <v>1020</v>
      </c>
      <c r="C103" s="375"/>
      <c r="D103" s="375"/>
      <c r="E103" s="375"/>
      <c r="F103" s="194"/>
      <c r="G103" s="194"/>
      <c r="H103" s="194"/>
      <c r="I103" s="194"/>
      <c r="J103" s="194"/>
      <c r="K103" s="194"/>
      <c r="L103" s="194"/>
      <c r="O103" s="392">
        <f t="shared" si="24"/>
        <v>1500</v>
      </c>
      <c r="P103" s="392">
        <f t="shared" si="25"/>
        <v>1500</v>
      </c>
      <c r="Q103" s="368"/>
      <c r="R103" s="374"/>
      <c r="S103" s="367"/>
      <c r="T103" s="553"/>
      <c r="U103" s="368"/>
    </row>
    <row r="104" spans="1:21" x14ac:dyDescent="0.25">
      <c r="A104" s="724">
        <v>5149</v>
      </c>
      <c r="B104" s="369" t="s">
        <v>878</v>
      </c>
      <c r="C104" s="375"/>
      <c r="D104" s="375"/>
      <c r="E104" s="375"/>
      <c r="F104" s="194"/>
      <c r="G104" s="194"/>
      <c r="H104" s="194"/>
      <c r="I104" s="194"/>
      <c r="J104" s="194"/>
      <c r="K104" s="194"/>
      <c r="L104" s="194"/>
      <c r="O104" s="392">
        <f t="shared" si="24"/>
        <v>3000</v>
      </c>
      <c r="P104" s="392">
        <f t="shared" si="25"/>
        <v>6000</v>
      </c>
      <c r="Q104" s="368"/>
      <c r="R104" s="374"/>
      <c r="S104" s="367"/>
      <c r="T104" s="553"/>
      <c r="U104" s="368"/>
    </row>
    <row r="105" spans="1:21" x14ac:dyDescent="0.25">
      <c r="A105" s="724">
        <v>5151</v>
      </c>
      <c r="B105" s="369" t="s">
        <v>1021</v>
      </c>
      <c r="C105" s="375">
        <v>44408.6</v>
      </c>
      <c r="D105" s="375">
        <v>8051.52</v>
      </c>
      <c r="E105" s="375">
        <v>7516.41</v>
      </c>
      <c r="F105" s="194"/>
      <c r="G105" s="194"/>
      <c r="H105" s="194"/>
      <c r="I105" s="194"/>
      <c r="J105" s="194"/>
      <c r="K105" s="194"/>
      <c r="L105" s="194"/>
      <c r="O105" s="392">
        <f t="shared" si="24"/>
        <v>0</v>
      </c>
      <c r="P105" s="392">
        <f t="shared" si="25"/>
        <v>0</v>
      </c>
      <c r="Q105" s="368">
        <f t="shared" ref="Q105:Q121" si="28">+P105-O105</f>
        <v>0</v>
      </c>
      <c r="R105" s="374" t="str">
        <f t="shared" ref="R105:R121" si="29">IF(O105+P105&lt;&gt;0,IF(O105&lt;&gt;0,IF(Q105&lt;&gt;0,ROUND((+Q105/O105),4),""),1),"")</f>
        <v/>
      </c>
      <c r="S105" s="367"/>
      <c r="T105" s="553"/>
      <c r="U105" s="368"/>
    </row>
    <row r="106" spans="1:21" x14ac:dyDescent="0.25">
      <c r="A106" s="724">
        <v>5152</v>
      </c>
      <c r="B106" s="369" t="s">
        <v>1022</v>
      </c>
      <c r="C106" s="375">
        <v>4330.43</v>
      </c>
      <c r="D106" s="375">
        <v>716.25</v>
      </c>
      <c r="E106" s="375">
        <v>751.63</v>
      </c>
      <c r="F106" s="194"/>
      <c r="G106" s="194"/>
      <c r="H106" s="194"/>
      <c r="I106" s="194"/>
      <c r="J106" s="194"/>
      <c r="K106" s="194"/>
      <c r="L106" s="194"/>
      <c r="O106" s="392">
        <f t="shared" si="24"/>
        <v>0</v>
      </c>
      <c r="P106" s="392">
        <f t="shared" si="25"/>
        <v>0</v>
      </c>
      <c r="Q106" s="368">
        <f t="shared" si="28"/>
        <v>0</v>
      </c>
      <c r="R106" s="374" t="str">
        <f t="shared" si="29"/>
        <v/>
      </c>
      <c r="S106" s="367"/>
      <c r="T106" s="553"/>
      <c r="U106" s="368"/>
    </row>
    <row r="107" spans="1:21" x14ac:dyDescent="0.25">
      <c r="A107" s="724">
        <v>5153</v>
      </c>
      <c r="B107" s="369" t="s">
        <v>1023</v>
      </c>
      <c r="C107" s="375">
        <v>2110.3200000000002</v>
      </c>
      <c r="D107" s="375">
        <v>237.36</v>
      </c>
      <c r="E107" s="375">
        <v>249.28</v>
      </c>
      <c r="F107" s="194"/>
      <c r="G107" s="194"/>
      <c r="H107" s="194"/>
      <c r="I107" s="194"/>
      <c r="J107" s="194"/>
      <c r="K107" s="194"/>
      <c r="L107" s="194"/>
      <c r="O107" s="392">
        <f t="shared" si="24"/>
        <v>0</v>
      </c>
      <c r="P107" s="392">
        <f t="shared" si="25"/>
        <v>0</v>
      </c>
      <c r="Q107" s="368">
        <f t="shared" si="28"/>
        <v>0</v>
      </c>
      <c r="R107" s="374" t="str">
        <f t="shared" si="29"/>
        <v/>
      </c>
      <c r="S107" s="367"/>
      <c r="T107" s="553"/>
      <c r="U107" s="368"/>
    </row>
    <row r="108" spans="1:21" x14ac:dyDescent="0.25">
      <c r="A108" s="724">
        <v>5191</v>
      </c>
      <c r="B108" s="369" t="s">
        <v>1024</v>
      </c>
      <c r="C108" s="375">
        <v>1250</v>
      </c>
      <c r="D108" s="375">
        <v>1250</v>
      </c>
      <c r="E108" s="375">
        <v>2000</v>
      </c>
      <c r="F108" s="194"/>
      <c r="G108" s="194"/>
      <c r="H108" s="194"/>
      <c r="I108" s="194"/>
      <c r="J108" s="194"/>
      <c r="K108" s="194"/>
      <c r="L108" s="194"/>
      <c r="O108" s="392">
        <f t="shared" si="24"/>
        <v>8000</v>
      </c>
      <c r="P108" s="392">
        <f t="shared" si="25"/>
        <v>8000</v>
      </c>
      <c r="Q108" s="368">
        <f t="shared" si="28"/>
        <v>0</v>
      </c>
      <c r="R108" s="374" t="str">
        <f t="shared" si="29"/>
        <v/>
      </c>
      <c r="S108" s="367"/>
      <c r="T108" s="553"/>
      <c r="U108" s="368"/>
    </row>
    <row r="109" spans="1:21" x14ac:dyDescent="0.25">
      <c r="A109" s="724">
        <v>5193</v>
      </c>
      <c r="B109" s="369" t="s">
        <v>1025</v>
      </c>
      <c r="C109" s="375"/>
      <c r="D109" s="375"/>
      <c r="E109" s="375"/>
      <c r="F109" s="194"/>
      <c r="G109" s="194"/>
      <c r="H109" s="194"/>
      <c r="I109" s="194"/>
      <c r="J109" s="194"/>
      <c r="K109" s="194"/>
      <c r="L109" s="194"/>
      <c r="O109" s="392">
        <f t="shared" si="24"/>
        <v>0</v>
      </c>
      <c r="P109" s="392">
        <f t="shared" si="25"/>
        <v>4410</v>
      </c>
      <c r="Q109" s="368">
        <f t="shared" si="28"/>
        <v>4410</v>
      </c>
      <c r="R109" s="374">
        <f t="shared" si="29"/>
        <v>1</v>
      </c>
      <c r="S109" s="367"/>
      <c r="T109" s="553"/>
      <c r="U109" s="368"/>
    </row>
    <row r="110" spans="1:21" x14ac:dyDescent="0.25">
      <c r="A110" s="724">
        <v>5195</v>
      </c>
      <c r="B110" s="369" t="s">
        <v>1026</v>
      </c>
      <c r="C110" s="375">
        <v>15543.38</v>
      </c>
      <c r="D110" s="375">
        <v>42221.279999999999</v>
      </c>
      <c r="E110" s="375">
        <v>32224.55</v>
      </c>
      <c r="F110" s="194"/>
      <c r="G110" s="194"/>
      <c r="H110" s="194"/>
      <c r="I110" s="194"/>
      <c r="J110" s="194"/>
      <c r="K110" s="194"/>
      <c r="L110" s="194"/>
      <c r="O110" s="392">
        <f t="shared" si="24"/>
        <v>45000</v>
      </c>
      <c r="P110" s="392">
        <f t="shared" si="25"/>
        <v>52000</v>
      </c>
      <c r="Q110" s="368">
        <f t="shared" si="28"/>
        <v>7000</v>
      </c>
      <c r="R110" s="374">
        <f t="shared" si="29"/>
        <v>0.15559999999999999</v>
      </c>
      <c r="S110" s="367" t="s">
        <v>2357</v>
      </c>
      <c r="T110" s="553"/>
      <c r="U110" s="368"/>
    </row>
    <row r="111" spans="1:21" x14ac:dyDescent="0.25">
      <c r="A111" s="724">
        <v>5242</v>
      </c>
      <c r="B111" s="369" t="s">
        <v>1027</v>
      </c>
      <c r="C111" s="373">
        <v>1923.55</v>
      </c>
      <c r="D111" s="373">
        <v>1658.62</v>
      </c>
      <c r="E111" s="373">
        <v>1894.84</v>
      </c>
      <c r="F111" s="194"/>
      <c r="G111" s="194"/>
      <c r="H111" s="194"/>
      <c r="I111" s="194"/>
      <c r="J111" s="194"/>
      <c r="K111" s="194"/>
      <c r="L111" s="194"/>
      <c r="O111" s="392">
        <f t="shared" ref="O111:O121" si="30">+Q30</f>
        <v>1750</v>
      </c>
      <c r="P111" s="392">
        <f t="shared" ref="P111:P121" si="31">+S30</f>
        <v>1750</v>
      </c>
      <c r="Q111" s="368">
        <f t="shared" si="28"/>
        <v>0</v>
      </c>
      <c r="R111" s="374" t="str">
        <f t="shared" si="29"/>
        <v/>
      </c>
      <c r="S111" s="367"/>
      <c r="T111" s="553"/>
      <c r="U111" s="368"/>
    </row>
    <row r="112" spans="1:21" x14ac:dyDescent="0.25">
      <c r="A112" s="724">
        <v>5247</v>
      </c>
      <c r="B112" s="369" t="s">
        <v>1028</v>
      </c>
      <c r="C112" s="373"/>
      <c r="D112" s="373"/>
      <c r="E112" s="373"/>
      <c r="F112" s="194"/>
      <c r="G112" s="194"/>
      <c r="H112" s="194"/>
      <c r="I112" s="194"/>
      <c r="J112" s="194"/>
      <c r="K112" s="194"/>
      <c r="L112" s="194"/>
      <c r="O112" s="392">
        <f t="shared" si="30"/>
        <v>31900</v>
      </c>
      <c r="P112" s="392">
        <f t="shared" si="31"/>
        <v>35500</v>
      </c>
      <c r="Q112" s="368">
        <f t="shared" si="28"/>
        <v>3600</v>
      </c>
      <c r="R112" s="374">
        <f t="shared" si="29"/>
        <v>0.1129</v>
      </c>
      <c r="S112" s="367" t="s">
        <v>2358</v>
      </c>
      <c r="T112" s="553"/>
      <c r="U112" s="368"/>
    </row>
    <row r="113" spans="1:21" x14ac:dyDescent="0.25">
      <c r="A113" s="724">
        <v>5250</v>
      </c>
      <c r="B113" s="369" t="s">
        <v>1029</v>
      </c>
      <c r="C113" s="373">
        <v>27200.82</v>
      </c>
      <c r="D113" s="373">
        <v>21469.42</v>
      </c>
      <c r="E113" s="373">
        <v>28516.33</v>
      </c>
      <c r="F113" s="194"/>
      <c r="G113" s="194"/>
      <c r="H113" s="194"/>
      <c r="I113" s="194"/>
      <c r="J113" s="194"/>
      <c r="K113" s="194"/>
      <c r="L113" s="194"/>
      <c r="O113" s="392">
        <f t="shared" si="30"/>
        <v>15500</v>
      </c>
      <c r="P113" s="392">
        <f t="shared" si="31"/>
        <v>16000</v>
      </c>
      <c r="Q113" s="368">
        <f t="shared" si="28"/>
        <v>500</v>
      </c>
      <c r="R113" s="374">
        <f t="shared" si="29"/>
        <v>3.2300000000000002E-2</v>
      </c>
      <c r="S113" s="367" t="s">
        <v>2359</v>
      </c>
      <c r="T113" s="553"/>
      <c r="U113" s="368"/>
    </row>
    <row r="114" spans="1:21" x14ac:dyDescent="0.25">
      <c r="A114" s="724">
        <v>5260</v>
      </c>
      <c r="B114" s="369" t="s">
        <v>1030</v>
      </c>
      <c r="C114" s="380"/>
      <c r="D114" s="380"/>
      <c r="E114" s="380"/>
      <c r="F114" s="194"/>
      <c r="G114" s="194"/>
      <c r="H114" s="194"/>
      <c r="I114" s="194"/>
      <c r="J114" s="194"/>
      <c r="K114" s="194"/>
      <c r="L114" s="194"/>
      <c r="O114" s="392">
        <f t="shared" si="30"/>
        <v>1360</v>
      </c>
      <c r="P114" s="392">
        <f t="shared" si="31"/>
        <v>1360</v>
      </c>
      <c r="Q114" s="368">
        <f t="shared" si="28"/>
        <v>0</v>
      </c>
      <c r="R114" s="374" t="str">
        <f t="shared" si="29"/>
        <v/>
      </c>
      <c r="S114" s="367"/>
      <c r="T114" s="553"/>
      <c r="U114" s="368"/>
    </row>
    <row r="115" spans="1:21" x14ac:dyDescent="0.25">
      <c r="A115" s="724">
        <v>5314</v>
      </c>
      <c r="B115" s="369" t="s">
        <v>1031</v>
      </c>
      <c r="C115" s="380"/>
      <c r="D115" s="380"/>
      <c r="E115" s="380"/>
      <c r="F115" s="194"/>
      <c r="G115" s="194"/>
      <c r="H115" s="194"/>
      <c r="I115" s="194"/>
      <c r="J115" s="194"/>
      <c r="K115" s="194"/>
      <c r="L115" s="194"/>
      <c r="O115" s="392">
        <f t="shared" si="30"/>
        <v>6000</v>
      </c>
      <c r="P115" s="392">
        <f t="shared" si="31"/>
        <v>6000</v>
      </c>
      <c r="Q115" s="368">
        <f t="shared" si="28"/>
        <v>0</v>
      </c>
      <c r="R115" s="374" t="str">
        <f t="shared" si="29"/>
        <v/>
      </c>
      <c r="S115" s="368"/>
      <c r="T115" s="368"/>
      <c r="U115" s="368"/>
    </row>
    <row r="116" spans="1:21" x14ac:dyDescent="0.25">
      <c r="A116" s="724">
        <v>5315</v>
      </c>
      <c r="B116" s="369" t="s">
        <v>1032</v>
      </c>
      <c r="C116" s="380">
        <v>11637.02</v>
      </c>
      <c r="D116" s="380">
        <v>0</v>
      </c>
      <c r="E116" s="380">
        <v>3445.6</v>
      </c>
      <c r="F116" s="194"/>
      <c r="G116" s="194"/>
      <c r="H116" s="194"/>
      <c r="I116" s="194"/>
      <c r="J116" s="194"/>
      <c r="K116" s="194"/>
      <c r="L116" s="194"/>
      <c r="O116" s="392">
        <f t="shared" si="30"/>
        <v>0</v>
      </c>
      <c r="P116" s="392">
        <f t="shared" si="31"/>
        <v>0</v>
      </c>
      <c r="Q116" s="368">
        <f t="shared" si="28"/>
        <v>0</v>
      </c>
      <c r="R116" s="374" t="str">
        <f t="shared" si="29"/>
        <v/>
      </c>
      <c r="S116" s="367"/>
      <c r="T116" s="553"/>
      <c r="U116" s="368"/>
    </row>
    <row r="117" spans="1:21" x14ac:dyDescent="0.25">
      <c r="A117" s="724">
        <v>5318</v>
      </c>
      <c r="B117" s="369" t="s">
        <v>1033</v>
      </c>
      <c r="C117" s="373">
        <v>389.48</v>
      </c>
      <c r="D117" s="373">
        <v>414.14</v>
      </c>
      <c r="E117" s="373">
        <v>251.14</v>
      </c>
      <c r="F117" s="194"/>
      <c r="G117" s="194"/>
      <c r="H117" s="194"/>
      <c r="I117" s="194"/>
      <c r="J117" s="194"/>
      <c r="K117" s="194"/>
      <c r="L117" s="194"/>
      <c r="O117" s="392">
        <f t="shared" si="30"/>
        <v>300</v>
      </c>
      <c r="P117" s="392">
        <f t="shared" si="31"/>
        <v>100</v>
      </c>
      <c r="Q117" s="368">
        <f t="shared" si="28"/>
        <v>-200</v>
      </c>
      <c r="R117" s="374">
        <f t="shared" si="29"/>
        <v>-0.66669999999999996</v>
      </c>
      <c r="S117" s="367" t="s">
        <v>2360</v>
      </c>
      <c r="T117" s="553"/>
      <c r="U117" s="368"/>
    </row>
    <row r="118" spans="1:21" x14ac:dyDescent="0.25">
      <c r="A118" s="724">
        <v>5319</v>
      </c>
      <c r="B118" s="369" t="s">
        <v>1034</v>
      </c>
      <c r="C118" s="373">
        <v>377</v>
      </c>
      <c r="D118" s="373">
        <v>365</v>
      </c>
      <c r="E118" s="373">
        <v>225</v>
      </c>
      <c r="F118" s="194"/>
      <c r="G118" s="194"/>
      <c r="H118" s="194"/>
      <c r="I118" s="194"/>
      <c r="J118" s="194"/>
      <c r="K118" s="194"/>
      <c r="L118" s="194"/>
      <c r="O118" s="392">
        <f t="shared" si="30"/>
        <v>300</v>
      </c>
      <c r="P118" s="392">
        <f t="shared" si="31"/>
        <v>150</v>
      </c>
      <c r="Q118" s="368">
        <f t="shared" si="28"/>
        <v>-150</v>
      </c>
      <c r="R118" s="374">
        <f t="shared" si="29"/>
        <v>-0.5</v>
      </c>
      <c r="S118" s="367" t="s">
        <v>2360</v>
      </c>
      <c r="T118" s="553"/>
      <c r="U118" s="368"/>
    </row>
    <row r="119" spans="1:21" x14ac:dyDescent="0.25">
      <c r="A119" s="724">
        <v>5341</v>
      </c>
      <c r="B119" s="369" t="s">
        <v>751</v>
      </c>
      <c r="C119" s="373">
        <v>9988.5499999999993</v>
      </c>
      <c r="D119" s="373">
        <v>9838.16</v>
      </c>
      <c r="E119" s="373">
        <v>9610.84</v>
      </c>
      <c r="F119" s="194"/>
      <c r="G119" s="194"/>
      <c r="H119" s="194"/>
      <c r="I119" s="194"/>
      <c r="J119" s="194"/>
      <c r="K119" s="194"/>
      <c r="L119" s="194"/>
      <c r="O119" s="392">
        <f t="shared" si="30"/>
        <v>12000</v>
      </c>
      <c r="P119" s="392">
        <f t="shared" si="31"/>
        <v>12956</v>
      </c>
      <c r="Q119" s="368">
        <f t="shared" si="28"/>
        <v>956</v>
      </c>
      <c r="R119" s="374">
        <f t="shared" si="29"/>
        <v>7.9699999999999993E-2</v>
      </c>
      <c r="S119" s="368" t="s">
        <v>2361</v>
      </c>
      <c r="T119" s="368"/>
      <c r="U119" s="368"/>
    </row>
    <row r="120" spans="1:21" x14ac:dyDescent="0.25">
      <c r="A120" s="724">
        <v>5344</v>
      </c>
      <c r="B120" s="369" t="s">
        <v>722</v>
      </c>
      <c r="C120" s="373">
        <v>485.47</v>
      </c>
      <c r="D120" s="373">
        <v>433.04</v>
      </c>
      <c r="E120" s="373">
        <v>431.03</v>
      </c>
      <c r="F120" s="194"/>
      <c r="G120" s="194"/>
      <c r="H120" s="194"/>
      <c r="I120" s="194"/>
      <c r="J120" s="194"/>
      <c r="K120" s="194"/>
      <c r="L120" s="194"/>
      <c r="O120" s="392">
        <f t="shared" si="30"/>
        <v>550</v>
      </c>
      <c r="P120" s="392">
        <f t="shared" si="31"/>
        <v>550</v>
      </c>
      <c r="Q120" s="368">
        <f t="shared" si="28"/>
        <v>0</v>
      </c>
      <c r="R120" s="374" t="str">
        <f t="shared" si="29"/>
        <v/>
      </c>
      <c r="S120" s="368"/>
      <c r="T120" s="368"/>
      <c r="U120" s="368"/>
    </row>
    <row r="121" spans="1:21" ht="13.8" thickBot="1" x14ac:dyDescent="0.3">
      <c r="A121" s="724">
        <v>5345</v>
      </c>
      <c r="B121" s="369" t="s">
        <v>752</v>
      </c>
      <c r="C121" s="373">
        <v>60</v>
      </c>
      <c r="D121" s="373">
        <v>312.44</v>
      </c>
      <c r="E121" s="373">
        <v>834.4</v>
      </c>
      <c r="F121" s="194"/>
      <c r="G121" s="194"/>
      <c r="H121" s="194"/>
      <c r="I121" s="194"/>
      <c r="J121" s="194"/>
      <c r="K121" s="194"/>
      <c r="L121" s="194"/>
      <c r="O121" s="392">
        <f t="shared" si="30"/>
        <v>500</v>
      </c>
      <c r="P121" s="392">
        <f t="shared" si="31"/>
        <v>750</v>
      </c>
      <c r="Q121" s="368">
        <f t="shared" si="28"/>
        <v>250</v>
      </c>
      <c r="R121" s="374">
        <f t="shared" si="29"/>
        <v>0.5</v>
      </c>
      <c r="S121" s="367" t="s">
        <v>2362</v>
      </c>
      <c r="T121" s="553"/>
      <c r="U121" s="368"/>
    </row>
    <row r="122" spans="1:21" ht="13.8" thickTop="1" x14ac:dyDescent="0.25">
      <c r="A122" s="718"/>
      <c r="B122" s="349"/>
      <c r="C122" s="350" t="s">
        <v>256</v>
      </c>
      <c r="D122" s="351" t="s">
        <v>256</v>
      </c>
      <c r="E122" s="351" t="s">
        <v>256</v>
      </c>
      <c r="F122" s="194"/>
      <c r="G122" s="194"/>
      <c r="H122" s="194"/>
      <c r="I122" s="194"/>
      <c r="J122" s="194"/>
      <c r="K122" s="194"/>
      <c r="L122" s="194"/>
      <c r="O122" s="352" t="s">
        <v>255</v>
      </c>
      <c r="P122" s="353" t="s">
        <v>716</v>
      </c>
      <c r="Q122" s="354" t="s">
        <v>730</v>
      </c>
      <c r="R122" s="353" t="s">
        <v>731</v>
      </c>
      <c r="S122" s="355"/>
      <c r="T122" s="550"/>
      <c r="U122" s="354"/>
    </row>
    <row r="123" spans="1:21" ht="13.8" thickBot="1" x14ac:dyDescent="0.3">
      <c r="A123" s="719" t="s">
        <v>715</v>
      </c>
      <c r="B123" s="356"/>
      <c r="C123" s="357" t="s">
        <v>243</v>
      </c>
      <c r="D123" s="357" t="s">
        <v>244</v>
      </c>
      <c r="E123" s="358" t="s">
        <v>245</v>
      </c>
      <c r="F123" s="194"/>
      <c r="G123" s="194"/>
      <c r="H123" s="194"/>
      <c r="I123" s="194"/>
      <c r="J123" s="194"/>
      <c r="K123" s="194"/>
      <c r="L123" s="194"/>
      <c r="O123" s="359" t="s">
        <v>469</v>
      </c>
      <c r="P123" s="359" t="s">
        <v>1345</v>
      </c>
      <c r="Q123" s="358" t="s">
        <v>732</v>
      </c>
      <c r="R123" s="360" t="s">
        <v>732</v>
      </c>
      <c r="S123" s="361" t="s">
        <v>733</v>
      </c>
      <c r="T123" s="551"/>
      <c r="U123" s="359"/>
    </row>
    <row r="124" spans="1:21" ht="13.8" thickTop="1" x14ac:dyDescent="0.25">
      <c r="A124" s="724">
        <v>5350</v>
      </c>
      <c r="B124" s="369" t="s">
        <v>933</v>
      </c>
      <c r="C124" s="365">
        <v>4888</v>
      </c>
      <c r="D124" s="365">
        <v>8902</v>
      </c>
      <c r="E124" s="365">
        <v>2516</v>
      </c>
      <c r="F124" s="194"/>
      <c r="G124" s="194"/>
      <c r="H124" s="194"/>
      <c r="I124" s="194"/>
      <c r="J124" s="194"/>
      <c r="K124" s="194"/>
      <c r="L124" s="194"/>
      <c r="O124" s="372">
        <f t="shared" ref="O124:O134" si="32">+Q41</f>
        <v>2100</v>
      </c>
      <c r="P124" s="392">
        <f t="shared" ref="P124:P134" si="33">+S41</f>
        <v>2100</v>
      </c>
      <c r="Q124" s="368">
        <f t="shared" ref="Q124:Q136" si="34">+P124-O124</f>
        <v>0</v>
      </c>
      <c r="R124" s="374" t="str">
        <f t="shared" ref="R124:R136" si="35">IF(O124+P124&lt;&gt;0,IF(O124&lt;&gt;0,IF(Q124&lt;&gt;0,ROUND((+Q124/O124),4),""),1),"")</f>
        <v/>
      </c>
      <c r="S124" s="367"/>
      <c r="T124" s="553"/>
      <c r="U124" s="368"/>
    </row>
    <row r="125" spans="1:21" x14ac:dyDescent="0.25">
      <c r="A125" s="724">
        <v>5451</v>
      </c>
      <c r="B125" s="369" t="s">
        <v>1035</v>
      </c>
      <c r="C125" s="365">
        <v>151.84</v>
      </c>
      <c r="D125" s="365">
        <v>313.04000000000002</v>
      </c>
      <c r="E125" s="365">
        <v>240.78</v>
      </c>
      <c r="F125" s="194"/>
      <c r="G125" s="194"/>
      <c r="H125" s="194"/>
      <c r="I125" s="194"/>
      <c r="J125" s="194"/>
      <c r="K125" s="194"/>
      <c r="L125" s="194"/>
      <c r="O125" s="372">
        <f t="shared" si="32"/>
        <v>500</v>
      </c>
      <c r="P125" s="392">
        <f t="shared" si="33"/>
        <v>500</v>
      </c>
      <c r="Q125" s="368">
        <f t="shared" si="34"/>
        <v>0</v>
      </c>
      <c r="R125" s="374" t="str">
        <f t="shared" si="35"/>
        <v/>
      </c>
      <c r="S125" s="367"/>
      <c r="T125" s="553"/>
      <c r="U125" s="368"/>
    </row>
    <row r="126" spans="1:21" x14ac:dyDescent="0.25">
      <c r="A126" s="724">
        <v>5480</v>
      </c>
      <c r="B126" s="369" t="s">
        <v>1036</v>
      </c>
      <c r="C126" s="365">
        <f>68522.52-C127</f>
        <v>31988.520000000004</v>
      </c>
      <c r="D126" s="365">
        <v>20804.080000000002</v>
      </c>
      <c r="E126" s="365">
        <v>25094.28</v>
      </c>
      <c r="F126" s="194"/>
      <c r="G126" s="194"/>
      <c r="H126" s="194"/>
      <c r="I126" s="194"/>
      <c r="J126" s="194"/>
      <c r="K126" s="194"/>
      <c r="L126" s="194"/>
      <c r="O126" s="372">
        <f t="shared" si="32"/>
        <v>30000</v>
      </c>
      <c r="P126" s="392">
        <f t="shared" si="33"/>
        <v>32000</v>
      </c>
      <c r="Q126" s="368">
        <f t="shared" si="34"/>
        <v>2000</v>
      </c>
      <c r="R126" s="374">
        <f t="shared" si="35"/>
        <v>6.6699999999999995E-2</v>
      </c>
      <c r="S126" s="368" t="s">
        <v>2359</v>
      </c>
      <c r="T126" s="368"/>
      <c r="U126" s="368"/>
    </row>
    <row r="127" spans="1:21" x14ac:dyDescent="0.25">
      <c r="A127" s="724">
        <v>5481</v>
      </c>
      <c r="B127" s="369" t="s">
        <v>1037</v>
      </c>
      <c r="C127" s="365">
        <v>36534</v>
      </c>
      <c r="D127" s="365">
        <v>40525.1</v>
      </c>
      <c r="E127" s="365">
        <v>37560.18</v>
      </c>
      <c r="F127" s="194"/>
      <c r="G127" s="194"/>
      <c r="H127" s="194"/>
      <c r="I127" s="194"/>
      <c r="J127" s="194"/>
      <c r="K127" s="194"/>
      <c r="L127" s="194"/>
      <c r="O127" s="372">
        <f t="shared" si="32"/>
        <v>34000</v>
      </c>
      <c r="P127" s="392">
        <f t="shared" si="33"/>
        <v>34000</v>
      </c>
      <c r="Q127" s="368">
        <f t="shared" si="34"/>
        <v>0</v>
      </c>
      <c r="R127" s="374" t="str">
        <f t="shared" si="35"/>
        <v/>
      </c>
      <c r="S127" s="368"/>
      <c r="T127" s="368"/>
      <c r="U127" s="368"/>
    </row>
    <row r="128" spans="1:21" x14ac:dyDescent="0.25">
      <c r="A128" s="724">
        <v>5501</v>
      </c>
      <c r="B128" s="369" t="s">
        <v>1038</v>
      </c>
      <c r="C128" s="373"/>
      <c r="D128" s="365">
        <v>1000</v>
      </c>
      <c r="E128" s="365"/>
      <c r="F128" s="194"/>
      <c r="G128" s="194"/>
      <c r="H128" s="194"/>
      <c r="I128" s="194"/>
      <c r="J128" s="194"/>
      <c r="K128" s="194"/>
      <c r="L128" s="194"/>
      <c r="O128" s="372">
        <f t="shared" si="32"/>
        <v>0</v>
      </c>
      <c r="P128" s="392">
        <f t="shared" si="33"/>
        <v>0</v>
      </c>
      <c r="Q128" s="368">
        <f t="shared" si="34"/>
        <v>0</v>
      </c>
      <c r="R128" s="374" t="str">
        <f t="shared" si="35"/>
        <v/>
      </c>
      <c r="S128" s="367"/>
      <c r="T128" s="553"/>
      <c r="U128" s="368"/>
    </row>
    <row r="129" spans="1:22" x14ac:dyDescent="0.25">
      <c r="A129" s="724">
        <v>5580</v>
      </c>
      <c r="B129" s="369" t="s">
        <v>1039</v>
      </c>
      <c r="C129" s="373">
        <v>17942.53</v>
      </c>
      <c r="D129" s="373">
        <v>17659.2</v>
      </c>
      <c r="E129" s="373">
        <v>20857.36</v>
      </c>
      <c r="F129" s="194"/>
      <c r="G129" s="194"/>
      <c r="H129" s="194"/>
      <c r="I129" s="194"/>
      <c r="J129" s="194"/>
      <c r="K129" s="194"/>
      <c r="L129" s="194"/>
      <c r="O129" s="372">
        <f t="shared" si="32"/>
        <v>17000</v>
      </c>
      <c r="P129" s="392">
        <f t="shared" si="33"/>
        <v>17500</v>
      </c>
      <c r="Q129" s="368">
        <f t="shared" si="34"/>
        <v>500</v>
      </c>
      <c r="R129" s="374">
        <f t="shared" si="35"/>
        <v>2.9399999999999999E-2</v>
      </c>
      <c r="S129" s="368" t="s">
        <v>2359</v>
      </c>
      <c r="T129" s="553"/>
      <c r="U129" s="368"/>
    </row>
    <row r="130" spans="1:22" x14ac:dyDescent="0.25">
      <c r="A130" s="724">
        <v>5581</v>
      </c>
      <c r="B130" s="369" t="s">
        <v>755</v>
      </c>
      <c r="C130" s="373">
        <v>22.95</v>
      </c>
      <c r="D130" s="373">
        <v>144.53</v>
      </c>
      <c r="E130" s="373">
        <v>40</v>
      </c>
      <c r="F130" s="194"/>
      <c r="G130" s="194"/>
      <c r="H130" s="194"/>
      <c r="I130" s="194"/>
      <c r="J130" s="194"/>
      <c r="K130" s="194"/>
      <c r="L130" s="194"/>
      <c r="O130" s="372">
        <f t="shared" si="32"/>
        <v>600</v>
      </c>
      <c r="P130" s="392">
        <f t="shared" si="33"/>
        <v>750</v>
      </c>
      <c r="Q130" s="368">
        <f t="shared" si="34"/>
        <v>150</v>
      </c>
      <c r="R130" s="374">
        <f t="shared" si="35"/>
        <v>0.25</v>
      </c>
      <c r="S130" s="367" t="s">
        <v>2359</v>
      </c>
      <c r="T130" s="553"/>
      <c r="U130" s="368"/>
    </row>
    <row r="131" spans="1:22" x14ac:dyDescent="0.25">
      <c r="A131" s="724">
        <v>5582</v>
      </c>
      <c r="B131" s="369" t="s">
        <v>1040</v>
      </c>
      <c r="C131" s="373">
        <v>13164.59</v>
      </c>
      <c r="D131" s="373">
        <v>14612.48</v>
      </c>
      <c r="E131" s="373">
        <v>13045.12</v>
      </c>
      <c r="F131" s="194"/>
      <c r="G131" s="194"/>
      <c r="H131" s="194"/>
      <c r="I131" s="194"/>
      <c r="J131" s="194"/>
      <c r="K131" s="194"/>
      <c r="L131" s="194"/>
      <c r="O131" s="372">
        <f t="shared" si="32"/>
        <v>22200</v>
      </c>
      <c r="P131" s="392">
        <f t="shared" si="33"/>
        <v>24000</v>
      </c>
      <c r="Q131" s="368">
        <f t="shared" si="34"/>
        <v>1800</v>
      </c>
      <c r="R131" s="374">
        <f t="shared" si="35"/>
        <v>8.1100000000000005E-2</v>
      </c>
      <c r="S131" s="367" t="s">
        <v>2363</v>
      </c>
      <c r="T131" s="553"/>
      <c r="U131" s="368"/>
    </row>
    <row r="132" spans="1:22" x14ac:dyDescent="0.25">
      <c r="A132" s="724">
        <v>5585</v>
      </c>
      <c r="B132" s="369" t="s">
        <v>1041</v>
      </c>
      <c r="C132" s="365"/>
      <c r="D132" s="373">
        <v>8296</v>
      </c>
      <c r="E132" s="373">
        <v>5859.25</v>
      </c>
      <c r="F132" s="194"/>
      <c r="G132" s="194"/>
      <c r="H132" s="194"/>
      <c r="I132" s="194"/>
      <c r="J132" s="194"/>
      <c r="K132" s="194"/>
      <c r="L132" s="194"/>
      <c r="O132" s="372">
        <f t="shared" si="32"/>
        <v>6100</v>
      </c>
      <c r="P132" s="392">
        <f t="shared" si="33"/>
        <v>6350</v>
      </c>
      <c r="Q132" s="368">
        <f t="shared" si="34"/>
        <v>250</v>
      </c>
      <c r="R132" s="374">
        <f t="shared" si="35"/>
        <v>4.1000000000000002E-2</v>
      </c>
      <c r="S132" s="368" t="s">
        <v>2359</v>
      </c>
      <c r="T132" s="553"/>
      <c r="U132" s="368"/>
    </row>
    <row r="133" spans="1:22" x14ac:dyDescent="0.25">
      <c r="A133" s="724">
        <v>5710</v>
      </c>
      <c r="B133" s="369" t="s">
        <v>1068</v>
      </c>
      <c r="C133" s="365">
        <v>4091</v>
      </c>
      <c r="D133" s="373">
        <v>4364.99</v>
      </c>
      <c r="E133" s="373">
        <v>2125.65</v>
      </c>
      <c r="F133" s="194"/>
      <c r="G133" s="194"/>
      <c r="H133" s="194"/>
      <c r="I133" s="194"/>
      <c r="J133" s="194"/>
      <c r="K133" s="194"/>
      <c r="L133" s="194"/>
      <c r="O133" s="372">
        <f t="shared" si="32"/>
        <v>2500</v>
      </c>
      <c r="P133" s="392">
        <f t="shared" si="33"/>
        <v>2500</v>
      </c>
      <c r="Q133" s="368">
        <f t="shared" si="34"/>
        <v>0</v>
      </c>
      <c r="R133" s="374" t="str">
        <f t="shared" si="35"/>
        <v/>
      </c>
      <c r="S133" s="368"/>
      <c r="T133" s="553"/>
      <c r="U133" s="368"/>
    </row>
    <row r="134" spans="1:22" x14ac:dyDescent="0.25">
      <c r="A134" s="724">
        <v>5730</v>
      </c>
      <c r="B134" s="369" t="s">
        <v>759</v>
      </c>
      <c r="C134" s="373">
        <v>1430</v>
      </c>
      <c r="D134" s="365">
        <v>1708</v>
      </c>
      <c r="E134" s="365">
        <v>1620</v>
      </c>
      <c r="F134" s="194"/>
      <c r="G134" s="194"/>
      <c r="H134" s="194"/>
      <c r="I134" s="194"/>
      <c r="J134" s="194"/>
      <c r="K134" s="194"/>
      <c r="L134" s="194"/>
      <c r="O134" s="372">
        <f t="shared" si="32"/>
        <v>2700</v>
      </c>
      <c r="P134" s="392">
        <f t="shared" si="33"/>
        <v>3165</v>
      </c>
      <c r="Q134" s="368">
        <f t="shared" si="34"/>
        <v>465</v>
      </c>
      <c r="R134" s="374">
        <f t="shared" si="35"/>
        <v>0.17219999999999999</v>
      </c>
      <c r="S134" s="367" t="s">
        <v>2364</v>
      </c>
      <c r="T134" s="553"/>
      <c r="U134" s="368"/>
    </row>
    <row r="135" spans="1:22" ht="13.8" thickBot="1" x14ac:dyDescent="0.3">
      <c r="A135" s="724">
        <v>5740</v>
      </c>
      <c r="B135" s="369" t="s">
        <v>861</v>
      </c>
      <c r="C135" s="371">
        <v>11660</v>
      </c>
      <c r="D135" s="371">
        <v>15136</v>
      </c>
      <c r="E135" s="371">
        <v>18476</v>
      </c>
      <c r="F135" s="194"/>
      <c r="G135" s="194"/>
      <c r="H135" s="194"/>
      <c r="I135" s="194"/>
      <c r="J135" s="194"/>
      <c r="K135" s="194"/>
      <c r="L135" s="194"/>
      <c r="O135" s="372">
        <f>+Q53</f>
        <v>41500</v>
      </c>
      <c r="P135" s="392">
        <f>+S53</f>
        <v>45000</v>
      </c>
      <c r="Q135" s="368">
        <f t="shared" si="34"/>
        <v>3500</v>
      </c>
      <c r="R135" s="374">
        <f t="shared" si="35"/>
        <v>8.43E-2</v>
      </c>
      <c r="S135" s="367" t="s">
        <v>2365</v>
      </c>
      <c r="T135" s="553"/>
      <c r="U135" s="368"/>
    </row>
    <row r="136" spans="1:22" ht="13.8" thickBot="1" x14ac:dyDescent="0.3">
      <c r="A136" s="724">
        <v>5800</v>
      </c>
      <c r="B136" s="369" t="s">
        <v>437</v>
      </c>
      <c r="C136" s="371">
        <v>36895.4</v>
      </c>
      <c r="D136" s="371">
        <v>39483.5</v>
      </c>
      <c r="E136" s="371">
        <v>39102.5</v>
      </c>
      <c r="F136" s="194"/>
      <c r="G136" s="194"/>
      <c r="H136" s="194"/>
      <c r="I136" s="194"/>
      <c r="J136" s="194"/>
      <c r="K136" s="194"/>
      <c r="L136" s="194"/>
      <c r="O136" s="372">
        <f>+Q56</f>
        <v>68100</v>
      </c>
      <c r="P136" s="392">
        <f>+S56</f>
        <v>60000</v>
      </c>
      <c r="Q136" s="368">
        <f t="shared" si="34"/>
        <v>-8100</v>
      </c>
      <c r="R136" s="374">
        <f t="shared" si="35"/>
        <v>-0.11890000000000001</v>
      </c>
      <c r="S136" s="367"/>
      <c r="T136" s="553"/>
      <c r="U136" s="368"/>
    </row>
    <row r="138" spans="1:22" x14ac:dyDescent="0.25">
      <c r="A138" s="703"/>
      <c r="B138" s="4" t="s">
        <v>735</v>
      </c>
      <c r="C138" s="23"/>
      <c r="D138" s="23"/>
      <c r="E138" s="23"/>
      <c r="F138" s="23"/>
      <c r="G138" s="23"/>
      <c r="H138" s="194"/>
      <c r="I138" s="194"/>
      <c r="J138" s="194"/>
      <c r="K138" s="194"/>
      <c r="L138" s="194"/>
      <c r="O138" s="597">
        <f>SUM(O92:O136)</f>
        <v>2038154</v>
      </c>
      <c r="P138" s="597">
        <f>SUM(P92:P136)</f>
        <v>2127608.105</v>
      </c>
      <c r="Q138" s="25">
        <f>+P138-O138</f>
        <v>89454.104999999981</v>
      </c>
      <c r="R138" s="598">
        <f>IF(O138+P138&lt;&gt;0,IF(O138&lt;&gt;0,IF(Q138&lt;&gt;0,ROUND((+Q138/O138),4),""),1),"")</f>
        <v>4.3900000000000002E-2</v>
      </c>
    </row>
    <row r="139" spans="1:22" s="43" customFormat="1" ht="13.8" x14ac:dyDescent="0.25">
      <c r="A139" s="702"/>
      <c r="C139" s="125"/>
      <c r="D139" s="125"/>
      <c r="E139" s="125"/>
      <c r="F139" s="125"/>
      <c r="G139" s="125"/>
      <c r="H139" s="125"/>
      <c r="I139" s="125"/>
      <c r="J139" s="125"/>
      <c r="K139" s="125"/>
      <c r="L139" s="125"/>
      <c r="M139" s="125"/>
      <c r="N139" s="125"/>
      <c r="O139" s="125"/>
      <c r="P139" s="125"/>
      <c r="Q139" s="125"/>
      <c r="S139" s="125"/>
      <c r="T139" s="125"/>
      <c r="U139" s="125"/>
      <c r="V139" s="125"/>
    </row>
  </sheetData>
  <phoneticPr fontId="0" type="noConversion"/>
  <hyperlinks>
    <hyperlink ref="A1" location="'Working Budget with funding det'!A1" display="Main " xr:uid="{00000000-0004-0000-1900-000000000000}"/>
    <hyperlink ref="B1" location="'Table of Contents'!A1" display="TOC" xr:uid="{00000000-0004-0000-1900-000001000000}"/>
  </hyperlinks>
  <pageMargins left="0.75" right="0.75" top="1" bottom="1" header="0.5" footer="0.5"/>
  <pageSetup scale="86" fitToHeight="5" orientation="landscape" r:id="rId1"/>
  <headerFooter alignWithMargins="0">
    <oddFooter>&amp;L&amp;D     &amp;T&amp;C&amp;F&amp;R&amp;A  &amp;P</oddFooter>
  </headerFooter>
  <rowBreaks count="1" manualBreakCount="1">
    <brk id="89"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9F75-35BF-438F-8552-38FC224CCA1C}">
  <sheetPr>
    <tabColor rgb="FF92D050"/>
    <pageSetUpPr fitToPage="1"/>
  </sheetPr>
  <dimension ref="A4:K34"/>
  <sheetViews>
    <sheetView topLeftCell="F12" zoomScaleNormal="100" workbookViewId="0">
      <selection activeCell="J22" sqref="J22"/>
    </sheetView>
  </sheetViews>
  <sheetFormatPr defaultColWidth="9.33203125" defaultRowHeight="15.6" x14ac:dyDescent="0.3"/>
  <cols>
    <col min="1" max="4" width="19.77734375" style="883" hidden="1" customWidth="1"/>
    <col min="5" max="5" width="0" style="883" hidden="1" customWidth="1"/>
    <col min="6" max="6" width="9.33203125" style="883"/>
    <col min="7" max="7" width="32.6640625" style="883" customWidth="1"/>
    <col min="8" max="9" width="21" style="883" customWidth="1"/>
    <col min="10" max="10" width="26.109375" style="883" customWidth="1"/>
    <col min="11" max="11" width="23" style="883" customWidth="1"/>
    <col min="12" max="16384" width="9.33203125" style="883"/>
  </cols>
  <sheetData>
    <row r="4" spans="1:11" ht="18" x14ac:dyDescent="0.35">
      <c r="A4" s="882" t="s">
        <v>160</v>
      </c>
      <c r="G4" s="882" t="s">
        <v>161</v>
      </c>
      <c r="J4" s="884"/>
      <c r="K4" s="885"/>
    </row>
    <row r="5" spans="1:11" x14ac:dyDescent="0.3">
      <c r="J5" s="884"/>
      <c r="K5" s="885"/>
    </row>
    <row r="6" spans="1:11" x14ac:dyDescent="0.3">
      <c r="A6" s="886" t="s">
        <v>162</v>
      </c>
      <c r="G6" s="898" t="s">
        <v>163</v>
      </c>
      <c r="H6" s="899"/>
      <c r="I6" s="899"/>
      <c r="J6" s="900"/>
      <c r="K6" s="901"/>
    </row>
    <row r="7" spans="1:11" x14ac:dyDescent="0.3">
      <c r="A7" s="886"/>
      <c r="G7" s="902"/>
      <c r="J7" s="903"/>
      <c r="K7" s="904"/>
    </row>
    <row r="8" spans="1:11" x14ac:dyDescent="0.3">
      <c r="A8" s="887" t="s">
        <v>164</v>
      </c>
      <c r="B8" s="888">
        <v>783752</v>
      </c>
      <c r="C8" s="889" t="s">
        <v>165</v>
      </c>
      <c r="D8" s="890" t="s">
        <v>166</v>
      </c>
      <c r="G8" s="905" t="s">
        <v>2541</v>
      </c>
      <c r="J8" s="903">
        <v>21907526</v>
      </c>
      <c r="K8" s="904"/>
    </row>
    <row r="9" spans="1:11" x14ac:dyDescent="0.3">
      <c r="A9" s="891" t="s">
        <v>167</v>
      </c>
      <c r="B9" s="892">
        <v>745330</v>
      </c>
      <c r="C9" s="893">
        <f>+B8-B9</f>
        <v>38422</v>
      </c>
      <c r="D9" s="894"/>
      <c r="G9" s="905"/>
      <c r="J9" s="903"/>
      <c r="K9" s="904"/>
    </row>
    <row r="10" spans="1:11" x14ac:dyDescent="0.3">
      <c r="A10" s="891" t="s">
        <v>168</v>
      </c>
      <c r="B10" s="892">
        <v>707076</v>
      </c>
      <c r="C10" s="893">
        <f>+B8-B10</f>
        <v>76676</v>
      </c>
      <c r="D10" s="894">
        <f>+C10-C9</f>
        <v>38254</v>
      </c>
      <c r="G10" s="905" t="s">
        <v>169</v>
      </c>
      <c r="H10" s="883" t="s">
        <v>170</v>
      </c>
      <c r="I10" s="883" t="s">
        <v>171</v>
      </c>
      <c r="J10" s="903" t="s">
        <v>172</v>
      </c>
      <c r="K10" s="904" t="s">
        <v>173</v>
      </c>
    </row>
    <row r="11" spans="1:11" x14ac:dyDescent="0.3">
      <c r="A11" s="891" t="s">
        <v>174</v>
      </c>
      <c r="B11" s="892">
        <v>668631</v>
      </c>
      <c r="C11" s="893">
        <f>+B8-B11</f>
        <v>115121</v>
      </c>
      <c r="D11" s="894">
        <f>+C11-C10</f>
        <v>38445</v>
      </c>
      <c r="G11" s="905" t="s">
        <v>175</v>
      </c>
      <c r="H11" s="906">
        <v>0.56684999999999997</v>
      </c>
      <c r="J11" s="903">
        <f>(+J8*H11)</f>
        <v>12418281.1131</v>
      </c>
      <c r="K11" s="904"/>
    </row>
    <row r="12" spans="1:11" x14ac:dyDescent="0.3">
      <c r="A12" s="891" t="s">
        <v>176</v>
      </c>
      <c r="B12" s="892">
        <v>630125</v>
      </c>
      <c r="C12" s="893">
        <f>+B8-B12</f>
        <v>153627</v>
      </c>
      <c r="D12" s="894">
        <f t="shared" ref="D12:D13" si="0">+C12-C11</f>
        <v>38506</v>
      </c>
      <c r="G12" s="905" t="s">
        <v>177</v>
      </c>
      <c r="H12" s="906">
        <f>1-H11</f>
        <v>0.43315000000000003</v>
      </c>
      <c r="J12" s="903">
        <f>(+J8*H12)</f>
        <v>9489244.8869000003</v>
      </c>
      <c r="K12" s="904"/>
    </row>
    <row r="13" spans="1:11" x14ac:dyDescent="0.3">
      <c r="A13" s="891" t="s">
        <v>178</v>
      </c>
      <c r="B13" s="892">
        <v>591892</v>
      </c>
      <c r="C13" s="892">
        <f>+B8-B13</f>
        <v>191860</v>
      </c>
      <c r="D13" s="894">
        <f t="shared" si="0"/>
        <v>38233</v>
      </c>
      <c r="G13" s="905"/>
      <c r="J13" s="903"/>
      <c r="K13" s="904"/>
    </row>
    <row r="14" spans="1:11" x14ac:dyDescent="0.3">
      <c r="A14" s="895" t="s">
        <v>179</v>
      </c>
      <c r="B14" s="896"/>
      <c r="C14" s="896"/>
      <c r="D14" s="897"/>
      <c r="G14" s="905"/>
      <c r="J14" s="903"/>
      <c r="K14" s="904"/>
    </row>
    <row r="15" spans="1:11" x14ac:dyDescent="0.3">
      <c r="G15" s="902" t="s">
        <v>180</v>
      </c>
      <c r="J15" s="903"/>
      <c r="K15" s="904"/>
    </row>
    <row r="16" spans="1:11" x14ac:dyDescent="0.3">
      <c r="G16" s="905" t="s">
        <v>169</v>
      </c>
      <c r="H16" s="883" t="s">
        <v>170</v>
      </c>
      <c r="I16" s="883" t="s">
        <v>171</v>
      </c>
      <c r="J16" s="903" t="s">
        <v>172</v>
      </c>
      <c r="K16" s="904" t="s">
        <v>173</v>
      </c>
    </row>
    <row r="17" spans="7:11" x14ac:dyDescent="0.3">
      <c r="G17" s="905" t="s">
        <v>175</v>
      </c>
      <c r="H17" s="906">
        <v>0.57297799999999999</v>
      </c>
      <c r="I17" s="883">
        <v>790978605</v>
      </c>
      <c r="J17" s="903">
        <f>+J11</f>
        <v>12418281.1131</v>
      </c>
      <c r="K17" s="907">
        <f>ROUND(((+J17/I17)*1000),2)</f>
        <v>15.7</v>
      </c>
    </row>
    <row r="18" spans="7:11" x14ac:dyDescent="0.3">
      <c r="G18" s="905" t="s">
        <v>177</v>
      </c>
      <c r="H18" s="906">
        <v>0.42702200000000001</v>
      </c>
      <c r="I18" s="883">
        <f>1186195681-I17</f>
        <v>395217076</v>
      </c>
      <c r="J18" s="903">
        <f>+J12</f>
        <v>9489244.8869000003</v>
      </c>
      <c r="K18" s="907">
        <f>ROUND(((+J18/I18)*1000),2)</f>
        <v>24.01</v>
      </c>
    </row>
    <row r="19" spans="7:11" x14ac:dyDescent="0.3">
      <c r="G19" s="905"/>
      <c r="J19" s="903"/>
      <c r="K19" s="904"/>
    </row>
    <row r="20" spans="7:11" x14ac:dyDescent="0.3">
      <c r="G20" s="905"/>
      <c r="J20" s="903"/>
      <c r="K20" s="904"/>
    </row>
    <row r="21" spans="7:11" x14ac:dyDescent="0.3">
      <c r="G21" s="902" t="s">
        <v>181</v>
      </c>
      <c r="J21" s="903"/>
      <c r="K21" s="904"/>
    </row>
    <row r="22" spans="7:11" x14ac:dyDescent="0.3">
      <c r="G22" s="905" t="s">
        <v>2542</v>
      </c>
      <c r="J22" s="916">
        <v>210000</v>
      </c>
      <c r="K22" s="904" t="s">
        <v>182</v>
      </c>
    </row>
    <row r="23" spans="7:11" x14ac:dyDescent="0.3">
      <c r="G23" s="905" t="s">
        <v>175</v>
      </c>
      <c r="H23" s="906">
        <v>0.56684999999999997</v>
      </c>
      <c r="I23" s="883">
        <f>+I17</f>
        <v>790978605</v>
      </c>
      <c r="J23" s="903">
        <f>(+J22*H23)</f>
        <v>119038.49999999999</v>
      </c>
      <c r="K23" s="908">
        <f>ROUND(((+J23/I23)*1000),4)</f>
        <v>0.15049999999999999</v>
      </c>
    </row>
    <row r="24" spans="7:11" x14ac:dyDescent="0.3">
      <c r="G24" s="905" t="s">
        <v>177</v>
      </c>
      <c r="H24" s="906">
        <f>1-H23</f>
        <v>0.43315000000000003</v>
      </c>
      <c r="I24" s="883">
        <f>+I18</f>
        <v>395217076</v>
      </c>
      <c r="J24" s="903">
        <f>(+J22*H24)</f>
        <v>90961.500000000015</v>
      </c>
      <c r="K24" s="909">
        <f>ROUND(((+J24/I24)*1000),4)</f>
        <v>0.23019999999999999</v>
      </c>
    </row>
    <row r="25" spans="7:11" x14ac:dyDescent="0.3">
      <c r="G25" s="905"/>
      <c r="J25" s="903"/>
      <c r="K25" s="904"/>
    </row>
    <row r="26" spans="7:11" x14ac:dyDescent="0.3">
      <c r="G26" s="905"/>
      <c r="J26" s="903"/>
      <c r="K26" s="904"/>
    </row>
    <row r="27" spans="7:11" x14ac:dyDescent="0.3">
      <c r="G27" s="905"/>
      <c r="K27" s="910"/>
    </row>
    <row r="28" spans="7:11" x14ac:dyDescent="0.3">
      <c r="G28" s="902" t="s">
        <v>183</v>
      </c>
      <c r="K28" s="910"/>
    </row>
    <row r="29" spans="7:11" x14ac:dyDescent="0.3">
      <c r="G29" s="905" t="s">
        <v>184</v>
      </c>
      <c r="H29" s="911" t="s">
        <v>185</v>
      </c>
      <c r="I29" s="912" t="s">
        <v>186</v>
      </c>
      <c r="J29" s="911" t="s">
        <v>182</v>
      </c>
      <c r="K29" s="917" t="s">
        <v>187</v>
      </c>
    </row>
    <row r="30" spans="7:11" x14ac:dyDescent="0.3">
      <c r="G30" s="915">
        <f>J22</f>
        <v>210000</v>
      </c>
      <c r="H30" s="913">
        <v>368187</v>
      </c>
      <c r="I30" s="913">
        <f>H30/1000</f>
        <v>368.18700000000001</v>
      </c>
      <c r="J30" s="914">
        <f>K23</f>
        <v>0.15049999999999999</v>
      </c>
      <c r="K30" s="918">
        <f>I30*J30</f>
        <v>55.412143499999999</v>
      </c>
    </row>
    <row r="32" spans="7:11" x14ac:dyDescent="0.3">
      <c r="G32" s="883" t="s">
        <v>188</v>
      </c>
    </row>
    <row r="33" spans="7:7" x14ac:dyDescent="0.3">
      <c r="G33" s="883" t="s">
        <v>2143</v>
      </c>
    </row>
    <row r="34" spans="7:7" x14ac:dyDescent="0.3">
      <c r="G34" s="883" t="s">
        <v>189</v>
      </c>
    </row>
  </sheetData>
  <pageMargins left="0.7" right="0.7" top="0.75" bottom="0.75" header="0.3" footer="0.3"/>
  <pageSetup scale="81" orientation="portrait" verticalDpi="1200" r:id="rId1"/>
  <headerFooter>
    <oddHeader>&amp;C&amp;"+,Bold"&amp;16Tax Rate Impact Calculator</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Y159"/>
  <sheetViews>
    <sheetView zoomScaleNormal="100" workbookViewId="0">
      <selection activeCell="U27" sqref="A1:U27"/>
    </sheetView>
  </sheetViews>
  <sheetFormatPr defaultRowHeight="13.2" x14ac:dyDescent="0.25"/>
  <cols>
    <col min="1" max="1" width="11.6640625" style="712" customWidth="1"/>
    <col min="2" max="2" width="35.77734375" customWidth="1"/>
    <col min="3" max="3" width="14.109375" style="1" hidden="1" customWidth="1"/>
    <col min="4" max="14" width="14.77734375" style="105" hidden="1" customWidth="1"/>
    <col min="15" max="17" width="14.77734375" style="105" customWidth="1"/>
    <col min="18" max="18" width="14.77734375" customWidth="1"/>
    <col min="19" max="22" width="14.77734375" style="1" customWidth="1"/>
    <col min="23" max="25" width="14.77734375" customWidth="1"/>
    <col min="26" max="26" width="5.44140625" customWidth="1"/>
  </cols>
  <sheetData>
    <row r="1" spans="1:25" x14ac:dyDescent="0.25">
      <c r="A1" s="701" t="s">
        <v>736</v>
      </c>
      <c r="B1" s="290" t="s">
        <v>194</v>
      </c>
      <c r="D1" s="194"/>
      <c r="E1" s="194"/>
      <c r="F1" s="194"/>
      <c r="G1" s="194"/>
      <c r="H1" s="194"/>
      <c r="I1" s="194"/>
      <c r="J1" s="194"/>
      <c r="K1" s="194"/>
      <c r="L1" s="194"/>
      <c r="M1" s="194"/>
      <c r="N1" s="194"/>
      <c r="O1" s="194"/>
      <c r="P1" s="194"/>
      <c r="Q1" s="194"/>
    </row>
    <row r="2" spans="1:25" ht="13.8" x14ac:dyDescent="0.25">
      <c r="A2" s="702" t="s">
        <v>1008</v>
      </c>
      <c r="B2" s="43"/>
      <c r="D2" s="194"/>
      <c r="E2" s="125"/>
      <c r="F2" s="194"/>
      <c r="G2" s="194"/>
      <c r="H2" s="194"/>
      <c r="I2" s="125" t="s">
        <v>706</v>
      </c>
      <c r="J2" s="125"/>
      <c r="K2" s="125"/>
      <c r="L2" s="125"/>
      <c r="M2" s="125"/>
      <c r="N2" s="125"/>
      <c r="O2" s="125"/>
      <c r="P2" s="125"/>
      <c r="Q2" s="125"/>
      <c r="R2" s="58" t="s">
        <v>532</v>
      </c>
    </row>
    <row r="3" spans="1:25" ht="13.8" thickBot="1" x14ac:dyDescent="0.3">
      <c r="A3" s="703"/>
      <c r="B3" s="4"/>
      <c r="C3" s="23"/>
      <c r="D3" s="23"/>
      <c r="E3" s="23"/>
      <c r="F3" s="23"/>
      <c r="G3" s="23"/>
      <c r="H3" s="23"/>
      <c r="I3" s="23"/>
      <c r="J3" s="23"/>
      <c r="K3" s="23"/>
      <c r="L3" s="23"/>
      <c r="M3" s="23"/>
      <c r="N3" s="23"/>
      <c r="O3" s="23"/>
      <c r="P3" s="23"/>
      <c r="Q3" s="23"/>
      <c r="R3" s="4"/>
      <c r="S3" s="23"/>
      <c r="T3" s="23"/>
      <c r="U3" s="23"/>
      <c r="V3" s="4"/>
      <c r="Y3" s="4"/>
    </row>
    <row r="4" spans="1:25"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5"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5"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5"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5" ht="13.8" thickTop="1" x14ac:dyDescent="0.25">
      <c r="A8" s="708">
        <v>5112</v>
      </c>
      <c r="B8" s="185" t="s">
        <v>738</v>
      </c>
      <c r="C8" s="115">
        <v>162036.5</v>
      </c>
      <c r="D8" s="13">
        <v>177911.22</v>
      </c>
      <c r="E8" s="13">
        <v>172306.06</v>
      </c>
      <c r="F8" s="13">
        <v>184213.02</v>
      </c>
      <c r="G8" s="13">
        <v>188880.71</v>
      </c>
      <c r="H8" s="13">
        <v>191317.08</v>
      </c>
      <c r="I8" s="13">
        <v>212220.73</v>
      </c>
      <c r="J8" s="13">
        <v>203727.91</v>
      </c>
      <c r="K8" s="14">
        <v>215125</v>
      </c>
      <c r="L8" s="127">
        <v>210414.88</v>
      </c>
      <c r="M8" s="14">
        <v>223269</v>
      </c>
      <c r="N8" s="127">
        <v>230861.27</v>
      </c>
      <c r="O8" s="14">
        <f>1929+296679</f>
        <v>298608</v>
      </c>
      <c r="P8" s="13">
        <v>291863.84999999998</v>
      </c>
      <c r="Q8" s="14">
        <v>316466</v>
      </c>
      <c r="R8" s="13">
        <v>151805.54</v>
      </c>
      <c r="S8" s="14">
        <f>SUM(R36:R41)</f>
        <v>328068.26</v>
      </c>
      <c r="T8" s="19"/>
      <c r="U8" s="19"/>
    </row>
    <row r="9" spans="1:25" x14ac:dyDescent="0.25">
      <c r="A9" s="708">
        <v>5114</v>
      </c>
      <c r="B9" s="60" t="s">
        <v>739</v>
      </c>
      <c r="C9" s="115">
        <v>1658.24</v>
      </c>
      <c r="D9" s="13">
        <v>4438.01</v>
      </c>
      <c r="E9" s="13">
        <v>4948.5200000000004</v>
      </c>
      <c r="F9" s="13">
        <v>2984</v>
      </c>
      <c r="G9" s="13">
        <v>18353.25</v>
      </c>
      <c r="H9" s="13">
        <v>28209.75</v>
      </c>
      <c r="I9" s="13">
        <v>22377.5</v>
      </c>
      <c r="J9" s="13">
        <v>33291</v>
      </c>
      <c r="K9" s="14">
        <v>23000</v>
      </c>
      <c r="L9" s="13">
        <v>20821.5</v>
      </c>
      <c r="M9" s="14">
        <v>23000</v>
      </c>
      <c r="N9" s="13">
        <v>25026.75</v>
      </c>
      <c r="O9" s="14">
        <v>17000</v>
      </c>
      <c r="P9" s="13">
        <v>15200</v>
      </c>
      <c r="Q9" s="14">
        <v>17000</v>
      </c>
      <c r="R9" s="13">
        <v>2700</v>
      </c>
      <c r="S9" s="14">
        <v>17000</v>
      </c>
      <c r="T9" s="14"/>
      <c r="U9" s="14"/>
    </row>
    <row r="10" spans="1:25" x14ac:dyDescent="0.25">
      <c r="A10" s="708">
        <v>5132</v>
      </c>
      <c r="B10" s="60" t="s">
        <v>1013</v>
      </c>
      <c r="C10" s="115">
        <v>41720.449999999997</v>
      </c>
      <c r="D10" s="13">
        <v>42947.98</v>
      </c>
      <c r="E10" s="13">
        <v>61676.62</v>
      </c>
      <c r="F10" s="13">
        <v>45731.57</v>
      </c>
      <c r="G10" s="13">
        <v>33275.79</v>
      </c>
      <c r="H10" s="13">
        <v>51173.09</v>
      </c>
      <c r="I10" s="13">
        <v>35035.449999999997</v>
      </c>
      <c r="J10" s="13">
        <v>44602.27</v>
      </c>
      <c r="K10" s="14">
        <f>525+35000</f>
        <v>35525</v>
      </c>
      <c r="L10" s="13">
        <v>31759.93</v>
      </c>
      <c r="M10" s="14">
        <v>34000</v>
      </c>
      <c r="N10" s="13">
        <v>49051.41</v>
      </c>
      <c r="O10" s="14">
        <f>1472+30000</f>
        <v>31472</v>
      </c>
      <c r="P10" s="13">
        <v>40331.42</v>
      </c>
      <c r="Q10" s="14">
        <v>32000</v>
      </c>
      <c r="R10" s="13">
        <v>14996.51</v>
      </c>
      <c r="S10" s="14">
        <v>33500</v>
      </c>
      <c r="T10" s="14"/>
      <c r="U10" s="14"/>
      <c r="W10" s="325"/>
    </row>
    <row r="11" spans="1:25" x14ac:dyDescent="0.25">
      <c r="A11" s="708">
        <v>5142</v>
      </c>
      <c r="B11" s="60" t="s">
        <v>1016</v>
      </c>
      <c r="C11" s="115">
        <v>2549.08</v>
      </c>
      <c r="D11" s="13">
        <v>2494.06</v>
      </c>
      <c r="E11" s="13">
        <v>2480.2600000000002</v>
      </c>
      <c r="F11" s="13">
        <v>2517.29</v>
      </c>
      <c r="G11" s="13">
        <v>2498.44</v>
      </c>
      <c r="H11" s="13">
        <v>2503.4499999999998</v>
      </c>
      <c r="I11" s="13">
        <v>2513.67</v>
      </c>
      <c r="J11" s="13">
        <v>3376.1</v>
      </c>
      <c r="K11" s="14">
        <f>1022+2600</f>
        <v>3622</v>
      </c>
      <c r="L11" s="13">
        <v>3512.88</v>
      </c>
      <c r="M11" s="14">
        <f>1022+2600</f>
        <v>3622</v>
      </c>
      <c r="N11" s="13">
        <v>3478.3</v>
      </c>
      <c r="O11" s="14">
        <f>1460+1022+2600</f>
        <v>5082</v>
      </c>
      <c r="P11" s="13">
        <v>5214.38</v>
      </c>
      <c r="Q11" s="14">
        <f>1022+2600</f>
        <v>3622</v>
      </c>
      <c r="R11" s="13">
        <v>2667.28</v>
      </c>
      <c r="S11" s="14">
        <v>5300</v>
      </c>
      <c r="T11" s="14"/>
      <c r="U11" s="14"/>
    </row>
    <row r="12" spans="1:25" x14ac:dyDescent="0.25">
      <c r="A12" s="708">
        <v>5143</v>
      </c>
      <c r="B12" s="60" t="s">
        <v>1017</v>
      </c>
      <c r="C12" s="115">
        <v>7301.66</v>
      </c>
      <c r="D12" s="13">
        <v>8317.19</v>
      </c>
      <c r="E12" s="13">
        <v>8418.2999999999993</v>
      </c>
      <c r="F12" s="13">
        <v>9545.08</v>
      </c>
      <c r="G12" s="13">
        <v>9298.68</v>
      </c>
      <c r="H12" s="13">
        <v>8980.2800000000007</v>
      </c>
      <c r="I12" s="13">
        <v>10419.469999999999</v>
      </c>
      <c r="J12" s="13">
        <v>10129.64</v>
      </c>
      <c r="K12" s="14">
        <f>3352+9600</f>
        <v>12952</v>
      </c>
      <c r="L12" s="13">
        <v>11789</v>
      </c>
      <c r="M12" s="14">
        <v>14000</v>
      </c>
      <c r="N12" s="13">
        <v>14173.48</v>
      </c>
      <c r="O12" s="14">
        <v>14000</v>
      </c>
      <c r="P12" s="13">
        <v>16406.490000000002</v>
      </c>
      <c r="Q12" s="14">
        <v>22000</v>
      </c>
      <c r="R12" s="13">
        <v>7121.52</v>
      </c>
      <c r="S12" s="14">
        <v>22000</v>
      </c>
      <c r="T12" s="14"/>
      <c r="U12" s="14"/>
    </row>
    <row r="13" spans="1:25" x14ac:dyDescent="0.25">
      <c r="A13" s="708">
        <v>5144</v>
      </c>
      <c r="B13" s="60" t="s">
        <v>27</v>
      </c>
      <c r="C13" s="210"/>
      <c r="D13" s="35">
        <v>0</v>
      </c>
      <c r="E13" s="35"/>
      <c r="F13" s="35">
        <v>150</v>
      </c>
      <c r="G13" s="35">
        <v>1000</v>
      </c>
      <c r="H13" s="35">
        <v>1300</v>
      </c>
      <c r="I13" s="35">
        <v>1300</v>
      </c>
      <c r="J13" s="35">
        <v>1300</v>
      </c>
      <c r="K13" s="36">
        <v>1300</v>
      </c>
      <c r="L13" s="200">
        <v>1300</v>
      </c>
      <c r="M13" s="36">
        <v>1900</v>
      </c>
      <c r="N13" s="200">
        <v>1100</v>
      </c>
      <c r="O13" s="36">
        <f>100+1100</f>
        <v>1200</v>
      </c>
      <c r="P13" s="35">
        <v>1200</v>
      </c>
      <c r="Q13" s="36">
        <v>1200</v>
      </c>
      <c r="R13" s="13">
        <v>1200</v>
      </c>
      <c r="S13" s="36">
        <f>SUM(V35:V41)</f>
        <v>1500</v>
      </c>
      <c r="T13" s="14"/>
      <c r="U13" s="36"/>
    </row>
    <row r="14" spans="1:25" x14ac:dyDescent="0.25">
      <c r="A14" s="708">
        <v>5145</v>
      </c>
      <c r="B14" s="60" t="s">
        <v>1069</v>
      </c>
      <c r="C14" s="210">
        <v>230.8</v>
      </c>
      <c r="D14" s="35">
        <v>300.04000000000002</v>
      </c>
      <c r="E14" s="35">
        <v>300.04000000000002</v>
      </c>
      <c r="F14" s="35">
        <v>305.81</v>
      </c>
      <c r="G14" s="35">
        <v>300.04000000000002</v>
      </c>
      <c r="H14" s="35">
        <v>300.04000000000002</v>
      </c>
      <c r="I14" s="35">
        <v>300.04000000000002</v>
      </c>
      <c r="J14" s="35">
        <v>300.04000000000002</v>
      </c>
      <c r="K14" s="36">
        <v>300</v>
      </c>
      <c r="L14" s="35">
        <v>305.81</v>
      </c>
      <c r="M14" s="36">
        <v>300</v>
      </c>
      <c r="N14" s="35">
        <v>300.04000000000002</v>
      </c>
      <c r="O14" s="36">
        <v>300</v>
      </c>
      <c r="P14" s="35">
        <v>300.04000000000002</v>
      </c>
      <c r="Q14" s="36">
        <v>300</v>
      </c>
      <c r="R14" s="13">
        <v>144.25</v>
      </c>
      <c r="S14" s="36">
        <v>300</v>
      </c>
      <c r="T14" s="14"/>
      <c r="U14" s="36"/>
    </row>
    <row r="15" spans="1:25" hidden="1" x14ac:dyDescent="0.25">
      <c r="A15" s="708">
        <v>5146</v>
      </c>
      <c r="B15" s="60" t="s">
        <v>1070</v>
      </c>
      <c r="C15" s="210">
        <v>2172.0100000000002</v>
      </c>
      <c r="D15" s="35">
        <v>4324.59</v>
      </c>
      <c r="E15" s="35">
        <v>6508.59</v>
      </c>
      <c r="F15" s="35">
        <v>9039.4</v>
      </c>
      <c r="G15" s="35">
        <v>8737</v>
      </c>
      <c r="H15" s="35">
        <v>8626</v>
      </c>
      <c r="I15" s="35">
        <v>8706</v>
      </c>
      <c r="J15" s="35">
        <v>8792</v>
      </c>
      <c r="K15" s="36">
        <v>8760</v>
      </c>
      <c r="L15" s="35">
        <v>5808</v>
      </c>
      <c r="M15" s="36"/>
      <c r="N15" s="35"/>
      <c r="O15" s="36"/>
      <c r="P15" s="35"/>
      <c r="Q15" s="36"/>
      <c r="R15" s="127"/>
      <c r="S15" s="36"/>
      <c r="T15" s="14"/>
      <c r="U15" s="36"/>
      <c r="W15" s="325"/>
    </row>
    <row r="16" spans="1:25" x14ac:dyDescent="0.25">
      <c r="A16" s="708">
        <v>5193</v>
      </c>
      <c r="B16" s="60" t="s">
        <v>1071</v>
      </c>
      <c r="C16" s="210"/>
      <c r="D16" s="35">
        <v>1648.06</v>
      </c>
      <c r="E16" s="35"/>
      <c r="F16" s="35"/>
      <c r="G16" s="35"/>
      <c r="H16" s="35"/>
      <c r="I16" s="35"/>
      <c r="J16" s="35">
        <v>948.04</v>
      </c>
      <c r="K16" s="36"/>
      <c r="L16" s="35"/>
      <c r="M16" s="36"/>
      <c r="N16" s="35">
        <v>3595.2</v>
      </c>
      <c r="O16" s="36"/>
      <c r="P16" s="35"/>
      <c r="Q16" s="36"/>
      <c r="R16" s="13"/>
      <c r="S16" s="36"/>
      <c r="T16" s="14"/>
      <c r="U16" s="36"/>
      <c r="W16" s="325"/>
    </row>
    <row r="17" spans="1:25" hidden="1" x14ac:dyDescent="0.25">
      <c r="A17" s="708">
        <v>5194</v>
      </c>
      <c r="B17" s="60" t="s">
        <v>1072</v>
      </c>
      <c r="C17" s="210"/>
      <c r="D17" s="35">
        <v>1609.12</v>
      </c>
      <c r="E17" s="35"/>
      <c r="F17" s="35"/>
      <c r="G17" s="35"/>
      <c r="H17" s="35"/>
      <c r="I17" s="35"/>
      <c r="J17" s="35"/>
      <c r="K17" s="36"/>
      <c r="L17" s="35"/>
      <c r="M17" s="36"/>
      <c r="N17" s="35"/>
      <c r="O17" s="36"/>
      <c r="P17" s="35"/>
      <c r="Q17" s="36"/>
      <c r="R17" s="13"/>
      <c r="S17" s="36"/>
      <c r="T17" s="14"/>
      <c r="U17" s="36"/>
      <c r="W17" s="325"/>
    </row>
    <row r="18" spans="1:25" ht="13.8" thickBot="1" x14ac:dyDescent="0.3">
      <c r="A18" s="708">
        <v>5195</v>
      </c>
      <c r="B18" s="60" t="s">
        <v>1026</v>
      </c>
      <c r="C18" s="210">
        <v>850.14</v>
      </c>
      <c r="D18" s="35">
        <v>631.98</v>
      </c>
      <c r="E18" s="35">
        <v>1038.2</v>
      </c>
      <c r="F18" s="35">
        <v>1465.07</v>
      </c>
      <c r="G18" s="35">
        <v>924.2</v>
      </c>
      <c r="H18" s="35">
        <v>588.15</v>
      </c>
      <c r="I18" s="35">
        <v>2471.3200000000002</v>
      </c>
      <c r="J18" s="35">
        <v>1315.54</v>
      </c>
      <c r="K18" s="36">
        <v>3000</v>
      </c>
      <c r="L18" s="35"/>
      <c r="M18" s="36">
        <v>2600</v>
      </c>
      <c r="N18" s="35">
        <v>207.37</v>
      </c>
      <c r="O18" s="36">
        <v>2600</v>
      </c>
      <c r="P18" s="35">
        <v>1109.49</v>
      </c>
      <c r="Q18" s="36">
        <v>1500</v>
      </c>
      <c r="R18" s="13"/>
      <c r="S18" s="36">
        <v>1500</v>
      </c>
      <c r="T18" s="14"/>
      <c r="U18" s="36"/>
      <c r="W18" s="325"/>
    </row>
    <row r="19" spans="1:25" x14ac:dyDescent="0.25">
      <c r="A19" s="708"/>
      <c r="B19" s="17" t="s">
        <v>718</v>
      </c>
      <c r="C19" s="30">
        <f t="shared" ref="C19:R19" si="0">SUM(C8:C18)</f>
        <v>218518.88</v>
      </c>
      <c r="D19" s="30">
        <f t="shared" si="0"/>
        <v>244622.25000000003</v>
      </c>
      <c r="E19" s="30">
        <f t="shared" si="0"/>
        <v>257676.59</v>
      </c>
      <c r="F19" s="30">
        <f>SUM(F8:F18)</f>
        <v>255951.24</v>
      </c>
      <c r="G19" s="30">
        <f>SUM(G8:G18)</f>
        <v>263268.11000000004</v>
      </c>
      <c r="H19" s="30">
        <f>SUM(H8:H18)</f>
        <v>292997.84000000003</v>
      </c>
      <c r="I19" s="30">
        <f t="shared" si="0"/>
        <v>295344.17999999993</v>
      </c>
      <c r="J19" s="30">
        <f t="shared" si="0"/>
        <v>307782.53999999992</v>
      </c>
      <c r="K19" s="31">
        <f>SUM(K8:K18)</f>
        <v>303584</v>
      </c>
      <c r="L19" s="30">
        <f t="shared" ref="L19:P19" si="1">SUM(L8:L18)</f>
        <v>285712</v>
      </c>
      <c r="M19" s="31">
        <f t="shared" si="1"/>
        <v>302691</v>
      </c>
      <c r="N19" s="30">
        <f t="shared" si="1"/>
        <v>327793.81999999995</v>
      </c>
      <c r="O19" s="31">
        <f t="shared" si="1"/>
        <v>370262</v>
      </c>
      <c r="P19" s="30">
        <f t="shared" si="1"/>
        <v>371625.66999999993</v>
      </c>
      <c r="Q19" s="31">
        <f>SUM(Q8:Q18)</f>
        <v>394088</v>
      </c>
      <c r="R19" s="30">
        <f t="shared" si="0"/>
        <v>180635.1</v>
      </c>
      <c r="S19" s="31">
        <f>SUM(S8:S18)</f>
        <v>409168.26</v>
      </c>
      <c r="T19" s="31">
        <f>SUM(T8:T18)</f>
        <v>0</v>
      </c>
      <c r="U19" s="31">
        <f>SUM(U8:U18)</f>
        <v>0</v>
      </c>
    </row>
    <row r="20" spans="1:25" x14ac:dyDescent="0.25">
      <c r="A20" s="708"/>
      <c r="B20" s="17"/>
      <c r="C20" s="18"/>
      <c r="D20" s="18"/>
      <c r="E20" s="18"/>
      <c r="F20" s="18"/>
      <c r="G20" s="18"/>
      <c r="H20" s="18"/>
      <c r="I20" s="18"/>
      <c r="J20" s="18"/>
      <c r="K20" s="19"/>
      <c r="L20" s="18"/>
      <c r="M20" s="19"/>
      <c r="N20" s="18"/>
      <c r="O20" s="19"/>
      <c r="P20" s="18"/>
      <c r="Q20" s="19"/>
      <c r="R20" s="18"/>
      <c r="S20" s="19"/>
      <c r="T20" s="19"/>
      <c r="U20" s="19"/>
    </row>
    <row r="21" spans="1:25" hidden="1" x14ac:dyDescent="0.25">
      <c r="A21" s="708">
        <v>5310</v>
      </c>
      <c r="B21" s="12" t="s">
        <v>1073</v>
      </c>
      <c r="C21" s="18"/>
      <c r="D21" s="18"/>
      <c r="E21" s="18">
        <v>1916.6</v>
      </c>
      <c r="F21" s="18">
        <v>3000</v>
      </c>
      <c r="G21" s="18">
        <v>3000</v>
      </c>
      <c r="H21" s="18">
        <v>3000</v>
      </c>
      <c r="I21" s="18">
        <v>3000</v>
      </c>
      <c r="J21" s="18">
        <v>3000</v>
      </c>
      <c r="K21" s="19">
        <v>3000</v>
      </c>
      <c r="L21" s="18"/>
      <c r="M21" s="19"/>
      <c r="N21" s="18"/>
      <c r="O21" s="19"/>
      <c r="P21" s="18"/>
      <c r="Q21" s="19">
        <v>0</v>
      </c>
      <c r="R21" s="18"/>
      <c r="S21" s="19">
        <v>0</v>
      </c>
      <c r="T21" s="19"/>
      <c r="U21" s="19"/>
    </row>
    <row r="22" spans="1:25" x14ac:dyDescent="0.25">
      <c r="A22" s="708">
        <v>5314</v>
      </c>
      <c r="B22" s="12" t="s">
        <v>749</v>
      </c>
      <c r="C22" s="18">
        <v>338</v>
      </c>
      <c r="D22" s="18">
        <v>726.4</v>
      </c>
      <c r="E22" s="18">
        <v>554</v>
      </c>
      <c r="F22" s="18">
        <v>1043</v>
      </c>
      <c r="G22" s="18">
        <v>1401</v>
      </c>
      <c r="H22" s="18">
        <v>449.99</v>
      </c>
      <c r="I22" s="18">
        <v>0</v>
      </c>
      <c r="J22" s="18">
        <v>249</v>
      </c>
      <c r="K22" s="19">
        <v>3000</v>
      </c>
      <c r="L22" s="18">
        <v>524</v>
      </c>
      <c r="M22" s="19">
        <v>4300</v>
      </c>
      <c r="N22" s="18">
        <v>717</v>
      </c>
      <c r="O22" s="19">
        <v>4300</v>
      </c>
      <c r="P22" s="18">
        <v>125</v>
      </c>
      <c r="Q22" s="19">
        <v>1000</v>
      </c>
      <c r="R22" s="18"/>
      <c r="S22" s="19">
        <v>1000</v>
      </c>
      <c r="T22" s="19"/>
      <c r="U22" s="19"/>
      <c r="W22" s="325"/>
    </row>
    <row r="23" spans="1:25" ht="13.8" thickBot="1" x14ac:dyDescent="0.3">
      <c r="A23" s="708">
        <v>5710</v>
      </c>
      <c r="B23" s="12" t="s">
        <v>758</v>
      </c>
      <c r="C23" s="15">
        <v>973.49</v>
      </c>
      <c r="D23" s="15">
        <v>1718.11</v>
      </c>
      <c r="E23" s="15">
        <v>868.43</v>
      </c>
      <c r="F23" s="15">
        <v>1101.28</v>
      </c>
      <c r="G23" s="15">
        <v>592.77</v>
      </c>
      <c r="H23" s="15">
        <v>812.24</v>
      </c>
      <c r="I23" s="15">
        <v>1364.58</v>
      </c>
      <c r="J23" s="15">
        <v>2047.52</v>
      </c>
      <c r="K23" s="16">
        <v>2000</v>
      </c>
      <c r="L23" s="15"/>
      <c r="M23" s="16">
        <v>3300</v>
      </c>
      <c r="N23" s="15">
        <v>253.66</v>
      </c>
      <c r="O23" s="16">
        <v>3300</v>
      </c>
      <c r="P23" s="15">
        <v>509.54</v>
      </c>
      <c r="Q23" s="16">
        <v>500</v>
      </c>
      <c r="R23" s="15"/>
      <c r="S23" s="16">
        <v>600</v>
      </c>
      <c r="T23" s="16"/>
      <c r="U23" s="16"/>
      <c r="W23" s="325"/>
    </row>
    <row r="24" spans="1:25" x14ac:dyDescent="0.25">
      <c r="A24" s="708"/>
      <c r="B24" s="17" t="s">
        <v>728</v>
      </c>
      <c r="C24" s="18">
        <f t="shared" ref="C24:R24" si="2">SUM(C21:C23)</f>
        <v>1311.49</v>
      </c>
      <c r="D24" s="18">
        <f t="shared" si="2"/>
        <v>2444.5099999999998</v>
      </c>
      <c r="E24" s="18">
        <f t="shared" si="2"/>
        <v>3339.0299999999997</v>
      </c>
      <c r="F24" s="18">
        <f>SUM(F21:F23)</f>
        <v>5144.28</v>
      </c>
      <c r="G24" s="18">
        <f>SUM(G21:G23)</f>
        <v>4993.7700000000004</v>
      </c>
      <c r="H24" s="18">
        <f>SUM(H21:H23)</f>
        <v>4262.2299999999996</v>
      </c>
      <c r="I24" s="18">
        <f t="shared" si="2"/>
        <v>4364.58</v>
      </c>
      <c r="J24" s="18">
        <f t="shared" ref="J24" si="3">SUM(J21:J23)</f>
        <v>5296.52</v>
      </c>
      <c r="K24" s="209">
        <f>SUM(K21:K23)</f>
        <v>8000</v>
      </c>
      <c r="L24" s="111">
        <f t="shared" ref="L24:O24" si="4">SUM(L21:L23)</f>
        <v>524</v>
      </c>
      <c r="M24" s="209">
        <f t="shared" si="4"/>
        <v>7600</v>
      </c>
      <c r="N24" s="111">
        <f t="shared" ref="N24" si="5">SUM(N21:N23)</f>
        <v>970.66</v>
      </c>
      <c r="O24" s="209">
        <f t="shared" si="4"/>
        <v>7600</v>
      </c>
      <c r="P24" s="111">
        <f t="shared" ref="P24" si="6">SUM(P21:P23)</f>
        <v>634.54</v>
      </c>
      <c r="Q24" s="209">
        <f>SUM(Q21:Q23)</f>
        <v>1500</v>
      </c>
      <c r="R24" s="18">
        <f t="shared" si="2"/>
        <v>0</v>
      </c>
      <c r="S24" s="209">
        <f>SUM(S21:S23)</f>
        <v>1600</v>
      </c>
      <c r="T24" s="209">
        <f>+S24</f>
        <v>1600</v>
      </c>
      <c r="U24" s="209">
        <f>SUM(U21:U23)</f>
        <v>0</v>
      </c>
    </row>
    <row r="25" spans="1:25" x14ac:dyDescent="0.25">
      <c r="A25" s="708"/>
      <c r="B25" s="17"/>
      <c r="C25" s="18"/>
      <c r="D25" s="18"/>
      <c r="E25" s="18"/>
      <c r="F25" s="18"/>
      <c r="G25" s="18"/>
      <c r="H25" s="18"/>
      <c r="I25" s="18"/>
      <c r="J25" s="18"/>
      <c r="K25" s="19"/>
      <c r="L25" s="111"/>
      <c r="M25" s="19"/>
      <c r="N25" s="111"/>
      <c r="O25" s="19"/>
      <c r="P25" s="18"/>
      <c r="Q25" s="19"/>
      <c r="R25" s="18"/>
      <c r="S25" s="19"/>
      <c r="T25" s="19"/>
      <c r="U25" s="19"/>
    </row>
    <row r="26" spans="1:25" ht="13.8" thickBot="1" x14ac:dyDescent="0.3">
      <c r="A26" s="709"/>
      <c r="B26" s="20" t="s">
        <v>1074</v>
      </c>
      <c r="C26" s="21">
        <f t="shared" ref="C26:S26" si="7">+C24+C19</f>
        <v>219830.37</v>
      </c>
      <c r="D26" s="21">
        <f t="shared" si="7"/>
        <v>247066.76000000004</v>
      </c>
      <c r="E26" s="21">
        <f t="shared" si="7"/>
        <v>261015.62</v>
      </c>
      <c r="F26" s="21">
        <f t="shared" si="7"/>
        <v>261095.52</v>
      </c>
      <c r="G26" s="21">
        <f t="shared" si="7"/>
        <v>268261.88000000006</v>
      </c>
      <c r="H26" s="21">
        <f t="shared" si="7"/>
        <v>297260.07</v>
      </c>
      <c r="I26" s="21">
        <f t="shared" si="7"/>
        <v>299708.75999999995</v>
      </c>
      <c r="J26" s="21">
        <f t="shared" ref="J26" si="8">+J24+J19</f>
        <v>313079.05999999994</v>
      </c>
      <c r="K26" s="266">
        <f t="shared" ref="K26:O26" si="9">+K24+K19</f>
        <v>311584</v>
      </c>
      <c r="L26" s="255">
        <f t="shared" si="9"/>
        <v>286236</v>
      </c>
      <c r="M26" s="266">
        <f t="shared" si="9"/>
        <v>310291</v>
      </c>
      <c r="N26" s="255">
        <f t="shared" ref="N26" si="10">+N24+N19</f>
        <v>328764.47999999992</v>
      </c>
      <c r="O26" s="266">
        <f t="shared" si="9"/>
        <v>377862</v>
      </c>
      <c r="P26" s="255">
        <f t="shared" ref="P26" si="11">+P24+P19</f>
        <v>372260.2099999999</v>
      </c>
      <c r="Q26" s="266">
        <f t="shared" ref="Q26" si="12">+Q24+Q19</f>
        <v>395588</v>
      </c>
      <c r="R26" s="21">
        <f t="shared" si="7"/>
        <v>180635.1</v>
      </c>
      <c r="S26" s="266">
        <f t="shared" si="7"/>
        <v>410768.26</v>
      </c>
      <c r="T26" s="266">
        <f>+S26</f>
        <v>410768.26</v>
      </c>
      <c r="U26" s="266">
        <f>+S26</f>
        <v>410768.26</v>
      </c>
    </row>
    <row r="27" spans="1:25" ht="13.8" thickTop="1" x14ac:dyDescent="0.25">
      <c r="A27" s="703"/>
      <c r="B27" s="4"/>
      <c r="C27" s="23"/>
      <c r="D27" s="23"/>
      <c r="E27" s="23"/>
      <c r="F27" s="23"/>
      <c r="G27" s="23"/>
      <c r="H27" s="23"/>
      <c r="I27" s="23"/>
      <c r="J27" s="23"/>
      <c r="K27" s="23"/>
      <c r="L27" s="23"/>
      <c r="M27" s="23"/>
      <c r="N27" s="23"/>
      <c r="O27" s="23"/>
      <c r="P27" s="23"/>
      <c r="Q27" s="23"/>
      <c r="R27" s="181" t="s">
        <v>732</v>
      </c>
      <c r="S27" s="1001">
        <f>+S26-Q26</f>
        <v>15180.260000000009</v>
      </c>
      <c r="T27" s="1002">
        <f>ROUND((+S27/Q26),4)</f>
        <v>3.8399999999999997E-2</v>
      </c>
      <c r="U27" s="73"/>
      <c r="V27" s="23"/>
      <c r="W27" s="73"/>
      <c r="X27" s="25"/>
      <c r="Y27" s="25"/>
    </row>
    <row r="28" spans="1:25" x14ac:dyDescent="0.25">
      <c r="A28" s="768">
        <v>44944</v>
      </c>
      <c r="B28" s="4" t="s">
        <v>1978</v>
      </c>
      <c r="C28" s="23"/>
      <c r="D28" s="23"/>
      <c r="E28" s="23"/>
      <c r="F28" s="23"/>
      <c r="G28" s="23"/>
      <c r="H28" s="23"/>
      <c r="I28" s="23"/>
      <c r="J28" s="23"/>
      <c r="K28" s="23"/>
      <c r="L28" s="23"/>
      <c r="M28" s="23"/>
      <c r="N28" s="23"/>
      <c r="O28" s="23"/>
      <c r="P28" s="23"/>
      <c r="Q28" s="23"/>
      <c r="R28" s="181"/>
      <c r="S28" s="190"/>
      <c r="T28" s="190"/>
      <c r="U28" s="190"/>
      <c r="V28" s="190"/>
      <c r="W28" s="25"/>
      <c r="X28" s="25"/>
      <c r="Y28" s="25"/>
    </row>
    <row r="29" spans="1:25" x14ac:dyDescent="0.25">
      <c r="A29" s="768"/>
      <c r="B29" s="4"/>
      <c r="C29" s="23"/>
      <c r="D29" s="23"/>
      <c r="E29" s="23"/>
      <c r="F29" s="23"/>
      <c r="G29" s="23"/>
      <c r="H29" s="23"/>
      <c r="I29" s="23"/>
      <c r="J29" s="23"/>
      <c r="K29" s="23"/>
      <c r="L29" s="23"/>
      <c r="M29" s="23"/>
      <c r="N29" s="23"/>
      <c r="O29" s="23"/>
      <c r="P29" s="23"/>
      <c r="Q29" s="23"/>
      <c r="R29" s="181"/>
      <c r="S29" s="190"/>
      <c r="T29" s="190"/>
      <c r="U29" s="190"/>
      <c r="V29" s="190"/>
      <c r="W29" s="25"/>
      <c r="X29" s="25"/>
      <c r="Y29" s="25"/>
    </row>
    <row r="30" spans="1:25" x14ac:dyDescent="0.25">
      <c r="A30" s="769"/>
      <c r="B30" s="4"/>
      <c r="C30" s="97"/>
      <c r="D30" s="97"/>
      <c r="E30" s="97"/>
      <c r="F30" s="97"/>
      <c r="G30" s="97"/>
      <c r="H30" s="97"/>
      <c r="I30" s="97"/>
      <c r="J30" s="97"/>
      <c r="K30" s="97"/>
      <c r="L30" s="97"/>
      <c r="M30" s="97"/>
      <c r="N30" s="97"/>
      <c r="O30" s="97"/>
      <c r="P30" s="97"/>
      <c r="Q30" s="97"/>
      <c r="R30" s="181"/>
      <c r="S30" s="284"/>
      <c r="T30" s="284"/>
      <c r="U30" s="284"/>
      <c r="V30" s="284"/>
      <c r="W30" s="25"/>
      <c r="X30" s="25"/>
      <c r="Y30" s="25"/>
    </row>
    <row r="31" spans="1:25" x14ac:dyDescent="0.25">
      <c r="A31" s="703" t="s">
        <v>793</v>
      </c>
      <c r="B31" s="4"/>
      <c r="D31" s="194"/>
      <c r="E31" s="194"/>
      <c r="F31" s="194"/>
      <c r="G31" s="194"/>
      <c r="H31" s="194"/>
      <c r="I31" s="194"/>
      <c r="J31" s="194"/>
      <c r="K31" s="194"/>
      <c r="L31" s="194"/>
      <c r="M31" s="194"/>
      <c r="N31" s="194"/>
      <c r="O31" s="194"/>
      <c r="P31" s="194"/>
      <c r="Q31" s="194"/>
    </row>
    <row r="32" spans="1:25" ht="13.8" thickBot="1" x14ac:dyDescent="0.3">
      <c r="A32" s="703"/>
      <c r="B32" s="4"/>
      <c r="D32" s="194"/>
      <c r="E32" s="194"/>
      <c r="F32" s="194"/>
      <c r="G32" s="194"/>
      <c r="H32" s="194"/>
      <c r="I32" s="194"/>
      <c r="J32" s="194"/>
      <c r="K32" s="194"/>
      <c r="L32" s="194"/>
      <c r="M32" s="194"/>
      <c r="N32" s="194"/>
      <c r="O32" s="194"/>
      <c r="P32" s="194"/>
      <c r="Q32" s="194"/>
    </row>
    <row r="33" spans="1:22" ht="13.8" thickTop="1" x14ac:dyDescent="0.25">
      <c r="A33" s="710" t="s">
        <v>760</v>
      </c>
      <c r="B33" s="98"/>
      <c r="D33" s="194"/>
      <c r="E33" s="194"/>
      <c r="F33" s="194"/>
      <c r="G33" s="194"/>
      <c r="H33" s="194"/>
      <c r="I33" s="194"/>
      <c r="J33" s="194"/>
      <c r="K33" s="194"/>
      <c r="L33" s="194"/>
      <c r="O33" s="251" t="s">
        <v>761</v>
      </c>
      <c r="P33" s="137" t="s">
        <v>1075</v>
      </c>
      <c r="Q33" s="138" t="s">
        <v>1076</v>
      </c>
      <c r="R33" s="139" t="s">
        <v>763</v>
      </c>
      <c r="S33"/>
      <c r="T33"/>
      <c r="U33" s="187" t="s">
        <v>764</v>
      </c>
      <c r="V33"/>
    </row>
    <row r="34" spans="1:22" ht="13.8" thickBot="1" x14ac:dyDescent="0.3">
      <c r="A34" s="711" t="s">
        <v>765</v>
      </c>
      <c r="B34" s="100" t="s">
        <v>766</v>
      </c>
      <c r="D34" s="194"/>
      <c r="E34" s="194"/>
      <c r="F34" s="194"/>
      <c r="G34" s="194"/>
      <c r="H34" s="194"/>
      <c r="I34" s="194"/>
      <c r="J34" s="194"/>
      <c r="K34" s="194"/>
      <c r="L34" s="194"/>
      <c r="O34" s="269">
        <v>45474</v>
      </c>
      <c r="P34" s="140" t="s">
        <v>767</v>
      </c>
      <c r="Q34" s="141" t="s">
        <v>768</v>
      </c>
      <c r="R34" s="141" t="s">
        <v>769</v>
      </c>
      <c r="S34" s="106" t="s">
        <v>770</v>
      </c>
      <c r="T34" s="106"/>
      <c r="U34" s="106" t="s">
        <v>1345</v>
      </c>
      <c r="V34" s="106" t="s">
        <v>771</v>
      </c>
    </row>
    <row r="35" spans="1:22" ht="13.8" thickTop="1" x14ac:dyDescent="0.25">
      <c r="A35" s="746"/>
      <c r="B35" s="185" t="s">
        <v>1077</v>
      </c>
      <c r="D35" s="194"/>
      <c r="E35" s="194"/>
      <c r="F35" s="194"/>
      <c r="G35" s="194"/>
      <c r="H35" s="194"/>
      <c r="I35" s="194"/>
      <c r="J35" s="194"/>
      <c r="K35" s="194"/>
      <c r="L35" s="194"/>
      <c r="O35" s="257"/>
      <c r="P35" s="92"/>
      <c r="Q35" s="186"/>
      <c r="R35" s="186"/>
      <c r="S35"/>
      <c r="T35"/>
      <c r="U35"/>
      <c r="V35"/>
    </row>
    <row r="36" spans="1:22" x14ac:dyDescent="0.25">
      <c r="A36" s="827">
        <v>38544</v>
      </c>
      <c r="B36" s="101" t="s">
        <v>1078</v>
      </c>
      <c r="D36" s="194"/>
      <c r="E36" s="194"/>
      <c r="F36" s="194"/>
      <c r="G36" s="194"/>
      <c r="H36" s="194"/>
      <c r="I36" s="194"/>
      <c r="J36" s="194"/>
      <c r="K36" s="194"/>
      <c r="L36" s="194"/>
      <c r="O36" s="18" t="s">
        <v>774</v>
      </c>
      <c r="P36" s="18">
        <f>+'NAGE &amp; Non-Union Wages'!L8</f>
        <v>30.77</v>
      </c>
      <c r="Q36" s="19">
        <f>+'To Do and Changes'!E28</f>
        <v>2088</v>
      </c>
      <c r="R36" s="136">
        <f t="shared" ref="R36:R41" si="13">ROUND((+P36*Q36),2)</f>
        <v>64247.76</v>
      </c>
      <c r="S36" s="824">
        <v>38544</v>
      </c>
      <c r="T36" s="824"/>
      <c r="U36" s="826">
        <v>19</v>
      </c>
      <c r="V36">
        <v>900</v>
      </c>
    </row>
    <row r="37" spans="1:22" x14ac:dyDescent="0.25">
      <c r="A37" s="828" t="s">
        <v>1079</v>
      </c>
      <c r="B37" s="60" t="s">
        <v>1080</v>
      </c>
      <c r="D37" s="194"/>
      <c r="E37" s="194"/>
      <c r="F37" s="194"/>
      <c r="G37" s="194"/>
      <c r="H37" s="194"/>
      <c r="I37" s="194"/>
      <c r="J37" s="194"/>
      <c r="K37" s="194"/>
      <c r="L37" s="194"/>
      <c r="O37" s="13" t="s">
        <v>1181</v>
      </c>
      <c r="P37" s="135">
        <f>+'NAGE &amp; Non-Union Wages'!F7</f>
        <v>24.94</v>
      </c>
      <c r="Q37" s="14">
        <v>1975</v>
      </c>
      <c r="R37" s="136">
        <f t="shared" si="13"/>
        <v>49256.5</v>
      </c>
      <c r="S37" s="825" t="s">
        <v>1079</v>
      </c>
      <c r="T37" s="825"/>
      <c r="U37" s="283" t="s">
        <v>2118</v>
      </c>
      <c r="V37"/>
    </row>
    <row r="38" spans="1:22" x14ac:dyDescent="0.25">
      <c r="A38" s="828" t="s">
        <v>1082</v>
      </c>
      <c r="B38" s="60" t="s">
        <v>1083</v>
      </c>
      <c r="D38" s="194"/>
      <c r="E38" s="194"/>
      <c r="F38" s="194"/>
      <c r="G38" s="194"/>
      <c r="H38" s="194"/>
      <c r="I38" s="194"/>
      <c r="J38" s="194"/>
      <c r="K38" s="194"/>
      <c r="L38" s="194"/>
      <c r="O38" s="13" t="s">
        <v>1056</v>
      </c>
      <c r="P38" s="135">
        <f>+'NAGE &amp; Non-Union Wages'!J7</f>
        <v>27.29</v>
      </c>
      <c r="Q38" s="14">
        <v>1975</v>
      </c>
      <c r="R38" s="136">
        <f t="shared" si="13"/>
        <v>53897.75</v>
      </c>
      <c r="S38" s="825" t="s">
        <v>1082</v>
      </c>
      <c r="T38" s="825"/>
      <c r="U38" s="283" t="s">
        <v>2119</v>
      </c>
      <c r="V38">
        <v>300</v>
      </c>
    </row>
    <row r="39" spans="1:22" x14ac:dyDescent="0.25">
      <c r="A39" s="828" t="s">
        <v>1084</v>
      </c>
      <c r="B39" s="60" t="s">
        <v>1085</v>
      </c>
      <c r="D39" s="194"/>
      <c r="E39" s="194"/>
      <c r="F39" s="194"/>
      <c r="G39" s="194"/>
      <c r="H39" s="194"/>
      <c r="I39" s="194"/>
      <c r="J39" s="194"/>
      <c r="K39" s="194"/>
      <c r="L39" s="194"/>
      <c r="O39" s="13" t="s">
        <v>928</v>
      </c>
      <c r="P39" s="135">
        <f>+'NAGE &amp; Non-Union Wages'!L7</f>
        <v>28.51</v>
      </c>
      <c r="Q39" s="14">
        <v>1975</v>
      </c>
      <c r="R39" s="136">
        <f t="shared" si="13"/>
        <v>56307.25</v>
      </c>
      <c r="S39" s="825" t="s">
        <v>1084</v>
      </c>
      <c r="T39" s="825"/>
      <c r="U39" s="283" t="s">
        <v>2120</v>
      </c>
      <c r="V39">
        <v>300</v>
      </c>
    </row>
    <row r="40" spans="1:22" x14ac:dyDescent="0.25">
      <c r="A40" s="70">
        <v>44503</v>
      </c>
      <c r="B40" s="60" t="s">
        <v>1086</v>
      </c>
      <c r="D40" s="194"/>
      <c r="E40" s="194"/>
      <c r="F40" s="194"/>
      <c r="G40" s="194"/>
      <c r="H40" s="194"/>
      <c r="I40" s="194"/>
      <c r="J40" s="194"/>
      <c r="K40" s="194"/>
      <c r="L40" s="194"/>
      <c r="O40" s="127" t="s">
        <v>928</v>
      </c>
      <c r="P40" s="127">
        <f>+'NAGE &amp; Non-Union Wages'!L7</f>
        <v>28.51</v>
      </c>
      <c r="Q40" s="14">
        <v>1975</v>
      </c>
      <c r="R40" s="136">
        <f t="shared" si="13"/>
        <v>56307.25</v>
      </c>
      <c r="S40" s="189" t="s">
        <v>1087</v>
      </c>
      <c r="T40" s="189"/>
      <c r="U40" s="283" t="s">
        <v>2118</v>
      </c>
      <c r="V40"/>
    </row>
    <row r="41" spans="1:22" x14ac:dyDescent="0.25">
      <c r="A41" s="133">
        <v>44836</v>
      </c>
      <c r="B41" s="60" t="s">
        <v>1088</v>
      </c>
      <c r="D41" s="194"/>
      <c r="E41" s="194"/>
      <c r="F41" s="194"/>
      <c r="G41" s="194"/>
      <c r="H41" s="194"/>
      <c r="I41" s="194"/>
      <c r="J41" s="194"/>
      <c r="K41" s="194"/>
      <c r="L41" s="194"/>
      <c r="O41" s="134" t="s">
        <v>1081</v>
      </c>
      <c r="P41" s="135">
        <f>+'NAGE &amp; Non-Union Wages'!E7</f>
        <v>24.33</v>
      </c>
      <c r="Q41" s="14">
        <v>1975</v>
      </c>
      <c r="R41" s="136">
        <f t="shared" si="13"/>
        <v>48051.75</v>
      </c>
      <c r="S41" s="978">
        <v>44836</v>
      </c>
      <c r="T41"/>
      <c r="U41" s="979">
        <v>2</v>
      </c>
    </row>
    <row r="42" spans="1:22" x14ac:dyDescent="0.25">
      <c r="C42" s="194"/>
      <c r="D42" s="194"/>
      <c r="E42" s="194"/>
      <c r="F42" s="194"/>
      <c r="G42" s="194"/>
      <c r="H42" s="194"/>
      <c r="I42" s="194"/>
      <c r="J42" s="194"/>
      <c r="K42" s="194"/>
      <c r="L42" s="194"/>
      <c r="O42" s="194"/>
      <c r="P42" s="194"/>
      <c r="Q42" s="194"/>
      <c r="S42" s="977"/>
    </row>
    <row r="43" spans="1:22" ht="13.8" thickBot="1" x14ac:dyDescent="0.3">
      <c r="C43" s="194"/>
      <c r="D43" s="194"/>
      <c r="E43" s="194"/>
      <c r="F43" s="194"/>
      <c r="G43" s="194"/>
      <c r="H43" s="194"/>
      <c r="I43" s="194"/>
      <c r="J43" s="194"/>
      <c r="K43" s="194"/>
      <c r="L43" s="194"/>
      <c r="O43" s="194"/>
      <c r="P43" s="194"/>
      <c r="Q43" s="194"/>
    </row>
    <row r="44" spans="1:22" ht="13.8" thickTop="1" x14ac:dyDescent="0.25">
      <c r="A44" s="718"/>
      <c r="B44" s="349"/>
      <c r="C44" s="350" t="s">
        <v>256</v>
      </c>
      <c r="D44" s="351" t="s">
        <v>256</v>
      </c>
      <c r="E44" s="351" t="s">
        <v>256</v>
      </c>
      <c r="F44" s="194"/>
      <c r="G44" s="194"/>
      <c r="H44" s="194"/>
      <c r="I44" s="194"/>
      <c r="J44" s="194"/>
      <c r="K44" s="194"/>
      <c r="L44" s="194"/>
      <c r="O44" s="352" t="s">
        <v>255</v>
      </c>
      <c r="P44" s="353" t="s">
        <v>716</v>
      </c>
      <c r="Q44" s="354" t="s">
        <v>730</v>
      </c>
      <c r="R44" s="353" t="s">
        <v>731</v>
      </c>
      <c r="S44" s="355"/>
      <c r="T44" s="550"/>
      <c r="U44" s="354"/>
    </row>
    <row r="45" spans="1:22" ht="13.8" thickBot="1" x14ac:dyDescent="0.3">
      <c r="A45" s="719" t="s">
        <v>715</v>
      </c>
      <c r="B45" s="356"/>
      <c r="C45" s="357" t="s">
        <v>243</v>
      </c>
      <c r="D45" s="357" t="s">
        <v>244</v>
      </c>
      <c r="E45" s="358" t="s">
        <v>245</v>
      </c>
      <c r="F45" s="194"/>
      <c r="G45" s="194"/>
      <c r="H45" s="194"/>
      <c r="I45" s="194"/>
      <c r="J45" s="194"/>
      <c r="K45" s="194"/>
      <c r="L45" s="194"/>
      <c r="O45" s="359" t="s">
        <v>469</v>
      </c>
      <c r="P45" s="359" t="s">
        <v>1345</v>
      </c>
      <c r="Q45" s="358" t="s">
        <v>732</v>
      </c>
      <c r="R45" s="360" t="s">
        <v>732</v>
      </c>
      <c r="S45" s="361" t="s">
        <v>733</v>
      </c>
      <c r="T45" s="551"/>
      <c r="U45" s="359"/>
    </row>
    <row r="46" spans="1:22" ht="13.8" thickTop="1" x14ac:dyDescent="0.25">
      <c r="A46" s="724">
        <v>5112</v>
      </c>
      <c r="B46" s="369" t="s">
        <v>738</v>
      </c>
      <c r="C46" s="373">
        <v>162036.5</v>
      </c>
      <c r="D46" s="373">
        <v>177911.22</v>
      </c>
      <c r="E46" s="373">
        <v>172306.06</v>
      </c>
      <c r="F46" s="194"/>
      <c r="G46" s="194"/>
      <c r="H46" s="194"/>
      <c r="I46" s="194"/>
      <c r="J46" s="194"/>
      <c r="K46" s="194"/>
      <c r="L46" s="194"/>
      <c r="O46" s="372">
        <f t="shared" ref="O46:O54" si="14">+Q8</f>
        <v>316466</v>
      </c>
      <c r="P46" s="393">
        <f t="shared" ref="P46:P56" si="15">+S8</f>
        <v>328068.26</v>
      </c>
      <c r="Q46" s="368">
        <f t="shared" ref="Q46:Q59" si="16">+P46-O46</f>
        <v>11602.260000000009</v>
      </c>
      <c r="R46" s="374">
        <f t="shared" ref="R46:R59" si="17">IF(O46+P46&lt;&gt;0,IF(O46&lt;&gt;0,IF(Q46&lt;&gt;0,ROUND((+Q46/O46),4),""),1),"")</f>
        <v>3.6700000000000003E-2</v>
      </c>
      <c r="S46" s="367" t="s">
        <v>2355</v>
      </c>
      <c r="T46" s="553"/>
      <c r="U46" s="368"/>
    </row>
    <row r="47" spans="1:22" x14ac:dyDescent="0.25">
      <c r="A47" s="724">
        <v>5114</v>
      </c>
      <c r="B47" s="369" t="s">
        <v>739</v>
      </c>
      <c r="C47" s="373">
        <v>1658.24</v>
      </c>
      <c r="D47" s="373">
        <v>4438.01</v>
      </c>
      <c r="E47" s="373">
        <v>4948.5200000000004</v>
      </c>
      <c r="F47" s="194"/>
      <c r="G47" s="194"/>
      <c r="H47" s="194"/>
      <c r="I47" s="194"/>
      <c r="J47" s="194"/>
      <c r="K47" s="194"/>
      <c r="L47" s="194"/>
      <c r="O47" s="372">
        <f t="shared" si="14"/>
        <v>17000</v>
      </c>
      <c r="P47" s="393">
        <f t="shared" si="15"/>
        <v>17000</v>
      </c>
      <c r="Q47" s="368">
        <f t="shared" si="16"/>
        <v>0</v>
      </c>
      <c r="R47" s="374" t="str">
        <f t="shared" si="17"/>
        <v/>
      </c>
      <c r="S47" s="367"/>
      <c r="T47" s="553"/>
      <c r="U47" s="368"/>
    </row>
    <row r="48" spans="1:22" x14ac:dyDescent="0.25">
      <c r="A48" s="724">
        <v>5132</v>
      </c>
      <c r="B48" s="369" t="s">
        <v>1013</v>
      </c>
      <c r="C48" s="373">
        <v>41720.449999999997</v>
      </c>
      <c r="D48" s="373">
        <v>42947.98</v>
      </c>
      <c r="E48" s="373">
        <v>61676.62</v>
      </c>
      <c r="F48" s="194"/>
      <c r="G48" s="194"/>
      <c r="H48" s="194"/>
      <c r="I48" s="194"/>
      <c r="J48" s="194"/>
      <c r="K48" s="194"/>
      <c r="L48" s="194"/>
      <c r="O48" s="372">
        <f t="shared" si="14"/>
        <v>32000</v>
      </c>
      <c r="P48" s="393">
        <f t="shared" si="15"/>
        <v>33500</v>
      </c>
      <c r="Q48" s="368">
        <f t="shared" si="16"/>
        <v>1500</v>
      </c>
      <c r="R48" s="374">
        <f t="shared" si="17"/>
        <v>4.6899999999999997E-2</v>
      </c>
      <c r="S48" s="367" t="s">
        <v>2356</v>
      </c>
      <c r="T48" s="553"/>
      <c r="U48" s="368"/>
    </row>
    <row r="49" spans="1:22" x14ac:dyDescent="0.25">
      <c r="A49" s="724">
        <v>5142</v>
      </c>
      <c r="B49" s="369" t="s">
        <v>1016</v>
      </c>
      <c r="C49" s="373">
        <v>2549.08</v>
      </c>
      <c r="D49" s="373">
        <v>2494.06</v>
      </c>
      <c r="E49" s="373">
        <v>2480.2600000000002</v>
      </c>
      <c r="F49" s="194"/>
      <c r="G49" s="194"/>
      <c r="H49" s="194"/>
      <c r="I49" s="194"/>
      <c r="J49" s="194"/>
      <c r="K49" s="194"/>
      <c r="L49" s="194"/>
      <c r="O49" s="372">
        <f t="shared" si="14"/>
        <v>3622</v>
      </c>
      <c r="P49" s="393">
        <f t="shared" si="15"/>
        <v>5300</v>
      </c>
      <c r="Q49" s="368">
        <f t="shared" si="16"/>
        <v>1678</v>
      </c>
      <c r="R49" s="374">
        <f t="shared" si="17"/>
        <v>0.46329999999999999</v>
      </c>
      <c r="S49" s="367" t="s">
        <v>2366</v>
      </c>
      <c r="T49" s="553"/>
      <c r="U49" s="368"/>
    </row>
    <row r="50" spans="1:22" x14ac:dyDescent="0.25">
      <c r="A50" s="724">
        <v>5143</v>
      </c>
      <c r="B50" s="369" t="s">
        <v>1017</v>
      </c>
      <c r="C50" s="373">
        <v>7301.66</v>
      </c>
      <c r="D50" s="373">
        <v>8317.19</v>
      </c>
      <c r="E50" s="373">
        <v>8418.2999999999993</v>
      </c>
      <c r="F50" s="194"/>
      <c r="G50" s="194"/>
      <c r="H50" s="194"/>
      <c r="I50" s="194"/>
      <c r="J50" s="194"/>
      <c r="K50" s="194"/>
      <c r="L50" s="194"/>
      <c r="O50" s="372">
        <f t="shared" si="14"/>
        <v>22000</v>
      </c>
      <c r="P50" s="393">
        <f t="shared" si="15"/>
        <v>22000</v>
      </c>
      <c r="Q50" s="368">
        <f t="shared" si="16"/>
        <v>0</v>
      </c>
      <c r="R50" s="374" t="str">
        <f t="shared" si="17"/>
        <v/>
      </c>
      <c r="S50" s="367"/>
      <c r="T50" s="553"/>
      <c r="U50" s="368"/>
    </row>
    <row r="51" spans="1:22" x14ac:dyDescent="0.25">
      <c r="A51" s="724">
        <v>5144</v>
      </c>
      <c r="B51" s="369" t="s">
        <v>27</v>
      </c>
      <c r="C51" s="375"/>
      <c r="D51" s="375">
        <v>0</v>
      </c>
      <c r="E51" s="375"/>
      <c r="F51" s="194"/>
      <c r="G51" s="194"/>
      <c r="H51" s="194"/>
      <c r="I51" s="194"/>
      <c r="J51" s="194"/>
      <c r="K51" s="194"/>
      <c r="L51" s="194"/>
      <c r="O51" s="372">
        <f t="shared" si="14"/>
        <v>1200</v>
      </c>
      <c r="P51" s="393">
        <f t="shared" si="15"/>
        <v>1500</v>
      </c>
      <c r="Q51" s="368">
        <f t="shared" si="16"/>
        <v>300</v>
      </c>
      <c r="R51" s="374">
        <f t="shared" si="17"/>
        <v>0.25</v>
      </c>
      <c r="S51" s="367" t="s">
        <v>2355</v>
      </c>
      <c r="T51" s="553"/>
      <c r="U51" s="368"/>
    </row>
    <row r="52" spans="1:22" x14ac:dyDescent="0.25">
      <c r="A52" s="724">
        <v>5145</v>
      </c>
      <c r="B52" s="369" t="s">
        <v>1069</v>
      </c>
      <c r="C52" s="375">
        <v>230.8</v>
      </c>
      <c r="D52" s="375">
        <v>300.04000000000002</v>
      </c>
      <c r="E52" s="375">
        <v>300.04000000000002</v>
      </c>
      <c r="F52" s="194"/>
      <c r="G52" s="194"/>
      <c r="H52" s="194"/>
      <c r="I52" s="194"/>
      <c r="J52" s="194"/>
      <c r="K52" s="194"/>
      <c r="L52" s="194"/>
      <c r="O52" s="372">
        <f t="shared" si="14"/>
        <v>300</v>
      </c>
      <c r="P52" s="393">
        <f t="shared" si="15"/>
        <v>300</v>
      </c>
      <c r="Q52" s="368">
        <f t="shared" si="16"/>
        <v>0</v>
      </c>
      <c r="R52" s="374" t="str">
        <f t="shared" si="17"/>
        <v/>
      </c>
      <c r="S52" s="367"/>
      <c r="T52" s="553"/>
      <c r="U52" s="368"/>
    </row>
    <row r="53" spans="1:22" x14ac:dyDescent="0.25">
      <c r="A53" s="724">
        <v>5146</v>
      </c>
      <c r="B53" s="369" t="s">
        <v>1070</v>
      </c>
      <c r="C53" s="375">
        <v>2172.0100000000002</v>
      </c>
      <c r="D53" s="375">
        <v>4324.59</v>
      </c>
      <c r="E53" s="375">
        <v>6508.59</v>
      </c>
      <c r="F53" s="194"/>
      <c r="G53" s="194"/>
      <c r="H53" s="194"/>
      <c r="I53" s="194"/>
      <c r="J53" s="194"/>
      <c r="K53" s="194"/>
      <c r="L53" s="194"/>
      <c r="O53" s="372">
        <f t="shared" si="14"/>
        <v>0</v>
      </c>
      <c r="P53" s="393">
        <f t="shared" si="15"/>
        <v>0</v>
      </c>
      <c r="Q53" s="368">
        <f t="shared" si="16"/>
        <v>0</v>
      </c>
      <c r="R53" s="374" t="str">
        <f t="shared" si="17"/>
        <v/>
      </c>
      <c r="S53" s="367"/>
      <c r="T53" s="553"/>
      <c r="U53" s="368"/>
    </row>
    <row r="54" spans="1:22" x14ac:dyDescent="0.25">
      <c r="A54" s="724">
        <v>5193</v>
      </c>
      <c r="B54" s="369" t="s">
        <v>1071</v>
      </c>
      <c r="C54" s="375"/>
      <c r="D54" s="375">
        <v>1648.06</v>
      </c>
      <c r="E54" s="375"/>
      <c r="F54" s="194"/>
      <c r="G54" s="194"/>
      <c r="H54" s="194"/>
      <c r="I54" s="194"/>
      <c r="J54" s="194"/>
      <c r="K54" s="194"/>
      <c r="L54" s="194"/>
      <c r="O54" s="372">
        <f t="shared" si="14"/>
        <v>0</v>
      </c>
      <c r="P54" s="393">
        <f t="shared" si="15"/>
        <v>0</v>
      </c>
      <c r="Q54" s="368">
        <f t="shared" si="16"/>
        <v>0</v>
      </c>
      <c r="R54" s="374" t="str">
        <f t="shared" si="17"/>
        <v/>
      </c>
      <c r="S54" s="367"/>
      <c r="T54" s="553"/>
      <c r="U54" s="368"/>
    </row>
    <row r="55" spans="1:22" hidden="1" x14ac:dyDescent="0.25">
      <c r="A55" s="724">
        <v>5194</v>
      </c>
      <c r="B55" s="369" t="s">
        <v>1072</v>
      </c>
      <c r="C55" s="375"/>
      <c r="D55" s="375">
        <v>1609.12</v>
      </c>
      <c r="E55" s="375"/>
      <c r="F55" s="194"/>
      <c r="G55" s="194"/>
      <c r="H55" s="194"/>
      <c r="I55" s="194"/>
      <c r="J55" s="194"/>
      <c r="K55" s="194"/>
      <c r="L55" s="194"/>
      <c r="O55" s="372">
        <f>+O17</f>
        <v>0</v>
      </c>
      <c r="P55" s="393">
        <f t="shared" si="15"/>
        <v>0</v>
      </c>
      <c r="Q55" s="368">
        <f t="shared" si="16"/>
        <v>0</v>
      </c>
      <c r="R55" s="374" t="str">
        <f t="shared" si="17"/>
        <v/>
      </c>
      <c r="S55" s="367"/>
      <c r="T55" s="553"/>
      <c r="U55" s="368"/>
    </row>
    <row r="56" spans="1:22" x14ac:dyDescent="0.25">
      <c r="A56" s="724">
        <v>5195</v>
      </c>
      <c r="B56" s="369" t="s">
        <v>1026</v>
      </c>
      <c r="C56" s="375">
        <v>850.14</v>
      </c>
      <c r="D56" s="375">
        <v>631.98</v>
      </c>
      <c r="E56" s="375">
        <v>1038.2</v>
      </c>
      <c r="F56" s="194"/>
      <c r="G56" s="194"/>
      <c r="H56" s="194"/>
      <c r="I56" s="194"/>
      <c r="J56" s="194"/>
      <c r="K56" s="194"/>
      <c r="L56" s="194"/>
      <c r="O56" s="372">
        <f>+Q18</f>
        <v>1500</v>
      </c>
      <c r="P56" s="393">
        <f t="shared" si="15"/>
        <v>1500</v>
      </c>
      <c r="Q56" s="368">
        <f t="shared" si="16"/>
        <v>0</v>
      </c>
      <c r="R56" s="374" t="str">
        <f t="shared" si="17"/>
        <v/>
      </c>
      <c r="S56" s="367"/>
      <c r="T56" s="553"/>
      <c r="U56" s="368"/>
    </row>
    <row r="57" spans="1:22" x14ac:dyDescent="0.25">
      <c r="A57" s="724">
        <v>5310</v>
      </c>
      <c r="B57" s="369" t="s">
        <v>1073</v>
      </c>
      <c r="C57" s="365"/>
      <c r="D57" s="365"/>
      <c r="E57" s="365">
        <v>1916.6</v>
      </c>
      <c r="F57" s="194"/>
      <c r="G57" s="194"/>
      <c r="H57" s="194"/>
      <c r="I57" s="194"/>
      <c r="J57" s="194"/>
      <c r="K57" s="194"/>
      <c r="L57" s="194"/>
      <c r="O57" s="372">
        <f>+Q21</f>
        <v>0</v>
      </c>
      <c r="P57" s="393">
        <f>+S21</f>
        <v>0</v>
      </c>
      <c r="Q57" s="368">
        <f t="shared" si="16"/>
        <v>0</v>
      </c>
      <c r="R57" s="374" t="str">
        <f t="shared" si="17"/>
        <v/>
      </c>
      <c r="S57" s="367"/>
      <c r="T57" s="553"/>
      <c r="U57" s="368"/>
    </row>
    <row r="58" spans="1:22" x14ac:dyDescent="0.25">
      <c r="A58" s="724">
        <v>5314</v>
      </c>
      <c r="B58" s="369" t="s">
        <v>749</v>
      </c>
      <c r="C58" s="365">
        <v>338</v>
      </c>
      <c r="D58" s="365">
        <v>726.4</v>
      </c>
      <c r="E58" s="365">
        <v>554</v>
      </c>
      <c r="F58" s="194"/>
      <c r="G58" s="194"/>
      <c r="H58" s="194"/>
      <c r="I58" s="194"/>
      <c r="J58" s="194"/>
      <c r="K58" s="194"/>
      <c r="L58" s="194"/>
      <c r="O58" s="372">
        <f>+Q22</f>
        <v>1000</v>
      </c>
      <c r="P58" s="393">
        <f>+S22</f>
        <v>1000</v>
      </c>
      <c r="Q58" s="368">
        <f t="shared" si="16"/>
        <v>0</v>
      </c>
      <c r="R58" s="374" t="str">
        <f t="shared" si="17"/>
        <v/>
      </c>
      <c r="S58" s="367" t="s">
        <v>2367</v>
      </c>
      <c r="T58" s="553"/>
      <c r="U58" s="368"/>
    </row>
    <row r="59" spans="1:22" ht="13.8" thickBot="1" x14ac:dyDescent="0.3">
      <c r="A59" s="724">
        <v>5710</v>
      </c>
      <c r="B59" s="369" t="s">
        <v>758</v>
      </c>
      <c r="C59" s="371">
        <v>973.49</v>
      </c>
      <c r="D59" s="371">
        <v>1718.11</v>
      </c>
      <c r="E59" s="371">
        <v>868.43</v>
      </c>
      <c r="F59" s="194"/>
      <c r="G59" s="194"/>
      <c r="H59" s="194"/>
      <c r="I59" s="194"/>
      <c r="J59" s="194"/>
      <c r="K59" s="194"/>
      <c r="L59" s="194"/>
      <c r="O59" s="372">
        <f>+Q23</f>
        <v>500</v>
      </c>
      <c r="P59" s="393">
        <f>+S23</f>
        <v>600</v>
      </c>
      <c r="Q59" s="368">
        <f t="shared" si="16"/>
        <v>100</v>
      </c>
      <c r="R59" s="374">
        <f t="shared" si="17"/>
        <v>0.2</v>
      </c>
      <c r="S59" s="367" t="s">
        <v>2359</v>
      </c>
      <c r="T59" s="553"/>
      <c r="U59" s="368"/>
    </row>
    <row r="60" spans="1:22" x14ac:dyDescent="0.25">
      <c r="C60" s="194"/>
      <c r="D60" s="194"/>
      <c r="E60" s="194"/>
      <c r="F60" s="194"/>
      <c r="G60" s="194"/>
      <c r="H60" s="194"/>
      <c r="I60" s="194"/>
      <c r="J60" s="194"/>
      <c r="K60" s="194"/>
      <c r="L60" s="194"/>
      <c r="O60" s="194"/>
      <c r="P60" s="194"/>
      <c r="Q60" s="194"/>
    </row>
    <row r="61" spans="1:22" ht="14.4" x14ac:dyDescent="0.25">
      <c r="A61" s="703"/>
      <c r="B61" s="4" t="s">
        <v>735</v>
      </c>
      <c r="C61" s="23"/>
      <c r="D61" s="23"/>
      <c r="E61" s="23"/>
      <c r="F61" s="23"/>
      <c r="G61" s="23"/>
      <c r="H61" s="194"/>
      <c r="I61" s="194"/>
      <c r="J61" s="194"/>
      <c r="K61" s="194"/>
      <c r="L61" s="194"/>
      <c r="O61" s="597">
        <f>SUM(O46:O59)</f>
        <v>395588</v>
      </c>
      <c r="P61" s="597">
        <f>SUM(P46:P59)</f>
        <v>410768.26</v>
      </c>
      <c r="Q61" s="25">
        <f>+P61-O61</f>
        <v>15180.260000000009</v>
      </c>
      <c r="R61" s="598">
        <f>IF(O61+P61&lt;&gt;0,IF(O61&lt;&gt;0,IF(Q61&lt;&gt;0,ROUND((+Q61/O61),4),""),1),"")</f>
        <v>3.8399999999999997E-2</v>
      </c>
      <c r="S61" s="479"/>
      <c r="T61" s="479"/>
      <c r="U61" s="479"/>
    </row>
    <row r="62" spans="1:22" x14ac:dyDescent="0.25">
      <c r="B62" s="4"/>
      <c r="C62" s="194"/>
      <c r="D62" s="194"/>
      <c r="E62" s="194"/>
      <c r="F62" s="194"/>
      <c r="G62" s="194"/>
      <c r="H62" s="194"/>
      <c r="I62" s="194"/>
      <c r="J62" s="194"/>
      <c r="K62" s="194"/>
      <c r="L62" s="194"/>
      <c r="M62" s="194"/>
      <c r="N62" s="194"/>
      <c r="O62" s="194"/>
      <c r="P62" s="194"/>
      <c r="Q62" s="194"/>
    </row>
    <row r="63" spans="1:22" x14ac:dyDescent="0.25">
      <c r="B63" s="4"/>
      <c r="C63" s="194"/>
      <c r="D63" s="194"/>
      <c r="E63" s="194"/>
      <c r="F63" s="194"/>
      <c r="G63" s="194"/>
      <c r="H63" s="194"/>
      <c r="I63" s="194"/>
      <c r="J63" s="194"/>
      <c r="K63" s="194"/>
      <c r="L63" s="194"/>
      <c r="M63" s="194"/>
      <c r="N63" s="194"/>
      <c r="O63" s="194"/>
      <c r="P63" s="194"/>
      <c r="Q63" s="194"/>
    </row>
    <row r="64" spans="1:22" s="4" customFormat="1" x14ac:dyDescent="0.25">
      <c r="A64" s="703"/>
      <c r="C64" s="23"/>
      <c r="D64" s="23"/>
      <c r="E64" s="23"/>
      <c r="F64" s="23"/>
      <c r="G64" s="23"/>
      <c r="H64" s="23"/>
      <c r="I64" s="23"/>
      <c r="J64" s="23"/>
      <c r="K64" s="23"/>
      <c r="L64" s="23"/>
      <c r="M64" s="23"/>
      <c r="N64" s="23"/>
      <c r="O64" s="23"/>
      <c r="P64" s="23"/>
      <c r="Q64" s="23"/>
      <c r="S64" s="23"/>
      <c r="T64" s="23"/>
      <c r="U64" s="23"/>
      <c r="V64" s="23"/>
    </row>
    <row r="65" spans="1:22" s="4" customFormat="1" x14ac:dyDescent="0.25">
      <c r="A65" s="703"/>
      <c r="C65" s="23"/>
      <c r="D65" s="23"/>
      <c r="E65" s="23"/>
      <c r="F65" s="23"/>
      <c r="G65" s="23"/>
      <c r="H65" s="23"/>
      <c r="I65" s="23"/>
      <c r="J65" s="23"/>
      <c r="K65" s="23"/>
      <c r="L65" s="23"/>
      <c r="M65" s="23"/>
      <c r="N65" s="23"/>
      <c r="O65" s="23"/>
      <c r="P65" s="23"/>
      <c r="Q65" s="23"/>
      <c r="S65" s="23"/>
      <c r="T65" s="23"/>
      <c r="U65" s="23"/>
      <c r="V65" s="23"/>
    </row>
    <row r="66" spans="1:22" s="4" customFormat="1" ht="13.8" x14ac:dyDescent="0.25">
      <c r="A66" s="702"/>
      <c r="C66" s="23"/>
      <c r="D66" s="23"/>
      <c r="E66" s="23"/>
      <c r="F66" s="23"/>
      <c r="G66" s="23"/>
      <c r="H66" s="23"/>
      <c r="I66" s="23"/>
      <c r="J66" s="23"/>
      <c r="K66" s="23"/>
      <c r="L66" s="23"/>
      <c r="M66" s="23"/>
      <c r="N66" s="23"/>
      <c r="O66" s="23"/>
      <c r="P66" s="23"/>
      <c r="Q66" s="23"/>
      <c r="S66" s="23"/>
      <c r="T66" s="23"/>
      <c r="U66" s="23"/>
      <c r="V66" s="23"/>
    </row>
    <row r="67" spans="1:22" s="4" customFormat="1" ht="13.8" x14ac:dyDescent="0.25">
      <c r="A67" s="702"/>
      <c r="C67" s="23"/>
      <c r="D67" s="23"/>
      <c r="E67" s="23"/>
      <c r="F67" s="23"/>
      <c r="G67" s="23"/>
      <c r="H67" s="23"/>
      <c r="I67" s="23"/>
      <c r="J67" s="23"/>
      <c r="K67" s="23"/>
      <c r="L67" s="23"/>
      <c r="M67" s="23"/>
      <c r="N67" s="23"/>
      <c r="O67" s="23"/>
      <c r="P67" s="23"/>
      <c r="Q67" s="23"/>
      <c r="S67" s="23"/>
      <c r="T67" s="23"/>
      <c r="U67" s="23"/>
      <c r="V67" s="23"/>
    </row>
    <row r="68" spans="1:22" s="4" customFormat="1" ht="13.8" x14ac:dyDescent="0.25">
      <c r="A68" s="702"/>
      <c r="C68" s="23"/>
      <c r="D68" s="23"/>
      <c r="E68" s="23"/>
      <c r="F68" s="23"/>
      <c r="G68" s="23"/>
      <c r="H68" s="23"/>
      <c r="I68" s="23"/>
      <c r="J68" s="23"/>
      <c r="K68" s="23"/>
      <c r="L68" s="23"/>
      <c r="M68" s="23"/>
      <c r="N68" s="23"/>
      <c r="O68" s="23"/>
      <c r="P68" s="23"/>
      <c r="Q68" s="23"/>
      <c r="S68" s="23"/>
      <c r="T68" s="23"/>
      <c r="U68" s="23"/>
      <c r="V68" s="23"/>
    </row>
    <row r="69" spans="1:22" s="4" customFormat="1" ht="13.8" x14ac:dyDescent="0.25">
      <c r="A69" s="747"/>
      <c r="C69" s="23"/>
      <c r="D69" s="23"/>
      <c r="E69" s="23"/>
      <c r="F69" s="23"/>
      <c r="G69" s="23"/>
      <c r="H69" s="23"/>
      <c r="I69" s="23"/>
      <c r="J69" s="23"/>
      <c r="K69" s="23"/>
      <c r="L69" s="23"/>
      <c r="M69" s="23"/>
      <c r="N69" s="23"/>
      <c r="O69" s="23"/>
      <c r="P69" s="23"/>
      <c r="Q69" s="23"/>
      <c r="S69" s="23"/>
      <c r="T69" s="23"/>
      <c r="U69" s="23"/>
      <c r="V69" s="23"/>
    </row>
    <row r="70" spans="1:22" s="4" customFormat="1" x14ac:dyDescent="0.25">
      <c r="A70" s="703"/>
      <c r="C70" s="23"/>
      <c r="D70" s="23"/>
      <c r="E70" s="23"/>
      <c r="F70" s="23"/>
      <c r="G70" s="23"/>
      <c r="H70" s="23"/>
      <c r="I70" s="23"/>
      <c r="J70" s="23"/>
      <c r="K70" s="23"/>
      <c r="L70" s="23"/>
      <c r="M70" s="23"/>
      <c r="N70" s="23"/>
      <c r="O70" s="23"/>
      <c r="P70" s="23"/>
      <c r="Q70" s="23"/>
      <c r="S70" s="23"/>
      <c r="T70" s="23"/>
      <c r="U70" s="23"/>
      <c r="V70" s="23"/>
    </row>
    <row r="71" spans="1:22" x14ac:dyDescent="0.25">
      <c r="C71" s="194"/>
      <c r="D71" s="194"/>
      <c r="E71" s="194"/>
      <c r="F71" s="194"/>
      <c r="G71" s="194"/>
      <c r="H71" s="194"/>
      <c r="I71" s="194"/>
      <c r="J71" s="194"/>
      <c r="K71" s="194"/>
      <c r="L71" s="194"/>
      <c r="M71" s="194"/>
      <c r="N71" s="194"/>
      <c r="O71" s="194"/>
      <c r="P71" s="194"/>
      <c r="Q71" s="194"/>
    </row>
    <row r="72" spans="1:22" x14ac:dyDescent="0.25">
      <c r="C72" s="194"/>
      <c r="D72" s="194"/>
      <c r="E72" s="194"/>
      <c r="F72" s="194"/>
      <c r="G72" s="194"/>
      <c r="H72" s="194"/>
      <c r="I72" s="194"/>
      <c r="J72" s="194"/>
      <c r="K72" s="194"/>
      <c r="L72" s="194"/>
      <c r="M72" s="194"/>
      <c r="N72" s="194"/>
      <c r="O72" s="194"/>
      <c r="P72" s="194"/>
      <c r="Q72" s="194"/>
    </row>
    <row r="73" spans="1:22" x14ac:dyDescent="0.25">
      <c r="C73" s="194"/>
      <c r="D73" s="194"/>
      <c r="E73" s="194"/>
      <c r="F73" s="194"/>
      <c r="G73" s="194"/>
      <c r="H73" s="194"/>
      <c r="I73" s="194"/>
      <c r="J73" s="194"/>
      <c r="K73" s="194"/>
      <c r="L73" s="194"/>
      <c r="M73" s="194"/>
      <c r="N73" s="194"/>
      <c r="O73" s="194"/>
      <c r="P73" s="194"/>
      <c r="Q73" s="194"/>
    </row>
    <row r="74" spans="1:22" x14ac:dyDescent="0.25">
      <c r="C74" s="194"/>
      <c r="D74" s="194"/>
      <c r="E74" s="194"/>
      <c r="F74" s="194"/>
      <c r="G74" s="194"/>
      <c r="H74" s="194"/>
      <c r="I74" s="194"/>
      <c r="J74" s="194"/>
      <c r="K74" s="194"/>
      <c r="L74" s="194"/>
      <c r="M74" s="194"/>
      <c r="N74" s="194"/>
      <c r="O74" s="194"/>
      <c r="P74" s="194"/>
      <c r="Q74" s="194"/>
    </row>
    <row r="75" spans="1:22" x14ac:dyDescent="0.25">
      <c r="C75" s="194"/>
      <c r="D75" s="194"/>
      <c r="E75" s="194"/>
      <c r="F75" s="194"/>
      <c r="G75" s="194"/>
      <c r="H75" s="194"/>
      <c r="I75" s="194"/>
      <c r="J75" s="194"/>
      <c r="K75" s="194"/>
      <c r="L75" s="194"/>
      <c r="M75" s="194"/>
      <c r="N75" s="194"/>
      <c r="O75" s="194"/>
      <c r="P75" s="194"/>
      <c r="Q75" s="194"/>
    </row>
    <row r="76" spans="1:22" x14ac:dyDescent="0.25">
      <c r="C76" s="194"/>
      <c r="D76" s="194"/>
      <c r="E76" s="194"/>
      <c r="F76" s="194"/>
      <c r="G76" s="194"/>
      <c r="H76" s="194"/>
      <c r="I76" s="194"/>
      <c r="J76" s="194"/>
      <c r="K76" s="194"/>
      <c r="L76" s="194"/>
      <c r="M76" s="194"/>
      <c r="N76" s="194"/>
      <c r="O76" s="194"/>
      <c r="P76" s="194"/>
      <c r="Q76" s="194"/>
    </row>
    <row r="77" spans="1:22" x14ac:dyDescent="0.25">
      <c r="C77" s="194"/>
      <c r="D77" s="194"/>
      <c r="E77" s="194"/>
      <c r="F77" s="194"/>
      <c r="G77" s="194"/>
      <c r="H77" s="194"/>
      <c r="I77" s="194"/>
      <c r="J77" s="194"/>
      <c r="K77" s="194"/>
      <c r="L77" s="194"/>
      <c r="M77" s="194"/>
      <c r="N77" s="194"/>
      <c r="O77" s="194"/>
      <c r="P77" s="194"/>
      <c r="Q77" s="194"/>
    </row>
    <row r="78" spans="1:22" x14ac:dyDescent="0.25">
      <c r="C78" s="194"/>
      <c r="D78" s="194"/>
      <c r="E78" s="194"/>
      <c r="F78" s="194"/>
      <c r="G78" s="194"/>
      <c r="H78" s="194"/>
      <c r="I78" s="194"/>
      <c r="J78" s="194"/>
      <c r="K78" s="194"/>
      <c r="L78" s="194"/>
      <c r="M78" s="194"/>
      <c r="N78" s="194"/>
      <c r="O78" s="194"/>
      <c r="P78" s="194"/>
      <c r="Q78" s="194"/>
    </row>
    <row r="79" spans="1:22" x14ac:dyDescent="0.25">
      <c r="C79" s="194"/>
      <c r="D79" s="194"/>
      <c r="E79" s="194"/>
      <c r="F79" s="194"/>
      <c r="G79" s="194"/>
      <c r="H79" s="194"/>
      <c r="I79" s="194"/>
      <c r="J79" s="194"/>
      <c r="K79" s="194"/>
      <c r="L79" s="194"/>
      <c r="M79" s="194"/>
      <c r="N79" s="194"/>
      <c r="O79" s="194"/>
      <c r="P79" s="194"/>
      <c r="Q79" s="194"/>
    </row>
    <row r="80" spans="1:22" x14ac:dyDescent="0.25">
      <c r="C80" s="194"/>
      <c r="D80" s="194"/>
      <c r="E80" s="194"/>
      <c r="F80" s="194"/>
      <c r="G80" s="194"/>
      <c r="H80" s="194"/>
      <c r="I80" s="194"/>
      <c r="J80" s="194"/>
      <c r="K80" s="194"/>
      <c r="L80" s="194"/>
      <c r="M80" s="194"/>
      <c r="N80" s="194"/>
      <c r="O80" s="194"/>
      <c r="P80" s="194"/>
      <c r="Q80" s="194"/>
    </row>
    <row r="81" spans="3:3" x14ac:dyDescent="0.25">
      <c r="C81" s="194"/>
    </row>
    <row r="82" spans="3:3" x14ac:dyDescent="0.25">
      <c r="C82" s="194"/>
    </row>
    <row r="83" spans="3:3" x14ac:dyDescent="0.25">
      <c r="C83" s="194"/>
    </row>
    <row r="84" spans="3:3" x14ac:dyDescent="0.25">
      <c r="C84" s="194"/>
    </row>
    <row r="85" spans="3:3" x14ac:dyDescent="0.25">
      <c r="C85" s="194"/>
    </row>
    <row r="86" spans="3:3" x14ac:dyDescent="0.25">
      <c r="C86" s="194"/>
    </row>
    <row r="87" spans="3:3" x14ac:dyDescent="0.25">
      <c r="C87" s="194"/>
    </row>
    <row r="88" spans="3:3" x14ac:dyDescent="0.25">
      <c r="C88" s="194"/>
    </row>
    <row r="89" spans="3:3" x14ac:dyDescent="0.25">
      <c r="C89" s="194"/>
    </row>
    <row r="90" spans="3:3" x14ac:dyDescent="0.25">
      <c r="C90" s="194"/>
    </row>
    <row r="91" spans="3:3" x14ac:dyDescent="0.25">
      <c r="C91" s="194"/>
    </row>
    <row r="92" spans="3:3" x14ac:dyDescent="0.25">
      <c r="C92" s="194"/>
    </row>
    <row r="93" spans="3:3" x14ac:dyDescent="0.25">
      <c r="C93" s="194"/>
    </row>
    <row r="94" spans="3:3" x14ac:dyDescent="0.25">
      <c r="C94" s="194"/>
    </row>
    <row r="95" spans="3:3" x14ac:dyDescent="0.25">
      <c r="C95" s="194"/>
    </row>
    <row r="96" spans="3:3" x14ac:dyDescent="0.25">
      <c r="C96" s="194"/>
    </row>
    <row r="97" spans="3:3" x14ac:dyDescent="0.25">
      <c r="C97" s="194"/>
    </row>
    <row r="98" spans="3:3" x14ac:dyDescent="0.25">
      <c r="C98" s="194"/>
    </row>
    <row r="99" spans="3:3" x14ac:dyDescent="0.25">
      <c r="C99" s="194"/>
    </row>
    <row r="100" spans="3:3" x14ac:dyDescent="0.25">
      <c r="C100" s="194"/>
    </row>
    <row r="101" spans="3:3" x14ac:dyDescent="0.25">
      <c r="C101" s="194"/>
    </row>
    <row r="102" spans="3:3" x14ac:dyDescent="0.25">
      <c r="C102" s="194"/>
    </row>
    <row r="103" spans="3:3" x14ac:dyDescent="0.25">
      <c r="C103" s="194"/>
    </row>
    <row r="104" spans="3:3" x14ac:dyDescent="0.25">
      <c r="C104" s="194"/>
    </row>
    <row r="105" spans="3:3" x14ac:dyDescent="0.25">
      <c r="C105" s="194"/>
    </row>
    <row r="106" spans="3:3" x14ac:dyDescent="0.25">
      <c r="C106" s="194"/>
    </row>
    <row r="107" spans="3:3" x14ac:dyDescent="0.25">
      <c r="C107" s="194"/>
    </row>
    <row r="108" spans="3:3" x14ac:dyDescent="0.25">
      <c r="C108" s="194"/>
    </row>
    <row r="109" spans="3:3" x14ac:dyDescent="0.25">
      <c r="C109" s="194"/>
    </row>
    <row r="110" spans="3:3" x14ac:dyDescent="0.25">
      <c r="C110" s="194"/>
    </row>
    <row r="111" spans="3:3" x14ac:dyDescent="0.25">
      <c r="C111" s="194"/>
    </row>
    <row r="112" spans="3:3" x14ac:dyDescent="0.25">
      <c r="C112" s="194"/>
    </row>
    <row r="113" spans="3:3" x14ac:dyDescent="0.25">
      <c r="C113" s="194"/>
    </row>
    <row r="114" spans="3:3" x14ac:dyDescent="0.25">
      <c r="C114" s="194"/>
    </row>
    <row r="115" spans="3:3" x14ac:dyDescent="0.25">
      <c r="C115" s="194"/>
    </row>
    <row r="116" spans="3:3" x14ac:dyDescent="0.25">
      <c r="C116" s="194"/>
    </row>
    <row r="117" spans="3:3" x14ac:dyDescent="0.25">
      <c r="C117" s="194"/>
    </row>
    <row r="118" spans="3:3" x14ac:dyDescent="0.25">
      <c r="C118" s="194"/>
    </row>
    <row r="119" spans="3:3" x14ac:dyDescent="0.25">
      <c r="C119" s="194"/>
    </row>
    <row r="120" spans="3:3" x14ac:dyDescent="0.25">
      <c r="C120" s="194"/>
    </row>
    <row r="121" spans="3:3" x14ac:dyDescent="0.25">
      <c r="C121" s="194"/>
    </row>
    <row r="122" spans="3:3" x14ac:dyDescent="0.25">
      <c r="C122" s="194"/>
    </row>
    <row r="123" spans="3:3" x14ac:dyDescent="0.25">
      <c r="C123" s="194"/>
    </row>
    <row r="124" spans="3:3" x14ac:dyDescent="0.25">
      <c r="C124" s="194"/>
    </row>
    <row r="125" spans="3:3" x14ac:dyDescent="0.25">
      <c r="C125" s="194"/>
    </row>
    <row r="126" spans="3:3" x14ac:dyDescent="0.25">
      <c r="C126" s="194"/>
    </row>
    <row r="127" spans="3:3" x14ac:dyDescent="0.25">
      <c r="C127" s="194"/>
    </row>
    <row r="128" spans="3:3" x14ac:dyDescent="0.25">
      <c r="C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sheetData>
  <phoneticPr fontId="0" type="noConversion"/>
  <hyperlinks>
    <hyperlink ref="A1" location="'Working Budget with funding det'!A1" display="Main " xr:uid="{00000000-0004-0000-1A00-000000000000}"/>
    <hyperlink ref="B1" location="'Table of Contents'!A1" display="TOC" xr:uid="{00000000-0004-0000-1A00-000001000000}"/>
  </hyperlinks>
  <pageMargins left="0.75" right="0.75" top="1" bottom="1" header="0.5" footer="0.5"/>
  <pageSetup scale="89" fitToHeight="2" orientation="landscape" r:id="rId1"/>
  <headerFooter alignWithMargins="0">
    <oddFooter>&amp;L&amp;D  &amp;T&amp;C&amp;F&amp;R&amp;A</oddFooter>
  </headerFooter>
  <rowBreaks count="1" manualBreakCount="1">
    <brk id="30"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Z171"/>
  <sheetViews>
    <sheetView topLeftCell="A16" zoomScaleNormal="100" workbookViewId="0">
      <selection activeCell="R36" sqref="R36"/>
    </sheetView>
  </sheetViews>
  <sheetFormatPr defaultRowHeight="13.2" x14ac:dyDescent="0.25"/>
  <cols>
    <col min="1" max="1" width="10.7773437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 min="23" max="25" width="14.44140625" customWidth="1"/>
    <col min="26" max="26" width="14.6640625" style="2" customWidth="1"/>
  </cols>
  <sheetData>
    <row r="1" spans="1:25" x14ac:dyDescent="0.25">
      <c r="A1" s="701" t="s">
        <v>736</v>
      </c>
      <c r="B1" s="290" t="s">
        <v>194</v>
      </c>
      <c r="D1" s="194"/>
      <c r="E1" s="194"/>
      <c r="F1" s="194"/>
      <c r="G1" s="194"/>
      <c r="H1" s="194"/>
      <c r="I1" s="194"/>
      <c r="J1" s="194"/>
      <c r="K1" s="194"/>
      <c r="L1" s="194"/>
      <c r="M1" s="194"/>
      <c r="N1" s="194"/>
      <c r="O1" s="194"/>
      <c r="P1" s="194"/>
      <c r="Q1" s="194"/>
      <c r="V1"/>
    </row>
    <row r="2" spans="1:25" ht="13.8" x14ac:dyDescent="0.25">
      <c r="A2" s="702" t="s">
        <v>1008</v>
      </c>
      <c r="B2" s="43"/>
      <c r="D2" s="194"/>
      <c r="E2" s="125"/>
      <c r="F2" s="194"/>
      <c r="G2" s="194"/>
      <c r="H2" s="194"/>
      <c r="I2" s="125" t="s">
        <v>706</v>
      </c>
      <c r="J2" s="125"/>
      <c r="K2" s="125"/>
      <c r="L2" s="125"/>
      <c r="M2" s="125"/>
      <c r="N2" s="125"/>
      <c r="O2" s="125"/>
      <c r="P2" s="125"/>
      <c r="Q2" s="125"/>
      <c r="R2" s="58" t="s">
        <v>1090</v>
      </c>
      <c r="U2" s="44" t="s">
        <v>1091</v>
      </c>
    </row>
    <row r="3" spans="1:25" ht="13.8" thickBot="1" x14ac:dyDescent="0.3">
      <c r="A3" s="703"/>
      <c r="B3" s="4"/>
      <c r="C3" s="23"/>
      <c r="D3" s="23"/>
      <c r="E3" s="23"/>
      <c r="F3" s="23"/>
      <c r="G3" s="23"/>
      <c r="H3" s="23"/>
      <c r="I3" s="23"/>
      <c r="J3" s="23"/>
      <c r="K3" s="23"/>
      <c r="L3" s="23"/>
      <c r="M3" s="23"/>
      <c r="N3" s="23"/>
      <c r="O3" s="23"/>
      <c r="P3" s="23"/>
      <c r="Q3" s="23"/>
      <c r="R3" s="4"/>
      <c r="S3" s="23"/>
      <c r="T3" s="23"/>
      <c r="U3" s="4"/>
      <c r="V3" s="4"/>
      <c r="Y3" s="4"/>
    </row>
    <row r="4" spans="1:25"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5"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5"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5"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5" ht="13.8" thickTop="1" x14ac:dyDescent="0.25">
      <c r="A8" s="707"/>
      <c r="B8" s="156"/>
      <c r="C8" s="114"/>
      <c r="D8" s="250"/>
      <c r="E8" s="250"/>
      <c r="F8" s="250"/>
      <c r="G8" s="250"/>
      <c r="H8" s="250"/>
      <c r="I8" s="250"/>
      <c r="J8" s="250"/>
      <c r="K8" s="145"/>
      <c r="L8" s="145"/>
      <c r="M8" s="145"/>
      <c r="N8" s="145"/>
      <c r="O8" s="145"/>
      <c r="P8" s="145"/>
      <c r="Q8" s="145"/>
      <c r="R8" s="59"/>
      <c r="S8" s="10"/>
      <c r="T8" s="10"/>
      <c r="U8" s="10"/>
    </row>
    <row r="9" spans="1:25" x14ac:dyDescent="0.25">
      <c r="A9" s="708">
        <v>5111</v>
      </c>
      <c r="B9" s="60" t="s">
        <v>1010</v>
      </c>
      <c r="C9" s="115">
        <v>96122.44</v>
      </c>
      <c r="D9" s="13">
        <v>98465.76</v>
      </c>
      <c r="E9" s="13">
        <v>101448.58</v>
      </c>
      <c r="F9" s="13">
        <v>103968.7</v>
      </c>
      <c r="G9" s="13">
        <v>105991</v>
      </c>
      <c r="H9" s="13">
        <v>112846.15</v>
      </c>
      <c r="I9" s="13">
        <v>104318.8</v>
      </c>
      <c r="J9" s="13">
        <v>108008.97</v>
      </c>
      <c r="K9" s="14">
        <v>110824</v>
      </c>
      <c r="L9" s="127">
        <v>115262.13</v>
      </c>
      <c r="M9" s="14">
        <v>113910</v>
      </c>
      <c r="N9" s="127">
        <v>104811.4</v>
      </c>
      <c r="O9" s="14">
        <f>3184+106212</f>
        <v>109396</v>
      </c>
      <c r="P9" s="13">
        <v>109391.8</v>
      </c>
      <c r="Q9" s="14">
        <v>113851</v>
      </c>
      <c r="R9" s="13">
        <v>54736.25</v>
      </c>
      <c r="S9" s="14">
        <f>ROUND((+R42+R43),0)</f>
        <v>118712</v>
      </c>
      <c r="T9" s="14"/>
      <c r="U9" s="14"/>
    </row>
    <row r="10" spans="1:25" x14ac:dyDescent="0.25">
      <c r="A10" s="708">
        <v>5124</v>
      </c>
      <c r="B10" s="60" t="s">
        <v>1092</v>
      </c>
      <c r="C10" s="115"/>
      <c r="D10" s="13"/>
      <c r="E10" s="13"/>
      <c r="F10" s="13"/>
      <c r="G10" s="13"/>
      <c r="H10" s="13">
        <v>2692.25</v>
      </c>
      <c r="I10" s="13">
        <v>1874.75</v>
      </c>
      <c r="J10" s="13"/>
      <c r="K10" s="14">
        <v>300</v>
      </c>
      <c r="L10" s="13"/>
      <c r="M10" s="14"/>
      <c r="N10" s="13"/>
      <c r="O10" s="14"/>
      <c r="P10" s="13"/>
      <c r="Q10" s="14"/>
      <c r="R10" s="13"/>
      <c r="S10" s="14"/>
      <c r="T10" s="14"/>
      <c r="U10" s="14"/>
    </row>
    <row r="11" spans="1:25" x14ac:dyDescent="0.25">
      <c r="A11" s="708">
        <v>5140</v>
      </c>
      <c r="B11" s="60" t="s">
        <v>1093</v>
      </c>
      <c r="C11" s="115">
        <v>324.72000000000003</v>
      </c>
      <c r="D11" s="13">
        <v>487.08</v>
      </c>
      <c r="E11" s="13">
        <v>162.36000000000001</v>
      </c>
      <c r="F11" s="13"/>
      <c r="G11" s="13">
        <v>275</v>
      </c>
      <c r="H11" s="13"/>
      <c r="I11" s="13">
        <v>302.5</v>
      </c>
      <c r="J11" s="13">
        <v>464.75</v>
      </c>
      <c r="K11" s="14">
        <v>900</v>
      </c>
      <c r="L11" s="13">
        <v>889</v>
      </c>
      <c r="M11" s="14">
        <v>1150</v>
      </c>
      <c r="N11" s="13">
        <v>1124.6500000000001</v>
      </c>
      <c r="O11" s="14">
        <v>1150</v>
      </c>
      <c r="P11" s="13">
        <v>199.5</v>
      </c>
      <c r="Q11" s="14">
        <v>1150</v>
      </c>
      <c r="R11" s="127"/>
      <c r="S11" s="14">
        <v>1150</v>
      </c>
      <c r="T11" s="14"/>
      <c r="U11" s="14"/>
    </row>
    <row r="12" spans="1:25" x14ac:dyDescent="0.25">
      <c r="A12" s="708">
        <v>5141</v>
      </c>
      <c r="B12" s="60" t="s">
        <v>1094</v>
      </c>
      <c r="C12" s="115">
        <v>2976.6</v>
      </c>
      <c r="D12" s="13">
        <v>2408.34</v>
      </c>
      <c r="E12" s="13">
        <v>2841.3</v>
      </c>
      <c r="F12" s="13">
        <v>2282.5</v>
      </c>
      <c r="G12" s="13">
        <v>2530</v>
      </c>
      <c r="H12" s="13">
        <v>2282.5</v>
      </c>
      <c r="I12" s="13">
        <v>2117.5</v>
      </c>
      <c r="J12" s="13">
        <v>2030</v>
      </c>
      <c r="K12" s="14">
        <v>4250</v>
      </c>
      <c r="L12" s="13">
        <v>2275</v>
      </c>
      <c r="M12" s="14">
        <v>3900</v>
      </c>
      <c r="N12" s="13">
        <v>875</v>
      </c>
      <c r="O12" s="14">
        <v>3900</v>
      </c>
      <c r="P12" s="13">
        <v>3290</v>
      </c>
      <c r="Q12" s="14">
        <v>3900</v>
      </c>
      <c r="R12" s="13">
        <v>385</v>
      </c>
      <c r="S12" s="14">
        <v>3900</v>
      </c>
      <c r="T12" s="14"/>
      <c r="U12" s="14"/>
    </row>
    <row r="13" spans="1:25" x14ac:dyDescent="0.25">
      <c r="A13" s="708">
        <v>5142</v>
      </c>
      <c r="B13" s="60" t="s">
        <v>1095</v>
      </c>
      <c r="C13" s="115">
        <v>2516.58</v>
      </c>
      <c r="D13" s="13">
        <v>2570.6999999999998</v>
      </c>
      <c r="E13" s="13">
        <v>3220.14</v>
      </c>
      <c r="F13" s="13">
        <v>4840</v>
      </c>
      <c r="G13" s="13">
        <v>3685</v>
      </c>
      <c r="H13" s="13">
        <v>3052.5</v>
      </c>
      <c r="I13" s="13">
        <v>4152.5</v>
      </c>
      <c r="J13" s="13">
        <v>4760</v>
      </c>
      <c r="K13" s="14">
        <v>4250</v>
      </c>
      <c r="L13" s="13">
        <v>4620</v>
      </c>
      <c r="M13" s="14">
        <v>3900</v>
      </c>
      <c r="N13" s="13">
        <v>1820</v>
      </c>
      <c r="O13" s="14">
        <v>3900</v>
      </c>
      <c r="P13" s="13">
        <v>3150</v>
      </c>
      <c r="Q13" s="14">
        <v>3900</v>
      </c>
      <c r="R13" s="13">
        <v>455</v>
      </c>
      <c r="S13" s="14">
        <v>3900</v>
      </c>
      <c r="T13" s="14"/>
      <c r="U13" s="14"/>
    </row>
    <row r="14" spans="1:25" x14ac:dyDescent="0.25">
      <c r="A14" s="708">
        <v>5143</v>
      </c>
      <c r="B14" s="60" t="s">
        <v>1096</v>
      </c>
      <c r="C14" s="115">
        <v>5412</v>
      </c>
      <c r="D14" s="13">
        <v>5709.66</v>
      </c>
      <c r="E14" s="13">
        <v>6332.04</v>
      </c>
      <c r="F14" s="13">
        <v>7727.5</v>
      </c>
      <c r="G14" s="13">
        <v>5940</v>
      </c>
      <c r="H14" s="13">
        <v>4950</v>
      </c>
      <c r="I14" s="13">
        <f>200+4922.5</f>
        <v>5122.5</v>
      </c>
      <c r="J14" s="13">
        <v>8330</v>
      </c>
      <c r="K14" s="14">
        <v>10750</v>
      </c>
      <c r="L14" s="13">
        <v>8295</v>
      </c>
      <c r="M14" s="14">
        <v>10750</v>
      </c>
      <c r="N14" s="13">
        <v>6440</v>
      </c>
      <c r="O14" s="14">
        <v>10750</v>
      </c>
      <c r="P14" s="13">
        <v>6965</v>
      </c>
      <c r="Q14" s="14">
        <v>10750</v>
      </c>
      <c r="R14" s="13">
        <v>3920</v>
      </c>
      <c r="S14" s="14">
        <v>10750</v>
      </c>
      <c r="T14" s="14"/>
      <c r="U14" s="14"/>
    </row>
    <row r="15" spans="1:25" x14ac:dyDescent="0.25">
      <c r="A15" s="708">
        <v>5144</v>
      </c>
      <c r="B15" s="60" t="s">
        <v>27</v>
      </c>
      <c r="C15" s="210">
        <v>600</v>
      </c>
      <c r="D15" s="35">
        <v>450</v>
      </c>
      <c r="E15" s="35">
        <v>500</v>
      </c>
      <c r="F15" s="35">
        <v>1000</v>
      </c>
      <c r="G15" s="35">
        <v>1900</v>
      </c>
      <c r="H15" s="35">
        <v>800</v>
      </c>
      <c r="I15" s="200">
        <v>800</v>
      </c>
      <c r="J15" s="200">
        <v>900</v>
      </c>
      <c r="K15" s="36">
        <v>900</v>
      </c>
      <c r="L15" s="200">
        <v>900</v>
      </c>
      <c r="M15" s="36">
        <v>900</v>
      </c>
      <c r="N15" s="200">
        <v>900</v>
      </c>
      <c r="O15" s="36">
        <f>100+900</f>
        <v>1000</v>
      </c>
      <c r="P15" s="35">
        <v>1000</v>
      </c>
      <c r="Q15" s="36">
        <v>1000</v>
      </c>
      <c r="R15" s="35"/>
      <c r="S15" s="36">
        <f>+V43</f>
        <v>1100</v>
      </c>
      <c r="T15" s="36"/>
      <c r="U15" s="36"/>
    </row>
    <row r="16" spans="1:25" ht="13.8" thickBot="1" x14ac:dyDescent="0.3">
      <c r="A16" s="708">
        <v>5145</v>
      </c>
      <c r="B16" s="60" t="s">
        <v>1018</v>
      </c>
      <c r="C16" s="116">
        <v>300.04000000000002</v>
      </c>
      <c r="D16" s="15">
        <v>300.04000000000002</v>
      </c>
      <c r="E16" s="15">
        <v>300.04000000000002</v>
      </c>
      <c r="F16" s="13">
        <v>305.81</v>
      </c>
      <c r="G16" s="13">
        <v>300.04000000000002</v>
      </c>
      <c r="H16" s="13">
        <v>334.66</v>
      </c>
      <c r="I16" s="13">
        <v>300.04000000000002</v>
      </c>
      <c r="J16" s="13">
        <v>300.04000000000002</v>
      </c>
      <c r="K16" s="14">
        <v>300</v>
      </c>
      <c r="L16" s="13">
        <v>317.35000000000002</v>
      </c>
      <c r="M16" s="14">
        <v>300</v>
      </c>
      <c r="N16" s="13">
        <v>300.04000000000002</v>
      </c>
      <c r="O16" s="14">
        <v>300</v>
      </c>
      <c r="P16" s="13">
        <v>300.04000000000002</v>
      </c>
      <c r="Q16" s="14">
        <v>300</v>
      </c>
      <c r="R16" s="13">
        <v>144.25</v>
      </c>
      <c r="S16" s="14">
        <v>300</v>
      </c>
      <c r="T16" s="14"/>
      <c r="U16" s="14"/>
    </row>
    <row r="17" spans="1:22" x14ac:dyDescent="0.25">
      <c r="A17" s="708">
        <v>5146</v>
      </c>
      <c r="B17" s="60" t="s">
        <v>1974</v>
      </c>
      <c r="C17" s="572"/>
      <c r="D17" s="28"/>
      <c r="E17" s="28"/>
      <c r="F17" s="13"/>
      <c r="G17" s="13"/>
      <c r="H17" s="13"/>
      <c r="I17" s="13"/>
      <c r="J17" s="13"/>
      <c r="K17" s="14"/>
      <c r="L17" s="13"/>
      <c r="M17" s="14"/>
      <c r="N17" s="13"/>
      <c r="O17" s="14"/>
      <c r="P17" s="13"/>
      <c r="Q17" s="14">
        <v>2500</v>
      </c>
      <c r="R17" s="13"/>
      <c r="S17" s="14">
        <v>2500</v>
      </c>
      <c r="T17" s="14"/>
      <c r="U17" s="14"/>
    </row>
    <row r="18" spans="1:22" x14ac:dyDescent="0.25">
      <c r="A18" s="708">
        <v>5193</v>
      </c>
      <c r="B18" s="60" t="s">
        <v>919</v>
      </c>
      <c r="C18" s="572"/>
      <c r="D18" s="28"/>
      <c r="E18" s="28"/>
      <c r="F18" s="13"/>
      <c r="G18" s="13"/>
      <c r="H18" s="13">
        <v>3057.16</v>
      </c>
      <c r="I18" s="13"/>
      <c r="J18" s="13"/>
      <c r="K18" s="14"/>
      <c r="L18" s="13"/>
      <c r="M18" s="14"/>
      <c r="N18" s="13"/>
      <c r="O18" s="14"/>
      <c r="P18" s="13"/>
      <c r="Q18" s="14"/>
      <c r="R18" s="13"/>
      <c r="S18" s="14"/>
      <c r="T18" s="14"/>
      <c r="U18" s="14"/>
    </row>
    <row r="19" spans="1:22" ht="13.8" thickBot="1" x14ac:dyDescent="0.3">
      <c r="A19" s="708">
        <v>5194</v>
      </c>
      <c r="B19" s="60" t="s">
        <v>918</v>
      </c>
      <c r="C19" s="572"/>
      <c r="D19" s="28"/>
      <c r="E19" s="28"/>
      <c r="F19" s="15"/>
      <c r="G19" s="15"/>
      <c r="H19" s="15">
        <v>3500</v>
      </c>
      <c r="I19" s="15"/>
      <c r="J19" s="15"/>
      <c r="K19" s="16"/>
      <c r="L19" s="15"/>
      <c r="M19" s="16"/>
      <c r="N19" s="15"/>
      <c r="O19" s="16"/>
      <c r="P19" s="15"/>
      <c r="Q19" s="16"/>
      <c r="R19" s="15"/>
      <c r="S19" s="16"/>
      <c r="T19" s="16"/>
      <c r="U19" s="16"/>
    </row>
    <row r="20" spans="1:22" x14ac:dyDescent="0.25">
      <c r="A20" s="708"/>
      <c r="B20" s="17" t="s">
        <v>718</v>
      </c>
      <c r="C20" s="18">
        <f t="shared" ref="C20:E20" si="0">SUM(C9:C16)</f>
        <v>108252.38</v>
      </c>
      <c r="D20" s="18">
        <f t="shared" si="0"/>
        <v>110391.57999999999</v>
      </c>
      <c r="E20" s="18">
        <f t="shared" si="0"/>
        <v>114804.45999999999</v>
      </c>
      <c r="F20" s="18">
        <f t="shared" ref="F20:P20" si="1">SUM(F9:F19)</f>
        <v>120124.51</v>
      </c>
      <c r="G20" s="18">
        <f t="shared" si="1"/>
        <v>120621.04</v>
      </c>
      <c r="H20" s="18">
        <f t="shared" si="1"/>
        <v>133515.22</v>
      </c>
      <c r="I20" s="18">
        <f t="shared" si="1"/>
        <v>118988.59</v>
      </c>
      <c r="J20" s="18">
        <f t="shared" si="1"/>
        <v>124793.76</v>
      </c>
      <c r="K20" s="19">
        <f t="shared" si="1"/>
        <v>132474</v>
      </c>
      <c r="L20" s="18">
        <f t="shared" si="1"/>
        <v>132558.48000000001</v>
      </c>
      <c r="M20" s="19">
        <f t="shared" si="1"/>
        <v>134810</v>
      </c>
      <c r="N20" s="18">
        <f t="shared" si="1"/>
        <v>116271.08999999998</v>
      </c>
      <c r="O20" s="19">
        <f t="shared" si="1"/>
        <v>130396</v>
      </c>
      <c r="P20" s="18">
        <f t="shared" si="1"/>
        <v>124296.34</v>
      </c>
      <c r="Q20" s="19">
        <f>SUM(Q9:Q19)</f>
        <v>137351</v>
      </c>
      <c r="R20" s="18">
        <f>SUM(R9:R19)</f>
        <v>59640.5</v>
      </c>
      <c r="S20" s="19">
        <f>SUM(S9:S19)</f>
        <v>142312</v>
      </c>
      <c r="T20" s="19"/>
      <c r="U20" s="19">
        <f>+S20</f>
        <v>142312</v>
      </c>
    </row>
    <row r="21" spans="1:22" x14ac:dyDescent="0.25">
      <c r="A21" s="708"/>
      <c r="B21" s="17"/>
      <c r="C21" s="18"/>
      <c r="D21" s="18"/>
      <c r="E21" s="18"/>
      <c r="F21" s="18"/>
      <c r="G21" s="18"/>
      <c r="H21" s="18"/>
      <c r="I21" s="18"/>
      <c r="J21" s="18"/>
      <c r="K21" s="19"/>
      <c r="L21" s="111"/>
      <c r="M21" s="19"/>
      <c r="N21" s="111"/>
      <c r="O21" s="19"/>
      <c r="P21" s="18"/>
      <c r="Q21" s="19"/>
      <c r="R21" s="18"/>
      <c r="S21" s="19"/>
      <c r="T21" s="19"/>
      <c r="U21" s="19"/>
    </row>
    <row r="22" spans="1:22" x14ac:dyDescent="0.25">
      <c r="A22" s="708"/>
      <c r="B22" s="12"/>
      <c r="C22" s="13"/>
      <c r="D22" s="13"/>
      <c r="E22" s="13"/>
      <c r="F22" s="13"/>
      <c r="G22" s="13"/>
      <c r="H22" s="13"/>
      <c r="I22" s="13"/>
      <c r="J22" s="13"/>
      <c r="K22" s="14"/>
      <c r="L22" s="127"/>
      <c r="M22" s="14"/>
      <c r="N22" s="127"/>
      <c r="O22" s="14"/>
      <c r="P22" s="13"/>
      <c r="Q22" s="14"/>
      <c r="R22" s="13"/>
      <c r="S22" s="14"/>
      <c r="T22" s="14"/>
      <c r="U22" s="14"/>
    </row>
    <row r="23" spans="1:22" x14ac:dyDescent="0.25">
      <c r="A23" s="708">
        <v>5314</v>
      </c>
      <c r="B23" s="12" t="s">
        <v>749</v>
      </c>
      <c r="C23" s="13">
        <v>505</v>
      </c>
      <c r="D23" s="13">
        <v>769</v>
      </c>
      <c r="E23" s="13">
        <v>570</v>
      </c>
      <c r="F23" s="13">
        <v>270</v>
      </c>
      <c r="G23" s="13">
        <v>424</v>
      </c>
      <c r="H23" s="13">
        <v>180.75</v>
      </c>
      <c r="I23" s="13">
        <v>775</v>
      </c>
      <c r="J23" s="13">
        <v>575.75</v>
      </c>
      <c r="K23" s="14">
        <v>800</v>
      </c>
      <c r="L23" s="13"/>
      <c r="M23" s="14">
        <v>600</v>
      </c>
      <c r="N23" s="13">
        <v>744</v>
      </c>
      <c r="O23" s="14">
        <v>800</v>
      </c>
      <c r="P23" s="13">
        <v>840</v>
      </c>
      <c r="Q23" s="14">
        <v>1000</v>
      </c>
      <c r="R23" s="13">
        <v>800</v>
      </c>
      <c r="S23" s="14">
        <v>1000</v>
      </c>
      <c r="T23" s="14"/>
      <c r="U23" s="14"/>
    </row>
    <row r="24" spans="1:22" x14ac:dyDescent="0.25">
      <c r="A24" s="708">
        <v>5341</v>
      </c>
      <c r="B24" s="12" t="s">
        <v>1097</v>
      </c>
      <c r="C24" s="13">
        <v>413.7</v>
      </c>
      <c r="D24" s="13">
        <v>409.63</v>
      </c>
      <c r="E24" s="13">
        <v>412.4</v>
      </c>
      <c r="F24" s="13">
        <v>457.98</v>
      </c>
      <c r="G24" s="13">
        <v>472.84</v>
      </c>
      <c r="H24" s="13"/>
      <c r="I24" s="13">
        <v>306.58999999999997</v>
      </c>
      <c r="J24" s="13">
        <v>959.8</v>
      </c>
      <c r="K24" s="14">
        <v>960</v>
      </c>
      <c r="L24" s="13">
        <v>973.12</v>
      </c>
      <c r="M24" s="14">
        <v>960</v>
      </c>
      <c r="N24" s="13">
        <v>897.12</v>
      </c>
      <c r="O24" s="14">
        <v>960</v>
      </c>
      <c r="P24" s="13">
        <v>479.88</v>
      </c>
      <c r="Q24" s="14">
        <v>960</v>
      </c>
      <c r="R24" s="13">
        <v>199.95</v>
      </c>
      <c r="S24" s="14">
        <v>960</v>
      </c>
      <c r="T24" s="14"/>
      <c r="U24" s="14"/>
      <c r="V24" s="194"/>
    </row>
    <row r="25" spans="1:22" x14ac:dyDescent="0.25">
      <c r="A25" s="708">
        <v>5344</v>
      </c>
      <c r="B25" s="12" t="s">
        <v>722</v>
      </c>
      <c r="C25" s="13">
        <v>219.02</v>
      </c>
      <c r="D25" s="13">
        <v>243.85</v>
      </c>
      <c r="E25" s="13">
        <v>244.23</v>
      </c>
      <c r="F25" s="13">
        <v>170.9</v>
      </c>
      <c r="G25" s="13">
        <v>207.64</v>
      </c>
      <c r="H25" s="13">
        <v>272.11</v>
      </c>
      <c r="I25" s="13">
        <v>42.28</v>
      </c>
      <c r="J25" s="13">
        <v>26.45</v>
      </c>
      <c r="K25" s="14">
        <v>250</v>
      </c>
      <c r="L25" s="95">
        <v>155.66999999999999</v>
      </c>
      <c r="M25" s="14">
        <v>150</v>
      </c>
      <c r="N25" s="95">
        <v>99.49</v>
      </c>
      <c r="O25" s="14">
        <v>150</v>
      </c>
      <c r="P25" s="95">
        <v>174.1</v>
      </c>
      <c r="Q25" s="14">
        <v>150</v>
      </c>
      <c r="R25" s="95">
        <v>71.89</v>
      </c>
      <c r="S25" s="14">
        <v>150</v>
      </c>
      <c r="T25" s="14"/>
      <c r="U25" s="14"/>
    </row>
    <row r="26" spans="1:22" x14ac:dyDescent="0.25">
      <c r="A26" s="708">
        <v>5345</v>
      </c>
      <c r="B26" s="12" t="s">
        <v>752</v>
      </c>
      <c r="C26" s="13"/>
      <c r="D26" s="13"/>
      <c r="E26" s="13"/>
      <c r="F26" s="13"/>
      <c r="G26" s="13"/>
      <c r="H26" s="13">
        <v>644.76</v>
      </c>
      <c r="I26" s="13"/>
      <c r="J26" s="13"/>
      <c r="K26" s="14"/>
      <c r="L26" s="95"/>
      <c r="M26" s="14"/>
      <c r="N26" s="95"/>
      <c r="O26" s="14"/>
      <c r="P26" s="95"/>
      <c r="Q26" s="14"/>
      <c r="R26" s="95"/>
      <c r="S26" s="14"/>
      <c r="T26" s="14"/>
      <c r="U26" s="14"/>
    </row>
    <row r="27" spans="1:22" x14ac:dyDescent="0.25">
      <c r="A27" s="708">
        <v>5350</v>
      </c>
      <c r="B27" s="12" t="s">
        <v>2045</v>
      </c>
      <c r="C27" s="13"/>
      <c r="D27" s="13"/>
      <c r="E27" s="13"/>
      <c r="F27" s="13"/>
      <c r="G27" s="13"/>
      <c r="H27" s="13"/>
      <c r="I27" s="13"/>
      <c r="J27" s="13">
        <v>6000</v>
      </c>
      <c r="K27" s="14">
        <v>4500</v>
      </c>
      <c r="L27" s="95">
        <v>4500</v>
      </c>
      <c r="M27" s="14">
        <v>4500</v>
      </c>
      <c r="N27" s="95">
        <v>4500</v>
      </c>
      <c r="O27" s="14">
        <v>4500</v>
      </c>
      <c r="P27" s="95">
        <v>4500</v>
      </c>
      <c r="Q27" s="14">
        <v>4500</v>
      </c>
      <c r="R27" s="95"/>
      <c r="S27" s="14">
        <v>6000</v>
      </c>
      <c r="T27" s="14"/>
      <c r="U27" s="14"/>
    </row>
    <row r="28" spans="1:22" x14ac:dyDescent="0.25">
      <c r="A28" s="708">
        <v>5420</v>
      </c>
      <c r="B28" s="12" t="s">
        <v>753</v>
      </c>
      <c r="C28" s="13">
        <v>409.8</v>
      </c>
      <c r="D28" s="13">
        <v>757.31</v>
      </c>
      <c r="E28" s="13">
        <v>467.68</v>
      </c>
      <c r="F28" s="13">
        <v>659.16</v>
      </c>
      <c r="G28" s="13">
        <v>900.34</v>
      </c>
      <c r="H28" s="13">
        <v>2481.89</v>
      </c>
      <c r="I28" s="13">
        <v>441.73</v>
      </c>
      <c r="J28" s="13">
        <v>676.53</v>
      </c>
      <c r="K28" s="14">
        <v>700</v>
      </c>
      <c r="L28" s="95">
        <v>179.78</v>
      </c>
      <c r="M28" s="14">
        <v>700</v>
      </c>
      <c r="N28" s="95">
        <v>734.25</v>
      </c>
      <c r="O28" s="14">
        <v>900</v>
      </c>
      <c r="P28" s="95">
        <v>223.81</v>
      </c>
      <c r="Q28" s="14">
        <v>900</v>
      </c>
      <c r="R28" s="95"/>
      <c r="S28" s="14">
        <v>900</v>
      </c>
      <c r="T28" s="14"/>
      <c r="U28" s="14"/>
    </row>
    <row r="29" spans="1:22" x14ac:dyDescent="0.25">
      <c r="A29" s="708">
        <v>5581</v>
      </c>
      <c r="B29" s="12" t="s">
        <v>755</v>
      </c>
      <c r="C29" s="71"/>
      <c r="D29" s="13">
        <v>0</v>
      </c>
      <c r="E29" s="13"/>
      <c r="F29" s="13"/>
      <c r="G29" s="13"/>
      <c r="H29" s="13">
        <v>1321.6</v>
      </c>
      <c r="I29" s="13">
        <v>100</v>
      </c>
      <c r="J29" s="13">
        <v>0</v>
      </c>
      <c r="K29" s="14">
        <v>400</v>
      </c>
      <c r="L29" s="13"/>
      <c r="M29" s="14">
        <v>400</v>
      </c>
      <c r="N29" s="13">
        <v>608.24</v>
      </c>
      <c r="O29" s="14">
        <v>800</v>
      </c>
      <c r="P29" s="13"/>
      <c r="Q29" s="14">
        <v>800</v>
      </c>
      <c r="R29" s="13"/>
      <c r="S29" s="14">
        <v>800</v>
      </c>
      <c r="T29" s="14"/>
      <c r="U29" s="14"/>
    </row>
    <row r="30" spans="1:22" hidden="1" x14ac:dyDescent="0.25">
      <c r="A30" s="708">
        <v>5590</v>
      </c>
      <c r="B30" s="12" t="s">
        <v>1098</v>
      </c>
      <c r="C30" s="13"/>
      <c r="D30" s="13"/>
      <c r="E30" s="13"/>
      <c r="F30" s="13"/>
      <c r="G30" s="13"/>
      <c r="H30" s="13">
        <v>1606.14</v>
      </c>
      <c r="I30" s="13">
        <v>753.57</v>
      </c>
      <c r="J30" s="13"/>
      <c r="K30" s="14"/>
      <c r="L30" s="95"/>
      <c r="M30" s="14"/>
      <c r="N30" s="95"/>
      <c r="O30" s="14"/>
      <c r="P30" s="95"/>
      <c r="Q30" s="14"/>
      <c r="R30" s="95"/>
      <c r="S30" s="14"/>
      <c r="T30" s="19"/>
      <c r="U30" s="19"/>
    </row>
    <row r="31" spans="1:22" x14ac:dyDescent="0.25">
      <c r="A31" s="708">
        <v>5710</v>
      </c>
      <c r="B31" s="12" t="s">
        <v>726</v>
      </c>
      <c r="C31" s="18">
        <v>1845.47</v>
      </c>
      <c r="D31" s="18">
        <v>1812.25</v>
      </c>
      <c r="E31" s="18">
        <v>1758.79</v>
      </c>
      <c r="F31" s="18">
        <v>1752.48</v>
      </c>
      <c r="G31" s="18">
        <v>1486.05</v>
      </c>
      <c r="H31" s="18">
        <v>1778.58</v>
      </c>
      <c r="I31" s="18">
        <v>2731.22</v>
      </c>
      <c r="J31" s="18">
        <v>1612.07</v>
      </c>
      <c r="K31" s="19">
        <v>1200</v>
      </c>
      <c r="L31" s="18">
        <v>1296.72</v>
      </c>
      <c r="M31" s="19">
        <v>800</v>
      </c>
      <c r="N31" s="18">
        <v>2777.37</v>
      </c>
      <c r="O31" s="19">
        <v>2000</v>
      </c>
      <c r="P31" s="18">
        <v>2828.03</v>
      </c>
      <c r="Q31" s="19">
        <v>2800</v>
      </c>
      <c r="R31" s="111"/>
      <c r="S31" s="19">
        <v>2800</v>
      </c>
      <c r="T31" s="19"/>
      <c r="U31" s="19"/>
    </row>
    <row r="32" spans="1:22" ht="13.8" thickBot="1" x14ac:dyDescent="0.3">
      <c r="A32" s="708">
        <v>5730</v>
      </c>
      <c r="B32" s="12" t="s">
        <v>759</v>
      </c>
      <c r="C32" s="15">
        <v>80</v>
      </c>
      <c r="D32" s="15">
        <v>80</v>
      </c>
      <c r="E32" s="15">
        <v>80</v>
      </c>
      <c r="F32" s="15">
        <v>80</v>
      </c>
      <c r="G32" s="15">
        <v>80</v>
      </c>
      <c r="H32" s="15">
        <v>350</v>
      </c>
      <c r="I32" s="15">
        <v>80</v>
      </c>
      <c r="J32" s="15">
        <v>551</v>
      </c>
      <c r="K32" s="16">
        <v>160</v>
      </c>
      <c r="L32" s="15">
        <v>180</v>
      </c>
      <c r="M32" s="16">
        <v>160</v>
      </c>
      <c r="N32" s="15">
        <v>80</v>
      </c>
      <c r="O32" s="16">
        <v>160</v>
      </c>
      <c r="P32" s="15">
        <v>160</v>
      </c>
      <c r="Q32" s="16">
        <v>160</v>
      </c>
      <c r="R32" s="15">
        <v>160</v>
      </c>
      <c r="S32" s="16">
        <v>160</v>
      </c>
      <c r="T32" s="16"/>
      <c r="U32" s="16"/>
    </row>
    <row r="33" spans="1:25" x14ac:dyDescent="0.25">
      <c r="A33" s="708"/>
      <c r="B33" s="17" t="s">
        <v>728</v>
      </c>
      <c r="C33" s="18">
        <f t="shared" ref="C33:S33" si="2">SUM(C23:C32)</f>
        <v>3472.99</v>
      </c>
      <c r="D33" s="18">
        <f t="shared" si="2"/>
        <v>4072.04</v>
      </c>
      <c r="E33" s="18">
        <f t="shared" si="2"/>
        <v>3533.1</v>
      </c>
      <c r="F33" s="18">
        <f t="shared" si="2"/>
        <v>3390.52</v>
      </c>
      <c r="G33" s="18">
        <f t="shared" si="2"/>
        <v>3570.87</v>
      </c>
      <c r="H33" s="18">
        <f t="shared" si="2"/>
        <v>8635.83</v>
      </c>
      <c r="I33" s="18">
        <f t="shared" si="2"/>
        <v>5230.3899999999994</v>
      </c>
      <c r="J33" s="18">
        <f t="shared" ref="J33" si="3">SUM(J23:J32)</f>
        <v>10401.6</v>
      </c>
      <c r="K33" s="19">
        <f t="shared" ref="K33:O33" si="4">SUM(K23:K32)</f>
        <v>8970</v>
      </c>
      <c r="L33" s="18">
        <f t="shared" si="4"/>
        <v>7285.29</v>
      </c>
      <c r="M33" s="19">
        <f t="shared" si="4"/>
        <v>8270</v>
      </c>
      <c r="N33" s="18">
        <f t="shared" ref="N33" si="5">SUM(N23:N32)</f>
        <v>10440.469999999999</v>
      </c>
      <c r="O33" s="19">
        <f t="shared" si="4"/>
        <v>10270</v>
      </c>
      <c r="P33" s="18">
        <f t="shared" ref="P33" si="6">SUM(P23:P32)</f>
        <v>9205.82</v>
      </c>
      <c r="Q33" s="19">
        <f t="shared" ref="Q33" si="7">SUM(Q23:Q32)</f>
        <v>11270</v>
      </c>
      <c r="R33" s="18">
        <f>SUM(R23:R32)</f>
        <v>1231.8400000000001</v>
      </c>
      <c r="S33" s="19">
        <f t="shared" si="2"/>
        <v>12770</v>
      </c>
      <c r="T33" s="19"/>
      <c r="U33" s="19">
        <f>+S33</f>
        <v>12770</v>
      </c>
    </row>
    <row r="34" spans="1:25" x14ac:dyDescent="0.25">
      <c r="A34" s="708"/>
      <c r="B34" s="12"/>
      <c r="C34" s="13"/>
      <c r="D34" s="13"/>
      <c r="E34" s="13"/>
      <c r="F34" s="13"/>
      <c r="G34" s="13"/>
      <c r="H34" s="13"/>
      <c r="I34" s="13"/>
      <c r="J34" s="13"/>
      <c r="K34" s="14"/>
      <c r="L34" s="13"/>
      <c r="M34" s="14"/>
      <c r="N34" s="13"/>
      <c r="O34" s="14"/>
      <c r="P34" s="13"/>
      <c r="Q34" s="14"/>
      <c r="R34" s="13"/>
      <c r="S34" s="14"/>
      <c r="T34" s="14"/>
      <c r="U34" s="14"/>
    </row>
    <row r="35" spans="1:25" ht="13.8" thickBot="1" x14ac:dyDescent="0.3">
      <c r="A35" s="709"/>
      <c r="B35" s="20" t="s">
        <v>1099</v>
      </c>
      <c r="C35" s="21">
        <f t="shared" ref="C35:U35" si="8">+C33+C20</f>
        <v>111725.37000000001</v>
      </c>
      <c r="D35" s="21">
        <f t="shared" si="8"/>
        <v>114463.61999999998</v>
      </c>
      <c r="E35" s="21">
        <f t="shared" si="8"/>
        <v>118337.56</v>
      </c>
      <c r="F35" s="21">
        <f t="shared" si="8"/>
        <v>123515.03</v>
      </c>
      <c r="G35" s="21">
        <f t="shared" si="8"/>
        <v>124191.90999999999</v>
      </c>
      <c r="H35" s="21">
        <f t="shared" si="8"/>
        <v>142151.04999999999</v>
      </c>
      <c r="I35" s="21">
        <f t="shared" si="8"/>
        <v>124218.98</v>
      </c>
      <c r="J35" s="21">
        <f t="shared" ref="J35" si="9">+J33+J20</f>
        <v>135195.35999999999</v>
      </c>
      <c r="K35" s="22">
        <f t="shared" ref="K35:O35" si="10">+K33+K20</f>
        <v>141444</v>
      </c>
      <c r="L35" s="21">
        <f t="shared" si="10"/>
        <v>139843.77000000002</v>
      </c>
      <c r="M35" s="22">
        <f t="shared" si="10"/>
        <v>143080</v>
      </c>
      <c r="N35" s="21">
        <f t="shared" ref="N35" si="11">+N33+N20</f>
        <v>126711.55999999998</v>
      </c>
      <c r="O35" s="22">
        <f t="shared" si="10"/>
        <v>140666</v>
      </c>
      <c r="P35" s="21">
        <f t="shared" ref="P35" si="12">+P33+P20</f>
        <v>133502.16</v>
      </c>
      <c r="Q35" s="22">
        <f t="shared" ref="Q35" si="13">+Q33+Q20</f>
        <v>148621</v>
      </c>
      <c r="R35" s="21">
        <f t="shared" si="8"/>
        <v>60872.34</v>
      </c>
      <c r="S35" s="22">
        <f t="shared" si="8"/>
        <v>155082</v>
      </c>
      <c r="T35" s="22">
        <f>+S35</f>
        <v>155082</v>
      </c>
      <c r="U35" s="22">
        <f t="shared" si="8"/>
        <v>155082</v>
      </c>
    </row>
    <row r="36" spans="1:25" ht="16.2" thickTop="1" x14ac:dyDescent="0.3">
      <c r="A36" s="54"/>
      <c r="B36" s="4"/>
      <c r="C36" s="23"/>
      <c r="D36" s="23"/>
      <c r="E36" s="23"/>
      <c r="F36" s="23"/>
      <c r="G36" s="23"/>
      <c r="H36" s="23"/>
      <c r="I36" s="23"/>
      <c r="J36" s="23"/>
      <c r="K36" s="23"/>
      <c r="L36" s="23"/>
      <c r="M36" s="23"/>
      <c r="N36" s="23"/>
      <c r="O36" s="23"/>
      <c r="P36" s="23"/>
      <c r="Q36" s="23"/>
      <c r="R36" s="181" t="s">
        <v>732</v>
      </c>
      <c r="S36" s="1001">
        <f>+S35-Q35</f>
        <v>6461</v>
      </c>
      <c r="T36" s="1002">
        <f>ROUND((+S36/Q35),4)</f>
        <v>4.3499999999999997E-2</v>
      </c>
      <c r="U36" s="73"/>
      <c r="V36" s="23"/>
      <c r="W36" s="25"/>
      <c r="X36" s="183"/>
      <c r="Y36" s="25"/>
    </row>
    <row r="37" spans="1:25" x14ac:dyDescent="0.25">
      <c r="A37" s="703"/>
      <c r="B37" s="4"/>
      <c r="C37" s="24"/>
      <c r="D37" s="23"/>
      <c r="E37" s="23"/>
      <c r="F37" s="23"/>
      <c r="G37" s="23"/>
      <c r="H37" s="23"/>
      <c r="I37" s="23"/>
      <c r="J37" s="23"/>
      <c r="K37" s="23"/>
      <c r="L37" s="23"/>
      <c r="M37" s="23"/>
      <c r="N37" s="23"/>
      <c r="O37" s="23"/>
      <c r="P37" s="23"/>
      <c r="Q37" s="23"/>
      <c r="R37" s="25"/>
      <c r="S37" s="23"/>
      <c r="T37" s="23"/>
      <c r="U37" s="73"/>
      <c r="V37" s="25"/>
      <c r="W37" s="25"/>
      <c r="X37" s="25"/>
      <c r="Y37" s="25"/>
    </row>
    <row r="38" spans="1:25" x14ac:dyDescent="0.25">
      <c r="A38" s="703" t="s">
        <v>793</v>
      </c>
      <c r="B38" s="4"/>
      <c r="D38" s="194"/>
      <c r="E38" s="194"/>
      <c r="F38" s="194"/>
      <c r="G38" s="194"/>
      <c r="H38" s="194"/>
      <c r="I38" s="194"/>
      <c r="J38" s="194"/>
      <c r="K38" s="194"/>
      <c r="L38" s="194"/>
      <c r="M38" s="194"/>
      <c r="N38" s="194"/>
      <c r="O38" s="194"/>
      <c r="P38" s="194"/>
      <c r="Q38" s="194"/>
    </row>
    <row r="39" spans="1:25" ht="13.8" thickBot="1" x14ac:dyDescent="0.3">
      <c r="A39" s="703"/>
      <c r="B39" s="4"/>
      <c r="D39" s="194"/>
      <c r="E39" s="194"/>
      <c r="F39" s="194"/>
      <c r="G39" s="194"/>
      <c r="H39" s="194"/>
      <c r="I39" s="194"/>
      <c r="J39" s="194"/>
      <c r="K39" s="194"/>
      <c r="L39" s="194"/>
      <c r="M39" s="194"/>
      <c r="N39" s="194"/>
      <c r="O39" s="194"/>
      <c r="P39" s="194"/>
      <c r="Q39" s="194"/>
    </row>
    <row r="40" spans="1:25" ht="13.8" thickTop="1" x14ac:dyDescent="0.25">
      <c r="A40" s="710" t="s">
        <v>760</v>
      </c>
      <c r="B40" s="98"/>
      <c r="D40" s="194"/>
      <c r="E40" s="194"/>
      <c r="F40" s="194"/>
      <c r="G40" s="194"/>
      <c r="H40" s="194"/>
      <c r="I40" s="194"/>
      <c r="J40" s="194"/>
      <c r="K40" s="194"/>
      <c r="L40" s="194"/>
      <c r="O40" s="130" t="s">
        <v>761</v>
      </c>
      <c r="P40" s="137" t="s">
        <v>762</v>
      </c>
      <c r="Q40" s="149" t="s">
        <v>1100</v>
      </c>
      <c r="R40" s="139" t="s">
        <v>763</v>
      </c>
      <c r="S40"/>
      <c r="T40"/>
      <c r="U40" s="187" t="s">
        <v>764</v>
      </c>
      <c r="V40"/>
    </row>
    <row r="41" spans="1:25" ht="13.8" thickBot="1" x14ac:dyDescent="0.3">
      <c r="A41" s="711" t="s">
        <v>765</v>
      </c>
      <c r="B41" s="100" t="s">
        <v>766</v>
      </c>
      <c r="D41" s="194"/>
      <c r="E41" s="194"/>
      <c r="F41" s="194"/>
      <c r="G41" s="194"/>
      <c r="H41" s="194"/>
      <c r="I41" s="194"/>
      <c r="J41" s="194"/>
      <c r="K41" s="194"/>
      <c r="L41" s="194"/>
      <c r="O41" s="269">
        <v>45474</v>
      </c>
      <c r="P41" s="140" t="s">
        <v>767</v>
      </c>
      <c r="Q41" s="141" t="s">
        <v>831</v>
      </c>
      <c r="R41" s="141" t="s">
        <v>769</v>
      </c>
      <c r="S41" s="106" t="s">
        <v>770</v>
      </c>
      <c r="T41" s="106"/>
      <c r="U41" s="106" t="s">
        <v>469</v>
      </c>
      <c r="V41" s="106" t="s">
        <v>771</v>
      </c>
    </row>
    <row r="42" spans="1:25" ht="13.8" thickTop="1" x14ac:dyDescent="0.25">
      <c r="A42" s="152">
        <v>44354</v>
      </c>
      <c r="B42" s="101" t="s">
        <v>104</v>
      </c>
      <c r="D42" s="194"/>
      <c r="E42" s="194"/>
      <c r="F42" s="194"/>
      <c r="G42" s="194"/>
      <c r="H42" s="194"/>
      <c r="I42" s="194"/>
      <c r="J42" s="194"/>
      <c r="K42" s="194"/>
      <c r="L42" s="194"/>
      <c r="O42" s="19" t="s">
        <v>2009</v>
      </c>
      <c r="P42" s="136"/>
      <c r="Q42" s="18"/>
      <c r="R42" s="136">
        <f>+'NAGE &amp; Non-Union Wages'!G10</f>
        <v>74261</v>
      </c>
      <c r="S42" s="152">
        <v>44354</v>
      </c>
      <c r="T42" s="152"/>
      <c r="U42" s="712">
        <v>4</v>
      </c>
    </row>
    <row r="43" spans="1:25" x14ac:dyDescent="0.25">
      <c r="A43" s="152">
        <v>36591</v>
      </c>
      <c r="B43" s="60" t="s">
        <v>1101</v>
      </c>
      <c r="D43" s="194"/>
      <c r="E43" s="194"/>
      <c r="F43" s="194"/>
      <c r="G43" s="194"/>
      <c r="H43" s="194"/>
      <c r="I43" s="194"/>
      <c r="J43" s="194"/>
      <c r="K43" s="194"/>
      <c r="L43" s="194"/>
      <c r="O43" s="14" t="s">
        <v>867</v>
      </c>
      <c r="P43" s="147">
        <f>+'NAGE &amp; Non-Union Wages'!L5</f>
        <v>24.31</v>
      </c>
      <c r="Q43" s="18">
        <v>1828.5</v>
      </c>
      <c r="R43" s="136">
        <f>+ROUND((+P43*Q43),2)</f>
        <v>44450.84</v>
      </c>
      <c r="S43" s="152">
        <v>36591</v>
      </c>
      <c r="T43" s="152"/>
      <c r="U43" s="712">
        <v>25</v>
      </c>
      <c r="V43" s="1">
        <v>1100</v>
      </c>
    </row>
    <row r="44" spans="1:25" x14ac:dyDescent="0.25">
      <c r="A44" s="703"/>
      <c r="B44" s="4"/>
      <c r="C44" s="23"/>
      <c r="D44" s="23"/>
      <c r="E44" s="23"/>
      <c r="F44" s="194"/>
      <c r="G44" s="194"/>
      <c r="H44" s="194"/>
      <c r="I44" s="23"/>
      <c r="J44" s="23"/>
      <c r="K44" s="194"/>
      <c r="L44" s="194"/>
      <c r="O44" s="23"/>
      <c r="P44" s="23"/>
      <c r="Q44" s="23"/>
      <c r="R44" s="25"/>
      <c r="S44" s="23"/>
      <c r="T44" s="23"/>
      <c r="U44" s="23"/>
      <c r="V44" s="23"/>
      <c r="W44" s="25"/>
      <c r="X44" s="25"/>
      <c r="Y44" s="25"/>
    </row>
    <row r="45" spans="1:25" ht="13.8" thickBot="1" x14ac:dyDescent="0.3">
      <c r="A45" s="703"/>
      <c r="B45" s="4"/>
      <c r="C45" s="23"/>
      <c r="D45" s="23"/>
      <c r="E45" s="23"/>
      <c r="F45" s="194"/>
      <c r="G45" s="194"/>
      <c r="H45" s="194"/>
      <c r="I45" s="23"/>
      <c r="J45" s="23"/>
      <c r="K45" s="194"/>
      <c r="L45" s="194"/>
      <c r="O45" s="23"/>
      <c r="P45" s="23"/>
      <c r="Q45" s="23"/>
      <c r="R45" s="25"/>
      <c r="S45" s="23"/>
      <c r="T45" s="23"/>
      <c r="U45" s="23"/>
      <c r="V45" s="23"/>
      <c r="W45" s="25"/>
      <c r="X45" s="25"/>
      <c r="Y45" s="25"/>
    </row>
    <row r="46" spans="1:25" ht="13.8" thickTop="1" x14ac:dyDescent="0.25">
      <c r="A46" s="718"/>
      <c r="B46" s="349"/>
      <c r="C46" s="350" t="s">
        <v>256</v>
      </c>
      <c r="D46" s="351" t="s">
        <v>256</v>
      </c>
      <c r="E46" s="351" t="s">
        <v>256</v>
      </c>
      <c r="F46" s="194"/>
      <c r="G46" s="194"/>
      <c r="H46" s="194"/>
      <c r="I46" s="194"/>
      <c r="J46" s="194"/>
      <c r="K46" s="194"/>
      <c r="L46" s="194"/>
      <c r="O46" s="352" t="s">
        <v>255</v>
      </c>
      <c r="P46" s="353" t="s">
        <v>716</v>
      </c>
      <c r="Q46" s="354" t="s">
        <v>730</v>
      </c>
      <c r="R46" s="353" t="s">
        <v>731</v>
      </c>
      <c r="S46" s="355"/>
      <c r="T46" s="550"/>
      <c r="U46" s="354"/>
      <c r="V46" s="23"/>
      <c r="W46" s="25"/>
      <c r="X46" s="25"/>
      <c r="Y46" s="25"/>
    </row>
    <row r="47" spans="1:25" ht="13.8" thickBot="1" x14ac:dyDescent="0.3">
      <c r="A47" s="719" t="s">
        <v>715</v>
      </c>
      <c r="B47" s="356"/>
      <c r="C47" s="357" t="s">
        <v>243</v>
      </c>
      <c r="D47" s="357" t="s">
        <v>244</v>
      </c>
      <c r="E47" s="358" t="s">
        <v>245</v>
      </c>
      <c r="F47" s="194"/>
      <c r="G47" s="194"/>
      <c r="H47" s="194"/>
      <c r="I47" s="194"/>
      <c r="J47" s="194"/>
      <c r="K47" s="194"/>
      <c r="L47" s="194"/>
      <c r="O47" s="359" t="s">
        <v>469</v>
      </c>
      <c r="P47" s="359" t="s">
        <v>1345</v>
      </c>
      <c r="Q47" s="358" t="s">
        <v>732</v>
      </c>
      <c r="R47" s="360" t="s">
        <v>732</v>
      </c>
      <c r="S47" s="361" t="s">
        <v>733</v>
      </c>
      <c r="T47" s="551"/>
      <c r="U47" s="359"/>
      <c r="V47" s="23"/>
      <c r="W47" s="25"/>
      <c r="X47" s="25"/>
      <c r="Y47" s="25"/>
    </row>
    <row r="48" spans="1:25" ht="13.8" thickTop="1" x14ac:dyDescent="0.25">
      <c r="A48" s="723"/>
      <c r="B48" s="383"/>
      <c r="C48" s="384"/>
      <c r="D48" s="385"/>
      <c r="E48" s="385"/>
      <c r="F48" s="194"/>
      <c r="G48" s="194"/>
      <c r="H48" s="194"/>
      <c r="I48" s="194"/>
      <c r="J48" s="194"/>
      <c r="K48" s="194"/>
      <c r="L48" s="194"/>
      <c r="O48" s="386"/>
      <c r="P48" s="363"/>
      <c r="Q48" s="386"/>
      <c r="R48" s="384"/>
      <c r="S48" s="367"/>
      <c r="T48" s="553"/>
      <c r="U48" s="368"/>
      <c r="V48" s="23"/>
      <c r="W48" s="25"/>
      <c r="X48" s="25"/>
      <c r="Y48" s="25"/>
    </row>
    <row r="49" spans="1:25" x14ac:dyDescent="0.25">
      <c r="A49" s="724">
        <v>5111</v>
      </c>
      <c r="B49" s="369" t="s">
        <v>1010</v>
      </c>
      <c r="C49" s="373">
        <v>96122.44</v>
      </c>
      <c r="D49" s="373">
        <v>98465.76</v>
      </c>
      <c r="E49" s="373">
        <v>101448.58</v>
      </c>
      <c r="F49" s="194"/>
      <c r="G49" s="194"/>
      <c r="H49" s="194"/>
      <c r="I49" s="194"/>
      <c r="J49" s="194"/>
      <c r="K49" s="194"/>
      <c r="L49" s="194"/>
      <c r="O49" s="372">
        <f t="shared" ref="O49:O57" si="14">+Q9</f>
        <v>113851</v>
      </c>
      <c r="P49" s="393">
        <f>+S9</f>
        <v>118712</v>
      </c>
      <c r="Q49" s="368">
        <f t="shared" ref="Q49:Q67" si="15">+P49-O49</f>
        <v>4861</v>
      </c>
      <c r="R49" s="374">
        <f t="shared" ref="R49:R67" si="16">IF(O49+P49&lt;&gt;0,IF(O49&lt;&gt;0,IF(Q49&lt;&gt;0,ROUND((+Q49/O49),4),""),1),"")</f>
        <v>4.2700000000000002E-2</v>
      </c>
      <c r="S49" s="367" t="s">
        <v>2418</v>
      </c>
      <c r="T49" s="553"/>
      <c r="U49" s="368"/>
      <c r="V49" s="23"/>
      <c r="W49" s="25"/>
      <c r="X49" s="25"/>
      <c r="Y49" s="25"/>
    </row>
    <row r="50" spans="1:25" x14ac:dyDescent="0.25">
      <c r="A50" s="724">
        <v>5124</v>
      </c>
      <c r="B50" s="369" t="s">
        <v>1092</v>
      </c>
      <c r="C50" s="373"/>
      <c r="D50" s="373"/>
      <c r="E50" s="373"/>
      <c r="F50" s="194"/>
      <c r="G50" s="194"/>
      <c r="H50" s="194"/>
      <c r="I50" s="194"/>
      <c r="J50" s="194"/>
      <c r="K50" s="194"/>
      <c r="L50" s="194"/>
      <c r="O50" s="372">
        <f t="shared" si="14"/>
        <v>0</v>
      </c>
      <c r="P50" s="393"/>
      <c r="Q50" s="368">
        <f t="shared" si="15"/>
        <v>0</v>
      </c>
      <c r="R50" s="374" t="str">
        <f t="shared" si="16"/>
        <v/>
      </c>
      <c r="S50" s="367"/>
      <c r="T50" s="553"/>
      <c r="U50" s="368"/>
      <c r="V50" s="23"/>
      <c r="W50" s="25"/>
      <c r="X50" s="25"/>
      <c r="Y50" s="25"/>
    </row>
    <row r="51" spans="1:25" x14ac:dyDescent="0.25">
      <c r="A51" s="724">
        <v>5140</v>
      </c>
      <c r="B51" s="369" t="s">
        <v>1093</v>
      </c>
      <c r="C51" s="373">
        <v>324.72000000000003</v>
      </c>
      <c r="D51" s="373">
        <v>487.08</v>
      </c>
      <c r="E51" s="373">
        <v>162.36000000000001</v>
      </c>
      <c r="F51" s="194"/>
      <c r="G51" s="194"/>
      <c r="H51" s="194"/>
      <c r="I51" s="194"/>
      <c r="J51" s="194"/>
      <c r="K51" s="194"/>
      <c r="L51" s="194"/>
      <c r="O51" s="372">
        <f t="shared" si="14"/>
        <v>1150</v>
      </c>
      <c r="P51" s="393">
        <f t="shared" ref="P51:P57" si="17">+S11</f>
        <v>1150</v>
      </c>
      <c r="Q51" s="368">
        <f t="shared" si="15"/>
        <v>0</v>
      </c>
      <c r="R51" s="374" t="str">
        <f t="shared" si="16"/>
        <v/>
      </c>
      <c r="S51" s="367"/>
      <c r="T51" s="553"/>
      <c r="U51" s="368"/>
      <c r="V51" s="23"/>
      <c r="W51" s="25"/>
      <c r="X51" s="25"/>
      <c r="Y51" s="25"/>
    </row>
    <row r="52" spans="1:25" x14ac:dyDescent="0.25">
      <c r="A52" s="724">
        <v>5141</v>
      </c>
      <c r="B52" s="369" t="s">
        <v>1094</v>
      </c>
      <c r="C52" s="373">
        <v>2976.6</v>
      </c>
      <c r="D52" s="373">
        <v>2408.34</v>
      </c>
      <c r="E52" s="373">
        <v>2841.3</v>
      </c>
      <c r="F52" s="194"/>
      <c r="G52" s="194"/>
      <c r="H52" s="194"/>
      <c r="I52" s="194"/>
      <c r="J52" s="194"/>
      <c r="K52" s="194"/>
      <c r="L52" s="194"/>
      <c r="O52" s="372">
        <f t="shared" si="14"/>
        <v>3900</v>
      </c>
      <c r="P52" s="393">
        <f t="shared" si="17"/>
        <v>3900</v>
      </c>
      <c r="Q52" s="368">
        <f t="shared" si="15"/>
        <v>0</v>
      </c>
      <c r="R52" s="374" t="str">
        <f t="shared" si="16"/>
        <v/>
      </c>
      <c r="S52" s="367"/>
      <c r="T52" s="553"/>
      <c r="U52" s="368"/>
      <c r="V52" s="23"/>
      <c r="W52" s="25"/>
      <c r="X52" s="25"/>
      <c r="Y52" s="25"/>
    </row>
    <row r="53" spans="1:25" x14ac:dyDescent="0.25">
      <c r="A53" s="724">
        <v>5142</v>
      </c>
      <c r="B53" s="369" t="s">
        <v>1095</v>
      </c>
      <c r="C53" s="373">
        <v>2516.58</v>
      </c>
      <c r="D53" s="373">
        <v>2570.6999999999998</v>
      </c>
      <c r="E53" s="373">
        <v>3220.14</v>
      </c>
      <c r="F53" s="194"/>
      <c r="G53" s="194"/>
      <c r="H53" s="194"/>
      <c r="I53" s="194"/>
      <c r="J53" s="194"/>
      <c r="K53" s="194"/>
      <c r="L53" s="194"/>
      <c r="O53" s="372">
        <f t="shared" si="14"/>
        <v>3900</v>
      </c>
      <c r="P53" s="393">
        <f t="shared" si="17"/>
        <v>3900</v>
      </c>
      <c r="Q53" s="368">
        <f t="shared" si="15"/>
        <v>0</v>
      </c>
      <c r="R53" s="374" t="str">
        <f t="shared" si="16"/>
        <v/>
      </c>
      <c r="S53" s="367"/>
      <c r="T53" s="553"/>
      <c r="U53" s="368"/>
      <c r="V53" s="23"/>
      <c r="W53" s="25"/>
      <c r="X53" s="25"/>
      <c r="Y53" s="25"/>
    </row>
    <row r="54" spans="1:25" x14ac:dyDescent="0.25">
      <c r="A54" s="724">
        <v>5143</v>
      </c>
      <c r="B54" s="369" t="s">
        <v>1096</v>
      </c>
      <c r="C54" s="373">
        <v>5412</v>
      </c>
      <c r="D54" s="373">
        <v>5709.66</v>
      </c>
      <c r="E54" s="373">
        <v>6332.04</v>
      </c>
      <c r="F54" s="194"/>
      <c r="G54" s="194"/>
      <c r="H54" s="194"/>
      <c r="I54" s="194"/>
      <c r="J54" s="194"/>
      <c r="K54" s="194"/>
      <c r="L54" s="194"/>
      <c r="O54" s="372">
        <f t="shared" si="14"/>
        <v>10750</v>
      </c>
      <c r="P54" s="393">
        <f t="shared" si="17"/>
        <v>10750</v>
      </c>
      <c r="Q54" s="368">
        <f t="shared" si="15"/>
        <v>0</v>
      </c>
      <c r="R54" s="374" t="str">
        <f t="shared" si="16"/>
        <v/>
      </c>
      <c r="S54" s="367"/>
      <c r="T54" s="553"/>
      <c r="U54" s="368"/>
      <c r="V54" s="23"/>
      <c r="W54" s="25"/>
      <c r="X54" s="25"/>
      <c r="Y54" s="25"/>
    </row>
    <row r="55" spans="1:25" x14ac:dyDescent="0.25">
      <c r="A55" s="724">
        <v>5144</v>
      </c>
      <c r="B55" s="369" t="s">
        <v>27</v>
      </c>
      <c r="C55" s="375">
        <v>600</v>
      </c>
      <c r="D55" s="375">
        <v>450</v>
      </c>
      <c r="E55" s="375">
        <v>500</v>
      </c>
      <c r="F55" s="194"/>
      <c r="G55" s="194"/>
      <c r="H55" s="194"/>
      <c r="I55" s="194"/>
      <c r="J55" s="194"/>
      <c r="K55" s="194"/>
      <c r="L55" s="194"/>
      <c r="O55" s="372">
        <f t="shared" si="14"/>
        <v>1000</v>
      </c>
      <c r="P55" s="393">
        <f t="shared" si="17"/>
        <v>1100</v>
      </c>
      <c r="Q55" s="368">
        <f t="shared" si="15"/>
        <v>100</v>
      </c>
      <c r="R55" s="374">
        <f t="shared" si="16"/>
        <v>0.1</v>
      </c>
      <c r="S55" s="367" t="s">
        <v>2419</v>
      </c>
      <c r="T55" s="553"/>
      <c r="U55" s="368"/>
      <c r="V55" s="23"/>
      <c r="W55" s="25"/>
      <c r="X55" s="25"/>
      <c r="Y55" s="25"/>
    </row>
    <row r="56" spans="1:25" ht="13.8" thickBot="1" x14ac:dyDescent="0.3">
      <c r="A56" s="724">
        <v>5145</v>
      </c>
      <c r="B56" s="369" t="s">
        <v>1018</v>
      </c>
      <c r="C56" s="371">
        <v>300.04000000000002</v>
      </c>
      <c r="D56" s="371">
        <v>300.04000000000002</v>
      </c>
      <c r="E56" s="371">
        <v>300.04000000000002</v>
      </c>
      <c r="F56" s="194"/>
      <c r="G56" s="194"/>
      <c r="H56" s="194"/>
      <c r="I56" s="194"/>
      <c r="J56" s="194"/>
      <c r="K56" s="194"/>
      <c r="L56" s="194"/>
      <c r="O56" s="372">
        <f t="shared" si="14"/>
        <v>300</v>
      </c>
      <c r="P56" s="393">
        <f t="shared" si="17"/>
        <v>300</v>
      </c>
      <c r="Q56" s="368">
        <f t="shared" si="15"/>
        <v>0</v>
      </c>
      <c r="R56" s="374" t="str">
        <f t="shared" si="16"/>
        <v/>
      </c>
      <c r="S56" s="367"/>
      <c r="T56" s="553"/>
      <c r="U56" s="368"/>
      <c r="V56" s="23"/>
      <c r="W56" s="25"/>
      <c r="X56" s="25"/>
      <c r="Y56" s="25"/>
    </row>
    <row r="57" spans="1:25" x14ac:dyDescent="0.25">
      <c r="A57" s="724">
        <v>5146</v>
      </c>
      <c r="B57" s="369" t="s">
        <v>1974</v>
      </c>
      <c r="C57" s="375"/>
      <c r="D57" s="375"/>
      <c r="E57" s="375"/>
      <c r="F57" s="194"/>
      <c r="G57" s="194"/>
      <c r="H57" s="194"/>
      <c r="I57" s="194"/>
      <c r="J57" s="194"/>
      <c r="K57" s="194"/>
      <c r="L57" s="194"/>
      <c r="O57" s="372">
        <f t="shared" si="14"/>
        <v>2500</v>
      </c>
      <c r="P57" s="393">
        <f t="shared" si="17"/>
        <v>2500</v>
      </c>
      <c r="Q57" s="368">
        <f t="shared" ref="Q57" si="18">+P57-O57</f>
        <v>0</v>
      </c>
      <c r="R57" s="374" t="str">
        <f t="shared" si="16"/>
        <v/>
      </c>
      <c r="S57" s="367"/>
      <c r="T57" s="553"/>
      <c r="U57" s="368"/>
      <c r="V57" s="23"/>
      <c r="W57" s="25"/>
      <c r="X57" s="25"/>
      <c r="Y57" s="25"/>
    </row>
    <row r="58" spans="1:25" x14ac:dyDescent="0.25">
      <c r="A58" s="724">
        <v>5314</v>
      </c>
      <c r="B58" s="369" t="s">
        <v>749</v>
      </c>
      <c r="C58" s="373">
        <v>505</v>
      </c>
      <c r="D58" s="373">
        <v>769</v>
      </c>
      <c r="E58" s="373">
        <v>570</v>
      </c>
      <c r="F58" s="194"/>
      <c r="G58" s="194"/>
      <c r="H58" s="194"/>
      <c r="I58" s="194"/>
      <c r="J58" s="194"/>
      <c r="K58" s="194"/>
      <c r="L58" s="194"/>
      <c r="O58" s="366">
        <f t="shared" ref="O58:O67" si="19">+Q23</f>
        <v>1000</v>
      </c>
      <c r="P58" s="393">
        <f t="shared" ref="P58:P67" si="20">+S23</f>
        <v>1000</v>
      </c>
      <c r="Q58" s="368">
        <f t="shared" si="15"/>
        <v>0</v>
      </c>
      <c r="R58" s="374" t="str">
        <f t="shared" si="16"/>
        <v/>
      </c>
      <c r="S58" s="367"/>
      <c r="T58" s="553"/>
      <c r="U58" s="368"/>
      <c r="V58" s="23"/>
      <c r="W58" s="25"/>
      <c r="X58" s="25"/>
      <c r="Y58" s="25"/>
    </row>
    <row r="59" spans="1:25" x14ac:dyDescent="0.25">
      <c r="A59" s="724">
        <v>5341</v>
      </c>
      <c r="B59" s="369" t="s">
        <v>1097</v>
      </c>
      <c r="C59" s="373">
        <v>413.7</v>
      </c>
      <c r="D59" s="373">
        <v>409.63</v>
      </c>
      <c r="E59" s="373">
        <v>412.4</v>
      </c>
      <c r="F59" s="194"/>
      <c r="G59" s="194"/>
      <c r="H59" s="194"/>
      <c r="I59" s="194"/>
      <c r="J59" s="194"/>
      <c r="K59" s="194"/>
      <c r="L59" s="194"/>
      <c r="O59" s="366">
        <f t="shared" si="19"/>
        <v>960</v>
      </c>
      <c r="P59" s="393">
        <f t="shared" si="20"/>
        <v>960</v>
      </c>
      <c r="Q59" s="368">
        <f t="shared" si="15"/>
        <v>0</v>
      </c>
      <c r="R59" s="374" t="str">
        <f t="shared" si="16"/>
        <v/>
      </c>
      <c r="S59" s="367"/>
      <c r="T59" s="553"/>
      <c r="U59" s="368"/>
      <c r="V59" s="23"/>
      <c r="W59" s="25"/>
      <c r="X59" s="25"/>
      <c r="Y59" s="25"/>
    </row>
    <row r="60" spans="1:25" x14ac:dyDescent="0.25">
      <c r="A60" s="724">
        <v>5344</v>
      </c>
      <c r="B60" s="369" t="s">
        <v>722</v>
      </c>
      <c r="C60" s="373">
        <v>219.02</v>
      </c>
      <c r="D60" s="373">
        <v>243.85</v>
      </c>
      <c r="E60" s="373">
        <v>244.23</v>
      </c>
      <c r="F60" s="194"/>
      <c r="G60" s="194"/>
      <c r="H60" s="194"/>
      <c r="I60" s="194"/>
      <c r="J60" s="194"/>
      <c r="K60" s="194"/>
      <c r="L60" s="194"/>
      <c r="O60" s="366">
        <f t="shared" si="19"/>
        <v>150</v>
      </c>
      <c r="P60" s="393">
        <f t="shared" si="20"/>
        <v>150</v>
      </c>
      <c r="Q60" s="368">
        <f t="shared" si="15"/>
        <v>0</v>
      </c>
      <c r="R60" s="374" t="str">
        <f t="shared" si="16"/>
        <v/>
      </c>
      <c r="S60" s="367"/>
      <c r="T60" s="553"/>
      <c r="U60" s="368"/>
      <c r="V60" s="23"/>
      <c r="W60" s="25"/>
      <c r="X60" s="25"/>
      <c r="Y60" s="25"/>
    </row>
    <row r="61" spans="1:25" x14ac:dyDescent="0.25">
      <c r="A61" s="724">
        <v>5345</v>
      </c>
      <c r="B61" s="369" t="s">
        <v>752</v>
      </c>
      <c r="C61" s="373"/>
      <c r="D61" s="373"/>
      <c r="E61" s="373"/>
      <c r="F61" s="194"/>
      <c r="G61" s="194"/>
      <c r="H61" s="194"/>
      <c r="I61" s="194"/>
      <c r="J61" s="194"/>
      <c r="K61" s="194"/>
      <c r="L61" s="194"/>
      <c r="O61" s="366">
        <f t="shared" si="19"/>
        <v>0</v>
      </c>
      <c r="P61" s="393">
        <f t="shared" si="20"/>
        <v>0</v>
      </c>
      <c r="Q61" s="368">
        <f t="shared" si="15"/>
        <v>0</v>
      </c>
      <c r="R61" s="374" t="str">
        <f t="shared" si="16"/>
        <v/>
      </c>
      <c r="S61" s="367"/>
      <c r="T61" s="553"/>
      <c r="U61" s="368"/>
      <c r="V61" s="23"/>
      <c r="W61" s="25"/>
      <c r="X61" s="25"/>
      <c r="Y61" s="25"/>
    </row>
    <row r="62" spans="1:25" x14ac:dyDescent="0.25">
      <c r="A62" s="724">
        <v>5350</v>
      </c>
      <c r="B62" s="369" t="s">
        <v>1102</v>
      </c>
      <c r="C62" s="373">
        <v>409.8</v>
      </c>
      <c r="D62" s="373">
        <v>757.31</v>
      </c>
      <c r="E62" s="373">
        <v>467.68</v>
      </c>
      <c r="F62" s="194"/>
      <c r="G62" s="194"/>
      <c r="H62" s="194"/>
      <c r="I62" s="194"/>
      <c r="J62" s="194"/>
      <c r="K62" s="194"/>
      <c r="L62" s="194"/>
      <c r="O62" s="366">
        <f t="shared" si="19"/>
        <v>4500</v>
      </c>
      <c r="P62" s="393">
        <f t="shared" si="20"/>
        <v>6000</v>
      </c>
      <c r="Q62" s="368">
        <f t="shared" si="15"/>
        <v>1500</v>
      </c>
      <c r="R62" s="374">
        <f t="shared" si="16"/>
        <v>0.33329999999999999</v>
      </c>
      <c r="S62" s="367" t="s">
        <v>2420</v>
      </c>
      <c r="T62" s="553"/>
      <c r="U62" s="368"/>
      <c r="V62" s="23"/>
      <c r="W62" s="25"/>
      <c r="X62" s="25"/>
      <c r="Y62" s="25"/>
    </row>
    <row r="63" spans="1:25" x14ac:dyDescent="0.25">
      <c r="A63" s="724">
        <v>5420</v>
      </c>
      <c r="B63" s="369" t="s">
        <v>753</v>
      </c>
      <c r="C63" s="373"/>
      <c r="D63" s="373"/>
      <c r="E63" s="373"/>
      <c r="F63" s="194"/>
      <c r="G63" s="194"/>
      <c r="H63" s="194"/>
      <c r="I63" s="194"/>
      <c r="J63" s="194"/>
      <c r="K63" s="194"/>
      <c r="L63" s="194"/>
      <c r="O63" s="366">
        <f t="shared" si="19"/>
        <v>900</v>
      </c>
      <c r="P63" s="393">
        <f t="shared" si="20"/>
        <v>900</v>
      </c>
      <c r="Q63" s="368">
        <f t="shared" si="15"/>
        <v>0</v>
      </c>
      <c r="R63" s="374" t="str">
        <f t="shared" si="16"/>
        <v/>
      </c>
      <c r="S63" s="367"/>
      <c r="T63" s="553"/>
      <c r="U63" s="368"/>
      <c r="V63" s="23"/>
      <c r="W63" s="25"/>
      <c r="X63" s="25"/>
      <c r="Y63" s="25"/>
    </row>
    <row r="64" spans="1:25" x14ac:dyDescent="0.25">
      <c r="A64" s="724">
        <v>5581</v>
      </c>
      <c r="B64" s="369" t="s">
        <v>755</v>
      </c>
      <c r="C64" s="394"/>
      <c r="D64" s="373">
        <v>0</v>
      </c>
      <c r="E64" s="373"/>
      <c r="F64" s="194"/>
      <c r="G64" s="194"/>
      <c r="H64" s="194"/>
      <c r="I64" s="194"/>
      <c r="J64" s="194"/>
      <c r="K64" s="194"/>
      <c r="L64" s="194"/>
      <c r="O64" s="366">
        <f t="shared" si="19"/>
        <v>800</v>
      </c>
      <c r="P64" s="393">
        <f t="shared" si="20"/>
        <v>800</v>
      </c>
      <c r="Q64" s="368">
        <f t="shared" si="15"/>
        <v>0</v>
      </c>
      <c r="R64" s="374" t="str">
        <f t="shared" si="16"/>
        <v/>
      </c>
      <c r="S64" s="367"/>
      <c r="T64" s="553"/>
      <c r="U64" s="368"/>
      <c r="V64" s="23"/>
      <c r="W64" s="25"/>
      <c r="X64" s="25"/>
      <c r="Y64" s="25"/>
    </row>
    <row r="65" spans="1:25" x14ac:dyDescent="0.25">
      <c r="A65" s="724">
        <v>5590</v>
      </c>
      <c r="B65" s="369" t="s">
        <v>1098</v>
      </c>
      <c r="C65" s="365">
        <v>1845.47</v>
      </c>
      <c r="D65" s="365">
        <v>1812.25</v>
      </c>
      <c r="E65" s="365">
        <v>1758.79</v>
      </c>
      <c r="F65" s="194"/>
      <c r="G65" s="194"/>
      <c r="H65" s="194"/>
      <c r="I65" s="194"/>
      <c r="J65" s="194"/>
      <c r="K65" s="194"/>
      <c r="L65" s="194"/>
      <c r="O65" s="366">
        <f t="shared" si="19"/>
        <v>0</v>
      </c>
      <c r="P65" s="393">
        <f t="shared" si="20"/>
        <v>0</v>
      </c>
      <c r="Q65" s="368">
        <f t="shared" si="15"/>
        <v>0</v>
      </c>
      <c r="R65" s="374" t="str">
        <f t="shared" si="16"/>
        <v/>
      </c>
      <c r="S65" s="367"/>
      <c r="T65" s="553"/>
      <c r="U65" s="368"/>
      <c r="V65" s="23"/>
      <c r="W65" s="4"/>
      <c r="X65" s="4"/>
      <c r="Y65" s="4"/>
    </row>
    <row r="66" spans="1:25" ht="13.8" thickBot="1" x14ac:dyDescent="0.3">
      <c r="A66" s="724">
        <v>5710</v>
      </c>
      <c r="B66" s="369" t="s">
        <v>726</v>
      </c>
      <c r="C66" s="371">
        <v>80</v>
      </c>
      <c r="D66" s="371">
        <v>80</v>
      </c>
      <c r="E66" s="371">
        <v>80</v>
      </c>
      <c r="F66" s="194"/>
      <c r="G66" s="194"/>
      <c r="H66" s="194"/>
      <c r="I66" s="194"/>
      <c r="J66" s="194"/>
      <c r="K66" s="194"/>
      <c r="L66" s="194"/>
      <c r="O66" s="366">
        <f t="shared" si="19"/>
        <v>2800</v>
      </c>
      <c r="P66" s="393">
        <f t="shared" si="20"/>
        <v>2800</v>
      </c>
      <c r="Q66" s="368">
        <f t="shared" si="15"/>
        <v>0</v>
      </c>
      <c r="R66" s="374" t="str">
        <f t="shared" si="16"/>
        <v/>
      </c>
      <c r="S66" s="1248" t="s">
        <v>2470</v>
      </c>
      <c r="T66" s="553"/>
      <c r="U66" s="368"/>
      <c r="V66" s="23"/>
      <c r="W66" s="4"/>
      <c r="X66" s="4"/>
      <c r="Y66" s="4"/>
    </row>
    <row r="67" spans="1:25" x14ac:dyDescent="0.25">
      <c r="A67" s="724">
        <v>5730</v>
      </c>
      <c r="B67" s="369" t="s">
        <v>759</v>
      </c>
      <c r="C67" s="23"/>
      <c r="D67" s="23"/>
      <c r="E67" s="23"/>
      <c r="F67" s="23"/>
      <c r="G67" s="194"/>
      <c r="H67" s="194"/>
      <c r="I67" s="194"/>
      <c r="J67" s="194"/>
      <c r="K67" s="194"/>
      <c r="L67" s="194"/>
      <c r="O67" s="366">
        <f t="shared" si="19"/>
        <v>160</v>
      </c>
      <c r="P67" s="393">
        <f t="shared" si="20"/>
        <v>160</v>
      </c>
      <c r="Q67" s="368">
        <f t="shared" si="15"/>
        <v>0</v>
      </c>
      <c r="R67" s="374" t="str">
        <f t="shared" si="16"/>
        <v/>
      </c>
      <c r="S67" s="367"/>
      <c r="T67" s="553"/>
      <c r="U67" s="368"/>
      <c r="V67" s="23"/>
      <c r="W67" s="4"/>
      <c r="X67" s="4"/>
      <c r="Y67" s="4"/>
    </row>
    <row r="68" spans="1:25" x14ac:dyDescent="0.25">
      <c r="A68" s="703"/>
      <c r="B68" s="4"/>
      <c r="C68" s="23"/>
      <c r="D68" s="23"/>
      <c r="E68" s="23"/>
      <c r="F68" s="23"/>
      <c r="G68" s="23"/>
      <c r="H68" s="194"/>
      <c r="I68" s="194"/>
      <c r="J68" s="194"/>
      <c r="K68" s="194"/>
      <c r="L68" s="194"/>
      <c r="O68" s="23"/>
      <c r="P68" s="23"/>
      <c r="Q68" s="23"/>
      <c r="R68" s="4"/>
      <c r="S68" s="23"/>
      <c r="T68" s="23"/>
      <c r="U68" s="23"/>
      <c r="V68" s="23"/>
      <c r="W68" s="4"/>
      <c r="X68" s="4"/>
      <c r="Y68" s="4"/>
    </row>
    <row r="69" spans="1:25" x14ac:dyDescent="0.25">
      <c r="A69" s="703"/>
      <c r="B69" s="4" t="s">
        <v>735</v>
      </c>
      <c r="C69" s="23"/>
      <c r="D69" s="23"/>
      <c r="E69" s="23"/>
      <c r="F69" s="23"/>
      <c r="G69" s="23"/>
      <c r="H69" s="194"/>
      <c r="I69" s="194"/>
      <c r="J69" s="194"/>
      <c r="K69" s="194"/>
      <c r="L69" s="194"/>
      <c r="O69" s="597">
        <f>SUM(O49:O67)</f>
        <v>148621</v>
      </c>
      <c r="P69" s="597">
        <f>SUM(P49:P67)</f>
        <v>155082</v>
      </c>
      <c r="Q69" s="25">
        <f>+P69-O69</f>
        <v>6461</v>
      </c>
      <c r="R69" s="598">
        <f>IF(O69+P69&lt;&gt;0,IF(O69&lt;&gt;0,IF(Q69&lt;&gt;0,ROUND((+Q69/O69),4),""),1),"")</f>
        <v>4.3499999999999997E-2</v>
      </c>
      <c r="S69" s="23"/>
      <c r="T69" s="23"/>
      <c r="U69" s="23"/>
      <c r="V69" s="23"/>
      <c r="W69" s="4"/>
      <c r="X69" s="4"/>
      <c r="Y69" s="4"/>
    </row>
    <row r="70" spans="1:25" x14ac:dyDescent="0.25">
      <c r="A70" s="703"/>
      <c r="B70" s="4"/>
      <c r="C70" s="23"/>
      <c r="D70" s="23"/>
      <c r="E70" s="23"/>
      <c r="F70" s="23"/>
      <c r="G70" s="23"/>
      <c r="H70" s="23"/>
      <c r="I70" s="23"/>
      <c r="J70" s="23"/>
      <c r="K70" s="194"/>
      <c r="L70" s="194"/>
      <c r="M70" s="23"/>
      <c r="N70" s="23"/>
      <c r="O70" s="23"/>
      <c r="P70" s="23"/>
      <c r="Q70" s="23"/>
      <c r="R70" s="4"/>
      <c r="S70" s="23"/>
      <c r="T70" s="23"/>
      <c r="U70" s="23"/>
      <c r="V70" s="23"/>
      <c r="W70" s="4"/>
      <c r="X70" s="4"/>
      <c r="Y70" s="4"/>
    </row>
    <row r="71" spans="1:25" x14ac:dyDescent="0.25">
      <c r="A71" s="703"/>
      <c r="B71" s="4"/>
      <c r="C71" s="23"/>
      <c r="D71" s="23"/>
      <c r="E71" s="23"/>
      <c r="F71" s="23"/>
      <c r="G71" s="23"/>
      <c r="H71" s="23"/>
      <c r="I71" s="23"/>
      <c r="J71" s="23"/>
      <c r="K71" s="23"/>
      <c r="L71" s="23"/>
      <c r="M71" s="23"/>
      <c r="N71" s="23"/>
      <c r="O71" s="23"/>
      <c r="P71" s="23"/>
      <c r="Q71" s="23"/>
      <c r="R71" s="4"/>
      <c r="S71" s="23"/>
      <c r="T71" s="23"/>
      <c r="U71" s="23"/>
      <c r="V71" s="23"/>
      <c r="W71" s="4"/>
      <c r="X71" s="4"/>
      <c r="Y71" s="4"/>
    </row>
    <row r="72" spans="1:25" x14ac:dyDescent="0.25">
      <c r="A72" s="703"/>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5">
      <c r="A73" s="703"/>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5">
      <c r="A74" s="703"/>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5">
      <c r="A75" s="703"/>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5">
      <c r="A76" s="703"/>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5">
      <c r="A77" s="703"/>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5">
      <c r="A78" s="703"/>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5">
      <c r="A79" s="703"/>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5">
      <c r="A80" s="703"/>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5">
      <c r="A81" s="703"/>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5">
      <c r="A82" s="703"/>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5">
      <c r="A83" s="703"/>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5">
      <c r="A84" s="703"/>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5">
      <c r="A85" s="703"/>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5">
      <c r="A86" s="703"/>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5">
      <c r="A87" s="703"/>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5">
      <c r="A88" s="703"/>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5">
      <c r="A89" s="703"/>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5">
      <c r="A90" s="703"/>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5">
      <c r="A91" s="703"/>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5">
      <c r="A92" s="703"/>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5">
      <c r="A93" s="703"/>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5">
      <c r="A94" s="703"/>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5">
      <c r="A95" s="703"/>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5">
      <c r="A96" s="703"/>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5">
      <c r="A97" s="703"/>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5">
      <c r="A98" s="703"/>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5">
      <c r="A99" s="703"/>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5">
      <c r="A100" s="703"/>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5">
      <c r="A101" s="703"/>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5">
      <c r="A102" s="703"/>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5">
      <c r="A103" s="703"/>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5">
      <c r="A104" s="703"/>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5">
      <c r="A105" s="703"/>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5">
      <c r="A106" s="703"/>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5">
      <c r="A107" s="703"/>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5">
      <c r="A108" s="703"/>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5">
      <c r="A109" s="703"/>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5">
      <c r="A110" s="703"/>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5">
      <c r="A111" s="703"/>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5">
      <c r="A112" s="703"/>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1:25" x14ac:dyDescent="0.25">
      <c r="A113" s="703"/>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row>
    <row r="114" spans="1:25" x14ac:dyDescent="0.25">
      <c r="A114" s="703"/>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row>
    <row r="115" spans="1:25" x14ac:dyDescent="0.25">
      <c r="A115" s="703"/>
      <c r="B115" s="4"/>
      <c r="C115" s="23"/>
      <c r="D115" s="23"/>
      <c r="E115" s="23"/>
      <c r="F115" s="23"/>
      <c r="G115" s="23"/>
      <c r="H115" s="23"/>
      <c r="I115" s="23"/>
      <c r="J115" s="23"/>
      <c r="K115" s="23"/>
      <c r="L115" s="23"/>
      <c r="M115" s="23"/>
      <c r="N115" s="23"/>
      <c r="O115" s="23"/>
      <c r="P115" s="23"/>
      <c r="Q115" s="23"/>
      <c r="R115" s="4"/>
      <c r="S115" s="23"/>
      <c r="T115" s="23"/>
      <c r="U115" s="23"/>
      <c r="V115" s="23"/>
      <c r="W115" s="4"/>
      <c r="X115" s="4"/>
      <c r="Y115" s="4"/>
    </row>
    <row r="116" spans="1:25" x14ac:dyDescent="0.25">
      <c r="A116" s="703"/>
      <c r="B116" s="4"/>
      <c r="C116" s="23"/>
      <c r="D116" s="23"/>
      <c r="E116" s="23"/>
      <c r="F116" s="23"/>
      <c r="G116" s="23"/>
      <c r="H116" s="23"/>
      <c r="I116" s="23"/>
      <c r="J116" s="23"/>
      <c r="K116" s="23"/>
      <c r="L116" s="23"/>
      <c r="M116" s="23"/>
      <c r="N116" s="23"/>
      <c r="O116" s="23"/>
      <c r="P116" s="23"/>
      <c r="Q116" s="23"/>
      <c r="R116" s="4"/>
      <c r="S116" s="23"/>
      <c r="T116" s="23"/>
      <c r="U116" s="23"/>
      <c r="V116" s="23"/>
      <c r="W116" s="4"/>
      <c r="X116" s="4"/>
      <c r="Y116" s="4"/>
    </row>
    <row r="117" spans="1:25" x14ac:dyDescent="0.25">
      <c r="A117" s="703"/>
      <c r="B117" s="4"/>
      <c r="C117" s="23"/>
      <c r="D117" s="23"/>
      <c r="E117" s="23"/>
      <c r="F117" s="23"/>
      <c r="G117" s="23"/>
      <c r="H117" s="23"/>
      <c r="I117" s="23"/>
      <c r="J117" s="23"/>
      <c r="K117" s="23"/>
      <c r="L117" s="23"/>
      <c r="M117" s="23"/>
      <c r="N117" s="23"/>
      <c r="O117" s="23"/>
      <c r="P117" s="23"/>
      <c r="Q117" s="23"/>
      <c r="R117" s="4"/>
      <c r="S117" s="23"/>
      <c r="T117" s="23"/>
      <c r="U117" s="23"/>
      <c r="V117" s="23"/>
      <c r="W117" s="4"/>
      <c r="X117" s="4"/>
      <c r="Y117" s="4"/>
    </row>
    <row r="118" spans="1:25" x14ac:dyDescent="0.25">
      <c r="A118" s="703"/>
      <c r="B118" s="4"/>
      <c r="C118" s="23"/>
      <c r="D118" s="23"/>
      <c r="E118" s="23"/>
      <c r="F118" s="23"/>
      <c r="G118" s="23"/>
      <c r="H118" s="23"/>
      <c r="I118" s="23"/>
      <c r="J118" s="23"/>
      <c r="K118" s="23"/>
      <c r="L118" s="23"/>
      <c r="M118" s="23"/>
      <c r="N118" s="23"/>
      <c r="O118" s="23"/>
      <c r="P118" s="23"/>
      <c r="Q118" s="23"/>
      <c r="R118" s="4"/>
      <c r="S118" s="23"/>
      <c r="T118" s="23"/>
      <c r="U118" s="23"/>
      <c r="V118" s="23"/>
      <c r="W118" s="4"/>
      <c r="X118" s="4"/>
      <c r="Y118" s="4"/>
    </row>
    <row r="119" spans="1:25" x14ac:dyDescent="0.25">
      <c r="A119" s="703"/>
      <c r="B119" s="4"/>
      <c r="C119" s="23"/>
      <c r="D119" s="23"/>
      <c r="E119" s="23"/>
      <c r="F119" s="23"/>
      <c r="G119" s="23"/>
      <c r="H119" s="23"/>
      <c r="I119" s="23"/>
      <c r="J119" s="23"/>
      <c r="K119" s="23"/>
      <c r="L119" s="23"/>
      <c r="M119" s="23"/>
      <c r="N119" s="23"/>
      <c r="O119" s="23"/>
      <c r="P119" s="23"/>
      <c r="Q119" s="23"/>
      <c r="R119" s="4"/>
      <c r="S119" s="23"/>
      <c r="T119" s="23"/>
      <c r="U119" s="23"/>
      <c r="V119" s="23"/>
      <c r="W119" s="4"/>
      <c r="X119" s="4"/>
      <c r="Y119" s="4"/>
    </row>
    <row r="120" spans="1:25" x14ac:dyDescent="0.25">
      <c r="A120" s="703"/>
      <c r="B120" s="4"/>
      <c r="C120" s="23"/>
      <c r="D120" s="23"/>
      <c r="E120" s="23"/>
      <c r="F120" s="23"/>
      <c r="G120" s="23"/>
      <c r="H120" s="23"/>
      <c r="I120" s="23"/>
      <c r="J120" s="23"/>
      <c r="K120" s="23"/>
      <c r="L120" s="23"/>
      <c r="M120" s="23"/>
      <c r="N120" s="23"/>
      <c r="O120" s="23"/>
      <c r="P120" s="23"/>
      <c r="Q120" s="23"/>
      <c r="R120" s="4"/>
      <c r="S120" s="23"/>
      <c r="T120" s="23"/>
      <c r="U120" s="23"/>
      <c r="V120" s="23"/>
      <c r="W120" s="4"/>
      <c r="X120" s="4"/>
      <c r="Y120" s="4"/>
    </row>
    <row r="121" spans="1:25" x14ac:dyDescent="0.25">
      <c r="C121" s="194"/>
      <c r="D121" s="194"/>
      <c r="E121" s="194"/>
      <c r="F121" s="194"/>
      <c r="G121" s="194"/>
      <c r="H121" s="194"/>
      <c r="I121" s="194"/>
      <c r="J121" s="194"/>
      <c r="K121" s="194"/>
      <c r="L121" s="194"/>
      <c r="M121" s="194"/>
      <c r="N121" s="194"/>
      <c r="O121" s="194"/>
      <c r="P121" s="194"/>
      <c r="Q121" s="194"/>
    </row>
    <row r="122" spans="1:25" x14ac:dyDescent="0.25">
      <c r="C122" s="194"/>
      <c r="D122" s="194"/>
      <c r="E122" s="194"/>
      <c r="F122" s="194"/>
      <c r="G122" s="194"/>
      <c r="H122" s="194"/>
      <c r="I122" s="194"/>
      <c r="J122" s="194"/>
      <c r="K122" s="194"/>
      <c r="L122" s="194"/>
      <c r="M122" s="194"/>
      <c r="N122" s="194"/>
      <c r="O122" s="194"/>
      <c r="P122" s="194"/>
      <c r="Q122" s="194"/>
    </row>
    <row r="123" spans="1:25" x14ac:dyDescent="0.25">
      <c r="C123" s="194"/>
      <c r="D123" s="194"/>
      <c r="E123" s="194"/>
      <c r="F123" s="194"/>
      <c r="G123" s="194"/>
      <c r="H123" s="194"/>
      <c r="I123" s="194"/>
      <c r="J123" s="194"/>
      <c r="K123" s="194"/>
      <c r="L123" s="194"/>
      <c r="M123" s="194"/>
      <c r="N123" s="194"/>
      <c r="O123" s="194"/>
      <c r="P123" s="194"/>
      <c r="Q123" s="194"/>
    </row>
    <row r="124" spans="1:25" x14ac:dyDescent="0.25">
      <c r="C124" s="194"/>
      <c r="D124" s="194"/>
      <c r="E124" s="194"/>
      <c r="F124" s="194"/>
      <c r="G124" s="194"/>
      <c r="H124" s="194"/>
      <c r="I124" s="194"/>
      <c r="J124" s="194"/>
      <c r="K124" s="194"/>
      <c r="L124" s="194"/>
      <c r="M124" s="194"/>
      <c r="N124" s="194"/>
      <c r="O124" s="194"/>
      <c r="P124" s="194"/>
      <c r="Q124" s="194"/>
    </row>
    <row r="125" spans="1:25" x14ac:dyDescent="0.25">
      <c r="C125" s="194"/>
      <c r="D125" s="194"/>
      <c r="E125" s="194"/>
      <c r="F125" s="194"/>
      <c r="G125" s="194"/>
      <c r="H125" s="194"/>
      <c r="I125" s="194"/>
      <c r="J125" s="194"/>
      <c r="K125" s="194"/>
      <c r="L125" s="194"/>
      <c r="M125" s="194"/>
      <c r="N125" s="194"/>
      <c r="O125" s="194"/>
      <c r="P125" s="194"/>
      <c r="Q125" s="194"/>
    </row>
    <row r="126" spans="1:25" x14ac:dyDescent="0.25">
      <c r="C126" s="194"/>
      <c r="D126" s="194"/>
      <c r="E126" s="194"/>
      <c r="F126" s="194"/>
      <c r="G126" s="194"/>
      <c r="H126" s="194"/>
      <c r="I126" s="194"/>
      <c r="J126" s="194"/>
      <c r="K126" s="194"/>
      <c r="L126" s="194"/>
      <c r="M126" s="194"/>
      <c r="N126" s="194"/>
      <c r="O126" s="194"/>
      <c r="P126" s="194"/>
      <c r="Q126" s="194"/>
    </row>
    <row r="127" spans="1:25" x14ac:dyDescent="0.25">
      <c r="C127" s="194"/>
      <c r="D127" s="194"/>
      <c r="E127" s="194"/>
      <c r="F127" s="194"/>
      <c r="G127" s="194"/>
      <c r="H127" s="194"/>
      <c r="I127" s="194"/>
      <c r="J127" s="194"/>
      <c r="K127" s="194"/>
      <c r="L127" s="194"/>
      <c r="M127" s="194"/>
      <c r="N127" s="194"/>
      <c r="O127" s="194"/>
      <c r="P127" s="194"/>
      <c r="Q127" s="194"/>
    </row>
    <row r="128" spans="1:25" x14ac:dyDescent="0.25">
      <c r="C128" s="194"/>
      <c r="D128" s="194"/>
      <c r="E128" s="194"/>
      <c r="F128" s="194"/>
      <c r="G128" s="194"/>
      <c r="H128" s="194"/>
      <c r="I128" s="194"/>
      <c r="J128" s="194"/>
      <c r="K128" s="194"/>
      <c r="L128" s="194"/>
      <c r="M128" s="194"/>
      <c r="N128" s="194"/>
      <c r="O128" s="194"/>
      <c r="P128" s="194"/>
      <c r="Q128" s="194"/>
    </row>
    <row r="129" spans="3:17" x14ac:dyDescent="0.25">
      <c r="C129" s="194"/>
      <c r="D129" s="194"/>
      <c r="E129" s="194"/>
      <c r="F129" s="194"/>
      <c r="G129" s="194"/>
      <c r="H129" s="194"/>
      <c r="I129" s="194"/>
      <c r="J129" s="194"/>
      <c r="K129" s="194"/>
      <c r="L129" s="194"/>
      <c r="M129" s="194"/>
      <c r="N129" s="194"/>
      <c r="O129" s="194"/>
      <c r="P129" s="194"/>
      <c r="Q129" s="194"/>
    </row>
    <row r="130" spans="3:17" x14ac:dyDescent="0.25">
      <c r="C130" s="194"/>
      <c r="D130" s="194"/>
      <c r="E130" s="194"/>
      <c r="F130" s="194"/>
      <c r="G130" s="194"/>
      <c r="H130" s="194"/>
      <c r="I130" s="194"/>
      <c r="J130" s="194"/>
      <c r="K130" s="194"/>
      <c r="L130" s="194"/>
      <c r="M130" s="194"/>
      <c r="N130" s="194"/>
      <c r="O130" s="194"/>
      <c r="P130" s="194"/>
      <c r="Q130" s="194"/>
    </row>
    <row r="131" spans="3:17" x14ac:dyDescent="0.25">
      <c r="C131" s="194"/>
    </row>
    <row r="132" spans="3:17" x14ac:dyDescent="0.25">
      <c r="C132" s="194"/>
    </row>
    <row r="133" spans="3:17" x14ac:dyDescent="0.25">
      <c r="C133" s="194"/>
    </row>
    <row r="134" spans="3:17" x14ac:dyDescent="0.25">
      <c r="C134" s="194"/>
    </row>
    <row r="135" spans="3:17" x14ac:dyDescent="0.25">
      <c r="C135" s="194"/>
    </row>
    <row r="136" spans="3:17" x14ac:dyDescent="0.25">
      <c r="C136" s="194"/>
    </row>
    <row r="137" spans="3:17" x14ac:dyDescent="0.25">
      <c r="C137" s="194"/>
    </row>
    <row r="138" spans="3:17" x14ac:dyDescent="0.25">
      <c r="C138" s="194"/>
    </row>
    <row r="139" spans="3:17" x14ac:dyDescent="0.25">
      <c r="C139" s="194"/>
    </row>
    <row r="140" spans="3:17" x14ac:dyDescent="0.25">
      <c r="C140" s="194"/>
    </row>
    <row r="141" spans="3:17" x14ac:dyDescent="0.25">
      <c r="C141" s="194"/>
    </row>
    <row r="142" spans="3:17" x14ac:dyDescent="0.25">
      <c r="C142" s="194"/>
    </row>
    <row r="143" spans="3:17" x14ac:dyDescent="0.25">
      <c r="C143" s="194"/>
    </row>
    <row r="144" spans="3:17"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sheetData>
  <phoneticPr fontId="0" type="noConversion"/>
  <hyperlinks>
    <hyperlink ref="A1" location="'Working Budget with funding det'!A1" display="Main " xr:uid="{00000000-0004-0000-1B00-000000000000}"/>
    <hyperlink ref="B1" location="'Table of Contents'!A1" display="TOC" xr:uid="{00000000-0004-0000-1B00-000001000000}"/>
  </hyperlinks>
  <pageMargins left="0.75" right="0.75" top="1" bottom="1" header="0.5" footer="0.5"/>
  <pageSetup scale="91" fitToHeight="2" orientation="landscape" r:id="rId1"/>
  <headerFooter alignWithMargins="0">
    <oddFooter>&amp;L&amp;D     &amp;T&amp;C&amp;F&amp;R&amp;A</oddFooter>
  </headerFooter>
  <rowBreaks count="1" manualBreakCount="1">
    <brk id="37" max="1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Y180"/>
  <sheetViews>
    <sheetView workbookViewId="0">
      <selection activeCell="S36" sqref="S36"/>
    </sheetView>
  </sheetViews>
  <sheetFormatPr defaultRowHeight="13.2" x14ac:dyDescent="0.25"/>
  <cols>
    <col min="1" max="1" width="12" style="712" bestFit="1"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1008</v>
      </c>
      <c r="B2" s="43"/>
      <c r="D2" s="194"/>
      <c r="E2" s="125"/>
      <c r="F2" s="194"/>
      <c r="G2" s="194"/>
      <c r="H2" s="194"/>
      <c r="I2" s="125" t="s">
        <v>706</v>
      </c>
      <c r="J2" s="125"/>
      <c r="K2" s="125"/>
      <c r="L2" s="125"/>
      <c r="M2" s="125"/>
      <c r="N2" s="125"/>
      <c r="O2" s="125"/>
      <c r="P2" s="125"/>
      <c r="Q2" s="125"/>
      <c r="R2" s="58" t="s">
        <v>1103</v>
      </c>
      <c r="U2" s="44" t="s">
        <v>1104</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8"/>
      <c r="J8" s="18"/>
      <c r="K8" s="19"/>
      <c r="L8" s="19"/>
      <c r="M8" s="19"/>
      <c r="N8" s="19"/>
      <c r="O8" s="19"/>
      <c r="P8" s="19"/>
      <c r="Q8" s="19"/>
      <c r="R8" s="18"/>
      <c r="S8" s="19"/>
      <c r="T8" s="19"/>
      <c r="U8" s="19"/>
    </row>
    <row r="9" spans="1:24" ht="13.8" thickBot="1" x14ac:dyDescent="0.3">
      <c r="A9" s="708">
        <v>5380</v>
      </c>
      <c r="B9" s="60" t="s">
        <v>1105</v>
      </c>
      <c r="C9" s="116">
        <v>2750</v>
      </c>
      <c r="D9" s="15">
        <v>2750</v>
      </c>
      <c r="E9" s="15">
        <v>2750</v>
      </c>
      <c r="F9" s="15">
        <v>2750</v>
      </c>
      <c r="G9" s="15">
        <v>2750</v>
      </c>
      <c r="H9" s="15">
        <v>2750</v>
      </c>
      <c r="I9" s="15">
        <v>2750</v>
      </c>
      <c r="J9" s="15">
        <v>2750</v>
      </c>
      <c r="K9" s="16">
        <v>2750</v>
      </c>
      <c r="L9" s="15">
        <v>2750</v>
      </c>
      <c r="M9" s="16">
        <v>2750</v>
      </c>
      <c r="N9" s="15">
        <v>2750</v>
      </c>
      <c r="O9" s="16">
        <f>4432+2750</f>
        <v>7182</v>
      </c>
      <c r="P9" s="16">
        <v>2750</v>
      </c>
      <c r="Q9" s="16">
        <v>7182</v>
      </c>
      <c r="R9" s="15"/>
      <c r="S9" s="16">
        <v>7182</v>
      </c>
      <c r="T9" s="16"/>
      <c r="U9" s="16"/>
    </row>
    <row r="10" spans="1:24" x14ac:dyDescent="0.25">
      <c r="A10" s="708"/>
      <c r="B10" s="61" t="s">
        <v>728</v>
      </c>
      <c r="C10" s="117">
        <f t="shared" ref="C10:U10" si="0">SUM(C9:C9)</f>
        <v>2750</v>
      </c>
      <c r="D10" s="18">
        <f t="shared" si="0"/>
        <v>2750</v>
      </c>
      <c r="E10" s="18">
        <f t="shared" si="0"/>
        <v>2750</v>
      </c>
      <c r="F10" s="18">
        <f t="shared" si="0"/>
        <v>2750</v>
      </c>
      <c r="G10" s="18">
        <f t="shared" si="0"/>
        <v>2750</v>
      </c>
      <c r="H10" s="18">
        <f t="shared" si="0"/>
        <v>2750</v>
      </c>
      <c r="I10" s="18">
        <f t="shared" si="0"/>
        <v>2750</v>
      </c>
      <c r="J10" s="18">
        <f t="shared" ref="J10" si="1">SUM(J9:J9)</f>
        <v>2750</v>
      </c>
      <c r="K10" s="19">
        <f t="shared" ref="K10:Q10" si="2">SUM(K9:K9)</f>
        <v>2750</v>
      </c>
      <c r="L10" s="18">
        <f t="shared" si="2"/>
        <v>2750</v>
      </c>
      <c r="M10" s="19">
        <f t="shared" si="2"/>
        <v>2750</v>
      </c>
      <c r="N10" s="18">
        <f t="shared" ref="N10" si="3">SUM(N9:N9)</f>
        <v>2750</v>
      </c>
      <c r="O10" s="19">
        <f t="shared" si="2"/>
        <v>7182</v>
      </c>
      <c r="P10" s="19">
        <f t="shared" si="2"/>
        <v>2750</v>
      </c>
      <c r="Q10" s="19">
        <f t="shared" si="2"/>
        <v>7182</v>
      </c>
      <c r="R10" s="18">
        <f t="shared" si="0"/>
        <v>0</v>
      </c>
      <c r="S10" s="19">
        <f t="shared" si="0"/>
        <v>7182</v>
      </c>
      <c r="T10" s="19"/>
      <c r="U10" s="19">
        <f t="shared" si="0"/>
        <v>0</v>
      </c>
    </row>
    <row r="11" spans="1:24" x14ac:dyDescent="0.25">
      <c r="A11" s="708"/>
      <c r="B11" s="60"/>
      <c r="C11" s="115"/>
      <c r="D11" s="13"/>
      <c r="E11" s="13"/>
      <c r="F11" s="13"/>
      <c r="G11" s="13"/>
      <c r="H11" s="13"/>
      <c r="I11" s="13"/>
      <c r="J11" s="13"/>
      <c r="K11" s="14"/>
      <c r="L11" s="13"/>
      <c r="M11" s="14"/>
      <c r="N11" s="13"/>
      <c r="O11" s="14"/>
      <c r="P11" s="14"/>
      <c r="Q11" s="14"/>
      <c r="R11" s="13"/>
      <c r="S11" s="14"/>
      <c r="T11" s="14"/>
      <c r="U11" s="14"/>
    </row>
    <row r="12" spans="1:24" ht="13.8" thickBot="1" x14ac:dyDescent="0.3">
      <c r="A12" s="709"/>
      <c r="B12" s="583" t="s">
        <v>1106</v>
      </c>
      <c r="C12" s="577">
        <f t="shared" ref="C12:S12" si="4">+C10</f>
        <v>2750</v>
      </c>
      <c r="D12" s="21">
        <f t="shared" si="4"/>
        <v>2750</v>
      </c>
      <c r="E12" s="21">
        <f>+E10</f>
        <v>2750</v>
      </c>
      <c r="F12" s="21">
        <f>+F10</f>
        <v>2750</v>
      </c>
      <c r="G12" s="21">
        <f>+G10</f>
        <v>2750</v>
      </c>
      <c r="H12" s="21">
        <f>+H10</f>
        <v>2750</v>
      </c>
      <c r="I12" s="21">
        <f t="shared" si="4"/>
        <v>2750</v>
      </c>
      <c r="J12" s="21">
        <f t="shared" ref="J12" si="5">+J10</f>
        <v>2750</v>
      </c>
      <c r="K12" s="22">
        <f t="shared" ref="K12:Q12" si="6">+K10</f>
        <v>2750</v>
      </c>
      <c r="L12" s="21">
        <f t="shared" si="6"/>
        <v>2750</v>
      </c>
      <c r="M12" s="22">
        <f t="shared" si="6"/>
        <v>2750</v>
      </c>
      <c r="N12" s="21">
        <f t="shared" ref="N12" si="7">+N10</f>
        <v>2750</v>
      </c>
      <c r="O12" s="22">
        <f t="shared" si="6"/>
        <v>7182</v>
      </c>
      <c r="P12" s="22">
        <f t="shared" si="6"/>
        <v>2750</v>
      </c>
      <c r="Q12" s="22">
        <f t="shared" si="6"/>
        <v>7182</v>
      </c>
      <c r="R12" s="21">
        <f t="shared" si="4"/>
        <v>0</v>
      </c>
      <c r="S12" s="22">
        <f t="shared" si="4"/>
        <v>7182</v>
      </c>
      <c r="T12" s="22">
        <f>+S12</f>
        <v>7182</v>
      </c>
      <c r="U12" s="22">
        <f>+S12</f>
        <v>7182</v>
      </c>
    </row>
    <row r="13" spans="1:24" ht="13.8" thickTop="1" x14ac:dyDescent="0.25">
      <c r="A13" s="703"/>
      <c r="B13" s="584"/>
      <c r="C13" s="23"/>
      <c r="D13" s="23"/>
      <c r="E13" s="23"/>
      <c r="F13" s="23"/>
      <c r="G13" s="23"/>
      <c r="H13" s="23"/>
      <c r="I13" s="23"/>
      <c r="J13" s="23"/>
      <c r="K13" s="23"/>
      <c r="L13" s="23"/>
      <c r="M13" s="23"/>
      <c r="N13" s="23"/>
      <c r="O13" s="23"/>
      <c r="P13" s="23"/>
      <c r="Q13" s="23"/>
      <c r="R13" s="181" t="s">
        <v>732</v>
      </c>
      <c r="S13" s="1001">
        <f>+S12-Q12</f>
        <v>0</v>
      </c>
      <c r="T13" s="1002">
        <f>ROUND((+S13/Q12),4)</f>
        <v>0</v>
      </c>
      <c r="U13" s="23"/>
      <c r="V13" s="25"/>
      <c r="W13" s="25"/>
      <c r="X13" s="25"/>
    </row>
    <row r="14" spans="1:24" x14ac:dyDescent="0.25">
      <c r="A14" s="54"/>
      <c r="B14" s="584"/>
      <c r="C14" s="23"/>
      <c r="D14" s="23"/>
      <c r="E14" s="23"/>
      <c r="F14" s="23"/>
      <c r="G14" s="23"/>
      <c r="H14" s="23"/>
      <c r="I14" s="23"/>
      <c r="J14" s="23"/>
      <c r="K14" s="23"/>
      <c r="L14" s="23"/>
      <c r="M14" s="23"/>
      <c r="N14" s="23"/>
      <c r="O14" s="23"/>
      <c r="P14" s="23"/>
      <c r="Q14" s="23"/>
      <c r="R14" s="25"/>
      <c r="S14" s="23"/>
      <c r="T14" s="23"/>
      <c r="U14" s="25"/>
      <c r="V14" s="25"/>
      <c r="W14" s="25"/>
      <c r="X14" s="25"/>
    </row>
    <row r="15" spans="1:24" x14ac:dyDescent="0.25">
      <c r="A15" s="703"/>
      <c r="B15" s="584"/>
      <c r="C15" s="23"/>
      <c r="D15" s="23"/>
      <c r="E15" s="23"/>
      <c r="F15" s="23"/>
      <c r="G15" s="23"/>
      <c r="H15" s="23"/>
      <c r="I15" s="23"/>
      <c r="J15" s="23"/>
      <c r="K15" s="23"/>
      <c r="L15" s="23"/>
      <c r="M15" s="23"/>
      <c r="N15" s="23"/>
      <c r="O15" s="23"/>
      <c r="P15" s="23"/>
      <c r="Q15" s="23"/>
      <c r="R15" s="25"/>
      <c r="S15" s="23"/>
      <c r="T15" s="23"/>
      <c r="U15" s="23"/>
      <c r="V15" s="25"/>
      <c r="W15" s="25"/>
      <c r="X15" s="25"/>
    </row>
    <row r="16" spans="1:24" ht="13.8" thickBot="1" x14ac:dyDescent="0.3">
      <c r="A16" s="703"/>
      <c r="B16" s="584"/>
      <c r="C16" s="23"/>
      <c r="D16" s="23"/>
      <c r="E16" s="23"/>
      <c r="F16" s="23"/>
      <c r="G16" s="23"/>
      <c r="H16" s="23"/>
      <c r="I16" s="23"/>
      <c r="J16" s="23"/>
      <c r="K16" s="23"/>
      <c r="L16" s="23"/>
      <c r="M16" s="23"/>
      <c r="N16" s="23"/>
      <c r="O16" s="23"/>
      <c r="P16" s="23"/>
      <c r="Q16" s="23"/>
      <c r="R16" s="25"/>
      <c r="S16" s="23"/>
      <c r="T16" s="23"/>
      <c r="U16" s="23"/>
      <c r="V16" s="25"/>
      <c r="W16" s="25"/>
      <c r="X16" s="25"/>
    </row>
    <row r="17" spans="1:24" ht="13.8" thickTop="1" x14ac:dyDescent="0.25">
      <c r="A17" s="718"/>
      <c r="B17" s="585"/>
      <c r="C17" s="578" t="s">
        <v>256</v>
      </c>
      <c r="D17" s="351" t="s">
        <v>256</v>
      </c>
      <c r="E17" s="351" t="s">
        <v>256</v>
      </c>
      <c r="F17" s="194"/>
      <c r="G17" s="194"/>
      <c r="H17" s="194"/>
      <c r="I17" s="194"/>
      <c r="J17" s="194"/>
      <c r="K17" s="194"/>
      <c r="L17" s="194"/>
      <c r="O17" s="352" t="s">
        <v>255</v>
      </c>
      <c r="P17" s="353" t="s">
        <v>716</v>
      </c>
      <c r="Q17" s="354" t="s">
        <v>730</v>
      </c>
      <c r="R17" s="353" t="s">
        <v>731</v>
      </c>
      <c r="S17" s="355"/>
      <c r="T17" s="550"/>
      <c r="U17" s="354"/>
      <c r="V17" s="25"/>
      <c r="W17" s="25"/>
      <c r="X17" s="25"/>
    </row>
    <row r="18" spans="1:24" ht="13.8" thickBot="1" x14ac:dyDescent="0.3">
      <c r="A18" s="719" t="s">
        <v>715</v>
      </c>
      <c r="B18" s="356"/>
      <c r="C18" s="403" t="s">
        <v>243</v>
      </c>
      <c r="D18" s="357" t="s">
        <v>244</v>
      </c>
      <c r="E18" s="358" t="s">
        <v>245</v>
      </c>
      <c r="F18" s="194"/>
      <c r="G18" s="194"/>
      <c r="H18" s="194"/>
      <c r="I18" s="194"/>
      <c r="J18" s="194"/>
      <c r="K18" s="194"/>
      <c r="L18" s="194"/>
      <c r="O18" s="359" t="s">
        <v>469</v>
      </c>
      <c r="P18" s="359" t="s">
        <v>1345</v>
      </c>
      <c r="Q18" s="358" t="s">
        <v>732</v>
      </c>
      <c r="R18" s="360" t="s">
        <v>732</v>
      </c>
      <c r="S18" s="361" t="s">
        <v>733</v>
      </c>
      <c r="T18" s="551"/>
      <c r="U18" s="359"/>
      <c r="V18" s="25"/>
      <c r="W18" s="25"/>
      <c r="X18" s="25"/>
    </row>
    <row r="19" spans="1:24" ht="13.8" thickTop="1" x14ac:dyDescent="0.25">
      <c r="A19" s="726"/>
      <c r="B19" s="376"/>
      <c r="C19" s="365"/>
      <c r="D19" s="365"/>
      <c r="E19" s="365"/>
      <c r="F19" s="194"/>
      <c r="G19" s="194"/>
      <c r="H19" s="194"/>
      <c r="I19" s="194"/>
      <c r="J19" s="194"/>
      <c r="K19" s="194"/>
      <c r="L19" s="194"/>
      <c r="O19" s="395"/>
      <c r="P19" s="363"/>
      <c r="Q19" s="386"/>
      <c r="R19" s="384"/>
      <c r="S19" s="367"/>
      <c r="T19" s="553"/>
      <c r="U19" s="368"/>
      <c r="V19" s="25"/>
      <c r="W19" s="25"/>
      <c r="X19" s="25"/>
    </row>
    <row r="20" spans="1:24" ht="13.8" thickBot="1" x14ac:dyDescent="0.3">
      <c r="A20" s="724">
        <v>5380</v>
      </c>
      <c r="B20" s="369" t="s">
        <v>1105</v>
      </c>
      <c r="C20" s="371">
        <v>2750</v>
      </c>
      <c r="D20" s="371">
        <v>2750</v>
      </c>
      <c r="E20" s="371">
        <v>2750</v>
      </c>
      <c r="F20" s="194"/>
      <c r="G20" s="194"/>
      <c r="H20" s="194"/>
      <c r="I20" s="194"/>
      <c r="J20" s="194"/>
      <c r="K20" s="194"/>
      <c r="L20" s="194"/>
      <c r="O20" s="372">
        <f>+Q9</f>
        <v>7182</v>
      </c>
      <c r="P20" s="393">
        <f>+S9</f>
        <v>7182</v>
      </c>
      <c r="Q20" s="368">
        <f>+P20-O20</f>
        <v>0</v>
      </c>
      <c r="R20" s="374" t="str">
        <f>IF(O20+P20&lt;&gt;0,IF(O20&lt;&gt;0,IF(Q20&lt;&gt;0,ROUND((+Q20/O20),4),""),1),"")</f>
        <v/>
      </c>
      <c r="S20" s="367"/>
      <c r="T20" s="553"/>
      <c r="U20" s="368"/>
      <c r="V20" s="25"/>
      <c r="W20" s="25"/>
      <c r="X20" s="25"/>
    </row>
    <row r="21" spans="1:24" x14ac:dyDescent="0.25">
      <c r="A21" s="703"/>
      <c r="B21" s="4"/>
      <c r="C21" s="23"/>
      <c r="D21" s="23"/>
      <c r="E21" s="23"/>
      <c r="F21" s="23"/>
      <c r="G21" s="23"/>
      <c r="H21" s="194"/>
      <c r="I21" s="194"/>
      <c r="J21" s="194"/>
      <c r="K21" s="194"/>
      <c r="L21" s="194"/>
      <c r="O21" s="23"/>
      <c r="P21" s="23"/>
      <c r="Q21" s="23"/>
      <c r="R21" s="25"/>
      <c r="S21" s="23"/>
      <c r="T21" s="23"/>
      <c r="U21" s="23"/>
      <c r="V21" s="25"/>
      <c r="W21" s="25"/>
      <c r="X21" s="25"/>
    </row>
    <row r="22" spans="1:24" x14ac:dyDescent="0.25">
      <c r="A22" s="703"/>
      <c r="B22" s="4" t="s">
        <v>735</v>
      </c>
      <c r="C22" s="23"/>
      <c r="D22" s="23"/>
      <c r="E22" s="23"/>
      <c r="F22" s="23"/>
      <c r="G22" s="23"/>
      <c r="H22" s="194"/>
      <c r="I22" s="194"/>
      <c r="J22" s="194"/>
      <c r="K22" s="194"/>
      <c r="L22" s="194"/>
      <c r="O22" s="597">
        <f>SUM(O20:O21)</f>
        <v>7182</v>
      </c>
      <c r="P22" s="597">
        <f>SUM(P20:P21)</f>
        <v>7182</v>
      </c>
      <c r="Q22" s="25">
        <f>+P22-O22</f>
        <v>0</v>
      </c>
      <c r="R22" s="598" t="str">
        <f>IF(O22+P22&lt;&gt;0,IF(O22&lt;&gt;0,IF(Q22&lt;&gt;0,ROUND((+Q22/O22),4),""),1),"")</f>
        <v/>
      </c>
      <c r="S22" s="23"/>
      <c r="T22" s="23"/>
      <c r="U22" s="23"/>
      <c r="V22" s="25"/>
      <c r="W22" s="25"/>
      <c r="X22" s="25"/>
    </row>
    <row r="23" spans="1:24" x14ac:dyDescent="0.25">
      <c r="A23" s="703"/>
      <c r="B23" s="4"/>
      <c r="C23" s="23"/>
      <c r="D23" s="23"/>
      <c r="E23" s="23"/>
      <c r="F23" s="23"/>
      <c r="G23" s="23"/>
      <c r="H23" s="23"/>
      <c r="I23" s="23"/>
      <c r="J23" s="23"/>
      <c r="K23" s="23"/>
      <c r="L23" s="23"/>
      <c r="M23" s="23"/>
      <c r="N23" s="23"/>
      <c r="O23" s="23"/>
      <c r="P23" s="23"/>
      <c r="Q23" s="23"/>
      <c r="R23" s="25"/>
      <c r="S23" s="23"/>
      <c r="T23" s="23"/>
      <c r="U23" s="23"/>
      <c r="V23" s="25"/>
      <c r="W23" s="25"/>
      <c r="X23" s="25"/>
    </row>
    <row r="24" spans="1:24" x14ac:dyDescent="0.25">
      <c r="A24" s="703"/>
      <c r="B24" s="4"/>
      <c r="C24" s="23"/>
      <c r="D24" s="23"/>
      <c r="E24" s="23"/>
      <c r="F24" s="23"/>
      <c r="G24" s="23"/>
      <c r="H24" s="23"/>
      <c r="I24" s="23"/>
      <c r="J24" s="23"/>
      <c r="K24" s="23"/>
      <c r="L24" s="23"/>
      <c r="M24" s="23"/>
      <c r="N24" s="23"/>
      <c r="O24" s="23"/>
      <c r="P24" s="23"/>
      <c r="Q24" s="23"/>
      <c r="R24" s="25"/>
      <c r="S24" s="23"/>
      <c r="T24" s="23"/>
      <c r="U24" s="23"/>
      <c r="V24" s="25"/>
      <c r="W24" s="25"/>
      <c r="X24" s="25"/>
    </row>
    <row r="25" spans="1:24" x14ac:dyDescent="0.25">
      <c r="A25" s="703"/>
      <c r="B25" s="4"/>
      <c r="C25" s="23"/>
      <c r="D25" s="23"/>
      <c r="E25" s="23"/>
      <c r="F25" s="23"/>
      <c r="G25" s="23"/>
      <c r="H25" s="23"/>
      <c r="I25" s="23"/>
      <c r="J25" s="23"/>
      <c r="K25" s="23"/>
      <c r="L25" s="23"/>
      <c r="M25" s="23"/>
      <c r="N25" s="23"/>
      <c r="O25" s="23"/>
      <c r="P25" s="23"/>
      <c r="Q25" s="23"/>
      <c r="R25" s="25"/>
      <c r="S25" s="23"/>
      <c r="T25" s="23"/>
      <c r="U25" s="23"/>
      <c r="V25" s="25"/>
      <c r="W25" s="25"/>
      <c r="X25" s="25"/>
    </row>
    <row r="26" spans="1:24" x14ac:dyDescent="0.25">
      <c r="A26" s="703"/>
      <c r="B26" s="4"/>
      <c r="C26" s="23"/>
      <c r="D26" s="23"/>
      <c r="E26" s="23"/>
      <c r="F26" s="23"/>
      <c r="G26" s="23"/>
      <c r="H26" s="23"/>
      <c r="I26" s="23"/>
      <c r="J26" s="23"/>
      <c r="K26" s="23"/>
      <c r="L26" s="23"/>
      <c r="M26" s="23"/>
      <c r="N26" s="23"/>
      <c r="O26" s="23"/>
      <c r="P26" s="23"/>
      <c r="Q26" s="23"/>
      <c r="R26" s="25"/>
      <c r="S26" s="23"/>
      <c r="T26" s="23"/>
      <c r="U26" s="23"/>
      <c r="V26" s="25"/>
      <c r="W26" s="25"/>
      <c r="X26" s="25"/>
    </row>
    <row r="27" spans="1:24" x14ac:dyDescent="0.25">
      <c r="A27" s="703"/>
      <c r="B27" s="4"/>
      <c r="C27" s="23"/>
      <c r="D27" s="23"/>
      <c r="E27" s="23"/>
      <c r="F27" s="23"/>
      <c r="G27" s="23"/>
      <c r="H27" s="23"/>
      <c r="I27" s="23"/>
      <c r="J27" s="23"/>
      <c r="K27" s="23"/>
      <c r="L27" s="23"/>
      <c r="M27" s="23"/>
      <c r="N27" s="23"/>
      <c r="O27" s="23"/>
      <c r="P27" s="23"/>
      <c r="Q27" s="23"/>
      <c r="R27" s="25"/>
      <c r="S27" s="23"/>
      <c r="T27" s="23"/>
      <c r="U27" s="23"/>
      <c r="V27" s="25"/>
      <c r="W27" s="25"/>
      <c r="X27" s="25"/>
    </row>
    <row r="28" spans="1:24" x14ac:dyDescent="0.25">
      <c r="A28" s="703"/>
      <c r="B28" s="4"/>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5">
      <c r="A29" s="703"/>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5">
      <c r="A30" s="703"/>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5">
      <c r="A31" s="703"/>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5">
      <c r="A32" s="703"/>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5">
      <c r="A33" s="703"/>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5">
      <c r="A34" s="703"/>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5">
      <c r="A35" s="703"/>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5">
      <c r="A36" s="703"/>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5">
      <c r="A37" s="703"/>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5">
      <c r="A38" s="703"/>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5">
      <c r="A39" s="703"/>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5">
      <c r="A40" s="703"/>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5">
      <c r="A41" s="703"/>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5">
      <c r="A44" s="703"/>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5">
      <c r="A45" s="703"/>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5">
      <c r="A46" s="703"/>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5">
      <c r="A47" s="703"/>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5">
      <c r="A48" s="703"/>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5">
      <c r="A49" s="703"/>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5">
      <c r="A50" s="703"/>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5">
      <c r="A51" s="703"/>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5">
      <c r="A52" s="703"/>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5">
      <c r="A53" s="703"/>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5">
      <c r="A54" s="703"/>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5">
      <c r="A55" s="703"/>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5">
      <c r="A56" s="703"/>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5">
      <c r="A57" s="703"/>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5">
      <c r="A58" s="703"/>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5">
      <c r="A59" s="703"/>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5">
      <c r="A60" s="703"/>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5">
      <c r="A61" s="703"/>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5">
      <c r="A62" s="703"/>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5">
      <c r="A63" s="703"/>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5">
      <c r="A64" s="703"/>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5">
      <c r="A65" s="703"/>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5">
      <c r="A66" s="703"/>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5">
      <c r="A67" s="703"/>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5">
      <c r="A68" s="703"/>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5">
      <c r="A69" s="703"/>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5">
      <c r="A70" s="703"/>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5">
      <c r="A71" s="703"/>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5">
      <c r="A72" s="703"/>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5">
      <c r="A73" s="703"/>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5">
      <c r="A124" s="703"/>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5">
      <c r="A125" s="703"/>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5">
      <c r="A126" s="703"/>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5">
      <c r="A127" s="703"/>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5">
      <c r="A128" s="703"/>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row r="180" spans="3:3" x14ac:dyDescent="0.25">
      <c r="C180" s="194"/>
    </row>
  </sheetData>
  <phoneticPr fontId="0" type="noConversion"/>
  <hyperlinks>
    <hyperlink ref="A1" location="'Working Budget with funding det'!A1" display="Main " xr:uid="{00000000-0004-0000-1C00-000000000000}"/>
    <hyperlink ref="B1" location="'Table of Contents'!A1" display="TOC" xr:uid="{00000000-0004-0000-1C00-000001000000}"/>
  </hyperlinks>
  <pageMargins left="0.75" right="0.75" top="1" bottom="1" header="0.5" footer="0.5"/>
  <pageSetup scale="90" orientation="landscape" horizontalDpi="300" verticalDpi="300" r:id="rId1"/>
  <headerFooter alignWithMargins="0">
    <oddFooter>&amp;L&amp;D     &amp;T&amp;C&amp;F&amp;R&amp;A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Y150"/>
  <sheetViews>
    <sheetView workbookViewId="0">
      <selection activeCell="R10" sqref="R10"/>
    </sheetView>
  </sheetViews>
  <sheetFormatPr defaultRowHeight="13.2" x14ac:dyDescent="0.25"/>
  <cols>
    <col min="1" max="1" width="9.44140625" style="700" bestFit="1"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689" t="s">
        <v>736</v>
      </c>
      <c r="B1" s="290" t="s">
        <v>194</v>
      </c>
      <c r="D1" s="194"/>
      <c r="E1" s="194"/>
      <c r="F1" s="194"/>
      <c r="G1" s="194"/>
      <c r="H1" s="194"/>
      <c r="I1" s="194"/>
      <c r="J1" s="194"/>
      <c r="K1" s="194"/>
      <c r="L1" s="194"/>
      <c r="M1" s="194"/>
      <c r="N1" s="194"/>
      <c r="O1" s="194"/>
      <c r="P1" s="194"/>
      <c r="Q1" s="194"/>
      <c r="U1"/>
    </row>
    <row r="2" spans="1:24" ht="13.8" x14ac:dyDescent="0.25">
      <c r="A2" s="690" t="s">
        <v>1008</v>
      </c>
      <c r="B2" s="43"/>
      <c r="D2" s="194"/>
      <c r="E2" s="125"/>
      <c r="F2" s="194"/>
      <c r="G2" s="194"/>
      <c r="H2" s="194"/>
      <c r="I2" s="125" t="s">
        <v>706</v>
      </c>
      <c r="J2" s="125"/>
      <c r="K2" s="125"/>
      <c r="L2" s="125"/>
      <c r="M2" s="125"/>
      <c r="N2" s="125"/>
      <c r="O2" s="125"/>
      <c r="P2" s="125"/>
      <c r="Q2" s="125"/>
      <c r="R2" s="58" t="s">
        <v>1107</v>
      </c>
      <c r="U2" s="44" t="s">
        <v>1108</v>
      </c>
    </row>
    <row r="3" spans="1:24" ht="13.8" thickBot="1" x14ac:dyDescent="0.3">
      <c r="A3" s="691"/>
      <c r="B3" s="4"/>
      <c r="C3" s="23"/>
      <c r="D3" s="23"/>
      <c r="E3" s="23"/>
      <c r="F3" s="23"/>
      <c r="G3" s="23"/>
      <c r="H3" s="23"/>
      <c r="I3" s="23"/>
      <c r="J3" s="23"/>
      <c r="K3" s="23"/>
      <c r="L3" s="23"/>
      <c r="M3" s="23"/>
      <c r="N3" s="23"/>
      <c r="O3" s="23"/>
      <c r="P3" s="23"/>
      <c r="Q3" s="23"/>
      <c r="R3" s="4"/>
      <c r="S3" s="23"/>
      <c r="T3" s="23"/>
      <c r="U3" s="4"/>
      <c r="X3" s="4"/>
    </row>
    <row r="4" spans="1:24" ht="13.8" thickTop="1" x14ac:dyDescent="0.25">
      <c r="A4" s="692"/>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693"/>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693"/>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694"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695"/>
      <c r="B8" s="185"/>
      <c r="C8" s="117"/>
      <c r="D8" s="18"/>
      <c r="E8" s="18"/>
      <c r="F8" s="18"/>
      <c r="G8" s="18"/>
      <c r="H8" s="18"/>
      <c r="I8" s="18"/>
      <c r="J8" s="18"/>
      <c r="K8" s="19"/>
      <c r="L8" s="19"/>
      <c r="M8" s="19"/>
      <c r="N8" s="19"/>
      <c r="O8" s="19"/>
      <c r="P8" s="19"/>
      <c r="Q8" s="19"/>
      <c r="R8" s="18"/>
      <c r="S8" s="19"/>
      <c r="T8" s="19"/>
      <c r="U8" s="19"/>
    </row>
    <row r="9" spans="1:24" ht="13.8" thickBot="1" x14ac:dyDescent="0.3">
      <c r="A9" s="696">
        <v>5113</v>
      </c>
      <c r="B9" s="60" t="s">
        <v>1109</v>
      </c>
      <c r="C9" s="116">
        <v>5490</v>
      </c>
      <c r="D9" s="15">
        <v>5490</v>
      </c>
      <c r="E9" s="15">
        <v>5490</v>
      </c>
      <c r="F9" s="15">
        <v>5490</v>
      </c>
      <c r="G9" s="15">
        <v>5490</v>
      </c>
      <c r="H9" s="15">
        <v>5490</v>
      </c>
      <c r="I9" s="15">
        <v>5490</v>
      </c>
      <c r="J9" s="15">
        <v>5765</v>
      </c>
      <c r="K9" s="16">
        <v>5765</v>
      </c>
      <c r="L9" s="15">
        <v>5765</v>
      </c>
      <c r="M9" s="16">
        <v>5765</v>
      </c>
      <c r="N9" s="15">
        <v>5765</v>
      </c>
      <c r="O9" s="16">
        <v>5765</v>
      </c>
      <c r="P9" s="16">
        <v>5765</v>
      </c>
      <c r="Q9" s="16">
        <v>5765</v>
      </c>
      <c r="R9" s="15">
        <v>2882.48</v>
      </c>
      <c r="S9" s="16">
        <v>6444</v>
      </c>
      <c r="T9" s="16"/>
      <c r="U9" s="16"/>
    </row>
    <row r="10" spans="1:24" x14ac:dyDescent="0.25">
      <c r="A10" s="696"/>
      <c r="B10" s="61" t="s">
        <v>718</v>
      </c>
      <c r="C10" s="117">
        <f>SUM(C9:C9)</f>
        <v>5490</v>
      </c>
      <c r="D10" s="18">
        <f>SUM(D9:D9)</f>
        <v>5490</v>
      </c>
      <c r="E10" s="18">
        <f>SUM(E9:E9)</f>
        <v>5490</v>
      </c>
      <c r="F10" s="18">
        <f>SUM(F9)</f>
        <v>5490</v>
      </c>
      <c r="G10" s="18">
        <f>SUM(G9)</f>
        <v>5490</v>
      </c>
      <c r="H10" s="18">
        <f>SUM(H9)</f>
        <v>5490</v>
      </c>
      <c r="I10" s="18">
        <f>+I9</f>
        <v>5490</v>
      </c>
      <c r="J10" s="18">
        <f>+J9</f>
        <v>5765</v>
      </c>
      <c r="K10" s="19">
        <f>+K9</f>
        <v>5765</v>
      </c>
      <c r="L10" s="18">
        <f t="shared" ref="L10:O10" si="0">+L9</f>
        <v>5765</v>
      </c>
      <c r="M10" s="19">
        <f t="shared" si="0"/>
        <v>5765</v>
      </c>
      <c r="N10" s="18">
        <f t="shared" ref="N10" si="1">+N9</f>
        <v>5765</v>
      </c>
      <c r="O10" s="19">
        <f t="shared" si="0"/>
        <v>5765</v>
      </c>
      <c r="P10" s="19">
        <f t="shared" ref="P10" si="2">+P9</f>
        <v>5765</v>
      </c>
      <c r="Q10" s="19">
        <f>+Q9</f>
        <v>5765</v>
      </c>
      <c r="R10" s="18">
        <f>SUM(R9:R9)</f>
        <v>2882.48</v>
      </c>
      <c r="S10" s="19">
        <f>+S9</f>
        <v>6444</v>
      </c>
      <c r="T10" s="19"/>
      <c r="U10" s="19">
        <f>+U9</f>
        <v>0</v>
      </c>
    </row>
    <row r="11" spans="1:24" x14ac:dyDescent="0.25">
      <c r="A11" s="696"/>
      <c r="B11" s="60"/>
      <c r="C11" s="115"/>
      <c r="D11" s="13"/>
      <c r="E11" s="13"/>
      <c r="F11" s="13"/>
      <c r="G11" s="13"/>
      <c r="H11" s="13"/>
      <c r="I11" s="13"/>
      <c r="J11" s="13"/>
      <c r="K11" s="14"/>
      <c r="L11" s="13"/>
      <c r="M11" s="14"/>
      <c r="N11" s="13"/>
      <c r="O11" s="14"/>
      <c r="P11" s="14"/>
      <c r="Q11" s="14"/>
      <c r="R11" s="13"/>
      <c r="S11" s="14"/>
      <c r="T11" s="14"/>
      <c r="U11" s="14"/>
    </row>
    <row r="12" spans="1:24" hidden="1" x14ac:dyDescent="0.25">
      <c r="A12" s="696">
        <v>5380</v>
      </c>
      <c r="B12" s="60" t="s">
        <v>1110</v>
      </c>
      <c r="C12" s="210">
        <v>100</v>
      </c>
      <c r="D12" s="35">
        <v>100</v>
      </c>
      <c r="E12" s="35">
        <v>100</v>
      </c>
      <c r="F12" s="35">
        <v>150</v>
      </c>
      <c r="G12" s="35"/>
      <c r="H12" s="35"/>
      <c r="I12" s="35"/>
      <c r="J12" s="35"/>
      <c r="K12" s="36"/>
      <c r="L12" s="35"/>
      <c r="M12" s="36"/>
      <c r="N12" s="35"/>
      <c r="O12" s="36"/>
      <c r="P12" s="36"/>
      <c r="Q12" s="36"/>
      <c r="R12" s="35"/>
      <c r="S12" s="36"/>
      <c r="T12" s="36"/>
      <c r="U12" s="36"/>
    </row>
    <row r="13" spans="1:24" ht="13.8" thickBot="1" x14ac:dyDescent="0.3">
      <c r="A13" s="696">
        <v>5420</v>
      </c>
      <c r="B13" s="60" t="s">
        <v>1111</v>
      </c>
      <c r="C13" s="116"/>
      <c r="D13" s="15"/>
      <c r="E13" s="15"/>
      <c r="F13" s="15"/>
      <c r="G13" s="15"/>
      <c r="H13" s="15"/>
      <c r="I13" s="15"/>
      <c r="J13" s="15"/>
      <c r="K13" s="16"/>
      <c r="L13" s="15"/>
      <c r="M13" s="16">
        <v>500</v>
      </c>
      <c r="N13" s="15"/>
      <c r="O13" s="16">
        <v>500</v>
      </c>
      <c r="P13" s="16"/>
      <c r="Q13" s="16">
        <v>500</v>
      </c>
      <c r="R13" s="15"/>
      <c r="S13" s="16">
        <v>500</v>
      </c>
      <c r="T13" s="16"/>
      <c r="U13" s="16"/>
    </row>
    <row r="14" spans="1:24" x14ac:dyDescent="0.25">
      <c r="A14" s="696"/>
      <c r="B14" s="61" t="s">
        <v>728</v>
      </c>
      <c r="C14" s="117">
        <f>SUM(C13:C13)</f>
        <v>0</v>
      </c>
      <c r="D14" s="18">
        <f t="shared" ref="D14:S14" si="3">SUM(D12:D13)</f>
        <v>100</v>
      </c>
      <c r="E14" s="18">
        <f t="shared" si="3"/>
        <v>100</v>
      </c>
      <c r="F14" s="18">
        <f>SUM(F12:F13)</f>
        <v>150</v>
      </c>
      <c r="G14" s="18">
        <f>SUM(G12:G13)</f>
        <v>0</v>
      </c>
      <c r="H14" s="18">
        <f>SUM(H12:H13)</f>
        <v>0</v>
      </c>
      <c r="I14" s="18">
        <f t="shared" si="3"/>
        <v>0</v>
      </c>
      <c r="J14" s="18">
        <f t="shared" ref="J14" si="4">SUM(J12:J13)</f>
        <v>0</v>
      </c>
      <c r="K14" s="19">
        <f t="shared" ref="K14:O14" si="5">SUM(K12:K13)</f>
        <v>0</v>
      </c>
      <c r="L14" s="18">
        <f t="shared" si="5"/>
        <v>0</v>
      </c>
      <c r="M14" s="19">
        <f t="shared" si="5"/>
        <v>500</v>
      </c>
      <c r="N14" s="18">
        <f t="shared" ref="N14" si="6">SUM(N12:N13)</f>
        <v>0</v>
      </c>
      <c r="O14" s="19">
        <f t="shared" si="5"/>
        <v>500</v>
      </c>
      <c r="P14" s="19">
        <f t="shared" ref="P14" si="7">SUM(P12:P13)</f>
        <v>0</v>
      </c>
      <c r="Q14" s="19">
        <f t="shared" ref="Q14" si="8">SUM(Q12:Q13)</f>
        <v>500</v>
      </c>
      <c r="R14" s="18">
        <f t="shared" si="3"/>
        <v>0</v>
      </c>
      <c r="S14" s="19">
        <f t="shared" si="3"/>
        <v>500</v>
      </c>
      <c r="T14" s="19"/>
      <c r="U14" s="19">
        <f>SUM(U12:U13)</f>
        <v>0</v>
      </c>
    </row>
    <row r="15" spans="1:24" x14ac:dyDescent="0.25">
      <c r="A15" s="696"/>
      <c r="B15" s="60"/>
      <c r="C15" s="115"/>
      <c r="D15" s="13"/>
      <c r="E15" s="13"/>
      <c r="F15" s="13"/>
      <c r="G15" s="13"/>
      <c r="H15" s="13"/>
      <c r="I15" s="13"/>
      <c r="J15" s="13"/>
      <c r="K15" s="14"/>
      <c r="L15" s="13"/>
      <c r="M15" s="14"/>
      <c r="N15" s="13"/>
      <c r="O15" s="14"/>
      <c r="P15" s="14"/>
      <c r="Q15" s="14"/>
      <c r="R15" s="13"/>
      <c r="S15" s="14"/>
      <c r="T15" s="14"/>
      <c r="U15" s="14"/>
    </row>
    <row r="16" spans="1:24" ht="13.8" thickBot="1" x14ac:dyDescent="0.3">
      <c r="A16" s="697"/>
      <c r="B16" s="583" t="s">
        <v>1112</v>
      </c>
      <c r="C16" s="577">
        <f t="shared" ref="C16:S16" si="9">+C14+C10</f>
        <v>5490</v>
      </c>
      <c r="D16" s="21">
        <f t="shared" si="9"/>
        <v>5590</v>
      </c>
      <c r="E16" s="21">
        <f>+E14+E10</f>
        <v>5590</v>
      </c>
      <c r="F16" s="21">
        <f>+F14+F10</f>
        <v>5640</v>
      </c>
      <c r="G16" s="21">
        <f>+G14+G10</f>
        <v>5490</v>
      </c>
      <c r="H16" s="21">
        <f>+H14+H10</f>
        <v>5490</v>
      </c>
      <c r="I16" s="21">
        <f t="shared" si="9"/>
        <v>5490</v>
      </c>
      <c r="J16" s="21">
        <f t="shared" ref="J16" si="10">+J14+J10</f>
        <v>5765</v>
      </c>
      <c r="K16" s="22">
        <f t="shared" ref="K16:O16" si="11">+K14+K10</f>
        <v>5765</v>
      </c>
      <c r="L16" s="21">
        <f t="shared" si="11"/>
        <v>5765</v>
      </c>
      <c r="M16" s="22">
        <f t="shared" si="11"/>
        <v>6265</v>
      </c>
      <c r="N16" s="21">
        <f t="shared" ref="N16" si="12">+N14+N10</f>
        <v>5765</v>
      </c>
      <c r="O16" s="22">
        <f t="shared" si="11"/>
        <v>6265</v>
      </c>
      <c r="P16" s="22">
        <f t="shared" ref="P16" si="13">+P14+P10</f>
        <v>5765</v>
      </c>
      <c r="Q16" s="22">
        <f t="shared" ref="Q16" si="14">+Q14+Q10</f>
        <v>6265</v>
      </c>
      <c r="R16" s="21">
        <f t="shared" si="9"/>
        <v>2882.48</v>
      </c>
      <c r="S16" s="22">
        <f t="shared" si="9"/>
        <v>6944</v>
      </c>
      <c r="T16" s="22">
        <f>+S16</f>
        <v>6944</v>
      </c>
      <c r="U16" s="22">
        <f>+S16</f>
        <v>6944</v>
      </c>
    </row>
    <row r="17" spans="1:24" ht="13.8" thickTop="1" x14ac:dyDescent="0.25">
      <c r="A17" s="698"/>
      <c r="B17" s="584"/>
      <c r="C17" s="988"/>
      <c r="D17" s="988"/>
      <c r="E17" s="988"/>
      <c r="F17" s="988"/>
      <c r="G17" s="988"/>
      <c r="H17" s="988"/>
      <c r="I17" s="988"/>
      <c r="J17" s="988"/>
      <c r="K17" s="988"/>
      <c r="L17" s="988"/>
      <c r="M17" s="988"/>
      <c r="N17" s="988"/>
      <c r="O17" s="988"/>
      <c r="P17" s="988"/>
      <c r="Q17" s="988"/>
      <c r="R17" s="181" t="s">
        <v>732</v>
      </c>
      <c r="S17" s="1001">
        <f>+S16-Q16</f>
        <v>679</v>
      </c>
      <c r="T17" s="1002">
        <f>ROUND((+S17/Q16),4)</f>
        <v>0.1084</v>
      </c>
      <c r="U17" s="119"/>
    </row>
    <row r="18" spans="1:24" x14ac:dyDescent="0.25">
      <c r="A18" s="698"/>
      <c r="B18" s="584"/>
      <c r="C18" s="119"/>
      <c r="D18" s="981"/>
      <c r="E18" s="981"/>
      <c r="F18" s="981"/>
      <c r="G18" s="981"/>
      <c r="H18" s="981"/>
      <c r="I18" s="981"/>
      <c r="J18" s="981"/>
      <c r="K18" s="981"/>
      <c r="L18" s="981"/>
      <c r="M18" s="981"/>
      <c r="N18" s="981"/>
      <c r="O18" s="981"/>
      <c r="P18" s="981"/>
      <c r="Q18" s="981"/>
      <c r="S18" s="119"/>
      <c r="T18" s="119"/>
      <c r="U18" s="119"/>
    </row>
    <row r="19" spans="1:24" ht="13.8" thickBot="1" x14ac:dyDescent="0.3">
      <c r="A19" s="698"/>
      <c r="B19" s="4"/>
      <c r="C19" s="102"/>
      <c r="D19" s="193"/>
      <c r="E19" s="193"/>
      <c r="F19" s="193"/>
      <c r="G19" s="193"/>
      <c r="H19" s="193"/>
      <c r="I19" s="193"/>
      <c r="J19" s="193"/>
      <c r="K19" s="193"/>
      <c r="L19" s="193"/>
      <c r="M19" s="193"/>
      <c r="N19" s="193"/>
      <c r="O19" s="193"/>
      <c r="P19" s="193"/>
      <c r="Q19" s="193"/>
      <c r="R19" s="84"/>
      <c r="S19" s="102"/>
      <c r="T19" s="102"/>
      <c r="U19" s="102"/>
      <c r="V19" s="84"/>
      <c r="W19" s="84"/>
      <c r="X19" s="84"/>
    </row>
    <row r="20" spans="1:24" ht="13.8" thickTop="1" x14ac:dyDescent="0.25">
      <c r="A20" s="699"/>
      <c r="B20" s="585"/>
      <c r="C20" s="350" t="s">
        <v>256</v>
      </c>
      <c r="D20" s="351" t="s">
        <v>256</v>
      </c>
      <c r="E20" s="351" t="s">
        <v>256</v>
      </c>
      <c r="F20" s="194"/>
      <c r="G20" s="194"/>
      <c r="H20" s="194"/>
      <c r="I20" s="194"/>
      <c r="J20" s="194"/>
      <c r="K20" s="194"/>
      <c r="L20" s="194"/>
      <c r="O20" s="352" t="s">
        <v>255</v>
      </c>
      <c r="P20" s="353" t="s">
        <v>716</v>
      </c>
      <c r="Q20" s="354" t="s">
        <v>730</v>
      </c>
      <c r="R20" s="353" t="s">
        <v>731</v>
      </c>
      <c r="S20" s="355"/>
      <c r="T20" s="550"/>
      <c r="U20" s="354"/>
      <c r="V20" s="84"/>
      <c r="W20" s="84"/>
      <c r="X20" s="84"/>
    </row>
    <row r="21" spans="1:24" ht="13.8" thickBot="1" x14ac:dyDescent="0.3">
      <c r="A21" s="832" t="s">
        <v>715</v>
      </c>
      <c r="B21" s="428"/>
      <c r="C21" s="833" t="s">
        <v>243</v>
      </c>
      <c r="D21" s="833" t="s">
        <v>244</v>
      </c>
      <c r="E21" s="416" t="s">
        <v>245</v>
      </c>
      <c r="F21" s="194"/>
      <c r="G21" s="194"/>
      <c r="H21" s="194"/>
      <c r="I21" s="194"/>
      <c r="J21" s="194"/>
      <c r="K21" s="194"/>
      <c r="L21" s="194"/>
      <c r="O21" s="358" t="s">
        <v>469</v>
      </c>
      <c r="P21" s="359" t="s">
        <v>1345</v>
      </c>
      <c r="Q21" s="416" t="s">
        <v>732</v>
      </c>
      <c r="R21" s="417" t="s">
        <v>732</v>
      </c>
      <c r="S21" s="418" t="s">
        <v>733</v>
      </c>
      <c r="T21" s="922"/>
      <c r="U21" s="415"/>
      <c r="V21" s="25"/>
      <c r="W21" s="25"/>
      <c r="X21" s="25"/>
    </row>
    <row r="22" spans="1:24" ht="13.8" thickTop="1" x14ac:dyDescent="0.25">
      <c r="A22" s="834"/>
      <c r="B22" s="397"/>
      <c r="C22" s="373"/>
      <c r="D22" s="373"/>
      <c r="E22" s="373"/>
      <c r="F22" s="987"/>
      <c r="G22" s="987"/>
      <c r="H22" s="987"/>
      <c r="I22" s="194"/>
      <c r="J22" s="194"/>
      <c r="K22" s="194"/>
      <c r="L22" s="194"/>
      <c r="O22" s="372"/>
      <c r="P22" s="420"/>
      <c r="Q22" s="431"/>
      <c r="R22" s="421"/>
      <c r="S22" s="372"/>
      <c r="T22" s="372"/>
      <c r="U22" s="372"/>
      <c r="V22" s="25"/>
      <c r="W22" s="25"/>
      <c r="X22" s="25"/>
    </row>
    <row r="23" spans="1:24" x14ac:dyDescent="0.25">
      <c r="A23" s="834">
        <v>5113</v>
      </c>
      <c r="B23" s="397" t="s">
        <v>1113</v>
      </c>
      <c r="C23" s="373">
        <v>5490</v>
      </c>
      <c r="D23" s="373">
        <v>5490</v>
      </c>
      <c r="E23" s="373">
        <v>5490</v>
      </c>
      <c r="F23" s="987"/>
      <c r="G23" s="987"/>
      <c r="H23" s="987"/>
      <c r="I23" s="194"/>
      <c r="J23" s="194"/>
      <c r="K23" s="194"/>
      <c r="L23" s="194"/>
      <c r="O23" s="372">
        <f>+Q9</f>
        <v>5765</v>
      </c>
      <c r="P23" s="393">
        <f>+S9</f>
        <v>6444</v>
      </c>
      <c r="Q23" s="372">
        <f>+P23-O23</f>
        <v>679</v>
      </c>
      <c r="R23" s="665">
        <f>IF(O23+P23&lt;&gt;0,IF(O23&lt;&gt;0,IF(Q23&lt;&gt;0,ROUND((+Q23/O23),4),""),1),"")</f>
        <v>0.1178</v>
      </c>
      <c r="S23" s="372"/>
      <c r="T23" s="372"/>
      <c r="U23" s="372"/>
      <c r="V23" s="25"/>
      <c r="W23" s="25"/>
      <c r="X23" s="25"/>
    </row>
    <row r="24" spans="1:24" hidden="1" x14ac:dyDescent="0.25">
      <c r="A24" s="834">
        <v>5380</v>
      </c>
      <c r="B24" s="397" t="s">
        <v>1110</v>
      </c>
      <c r="C24" s="373">
        <v>100</v>
      </c>
      <c r="D24" s="373">
        <v>100</v>
      </c>
      <c r="E24" s="373">
        <v>100</v>
      </c>
      <c r="F24" s="987"/>
      <c r="G24" s="987"/>
      <c r="H24" s="987"/>
      <c r="I24" s="194"/>
      <c r="J24" s="194"/>
      <c r="K24" s="194"/>
      <c r="L24" s="194"/>
      <c r="O24" s="372"/>
      <c r="P24" s="373"/>
      <c r="Q24" s="372"/>
      <c r="R24" s="373"/>
      <c r="S24" s="372"/>
      <c r="T24" s="372"/>
      <c r="U24" s="372"/>
      <c r="V24" s="25"/>
      <c r="W24" s="25"/>
      <c r="X24" s="25"/>
    </row>
    <row r="25" spans="1:24" hidden="1" x14ac:dyDescent="0.25">
      <c r="A25" s="834">
        <v>5420</v>
      </c>
      <c r="B25" s="397" t="s">
        <v>1111</v>
      </c>
      <c r="C25" s="373"/>
      <c r="D25" s="373"/>
      <c r="E25" s="373"/>
      <c r="F25" s="987"/>
      <c r="G25" s="987"/>
      <c r="H25" s="987"/>
      <c r="I25" s="194"/>
      <c r="J25" s="194"/>
      <c r="K25" s="194"/>
      <c r="L25" s="194"/>
      <c r="O25" s="372"/>
      <c r="P25" s="373"/>
      <c r="Q25" s="372"/>
      <c r="R25" s="373"/>
      <c r="S25" s="372"/>
      <c r="T25" s="372"/>
      <c r="U25" s="372"/>
      <c r="V25" s="25"/>
      <c r="W25" s="25"/>
      <c r="X25" s="25"/>
    </row>
    <row r="26" spans="1:24" x14ac:dyDescent="0.25">
      <c r="A26" s="834">
        <v>5420</v>
      </c>
      <c r="B26" s="397" t="s">
        <v>1111</v>
      </c>
      <c r="C26" s="373"/>
      <c r="D26" s="373"/>
      <c r="E26" s="373"/>
      <c r="F26" s="987"/>
      <c r="G26" s="987"/>
      <c r="H26" s="987"/>
      <c r="I26" s="194"/>
      <c r="J26" s="194"/>
      <c r="K26" s="194"/>
      <c r="L26" s="194"/>
      <c r="O26" s="372">
        <f>+Q13</f>
        <v>500</v>
      </c>
      <c r="P26" s="373">
        <f>+S13</f>
        <v>500</v>
      </c>
      <c r="Q26" s="372"/>
      <c r="R26" s="373"/>
      <c r="S26" s="372"/>
      <c r="T26" s="372"/>
      <c r="U26" s="372"/>
      <c r="V26" s="25"/>
      <c r="W26" s="25"/>
      <c r="X26" s="25"/>
    </row>
    <row r="27" spans="1:24" x14ac:dyDescent="0.25">
      <c r="A27" s="691"/>
      <c r="B27" s="4"/>
      <c r="C27" s="23"/>
      <c r="D27" s="23"/>
      <c r="E27" s="23"/>
      <c r="F27" s="23"/>
      <c r="G27" s="23"/>
      <c r="H27" s="194"/>
      <c r="I27" s="194"/>
      <c r="J27" s="194"/>
      <c r="K27" s="194"/>
      <c r="L27" s="194"/>
      <c r="O27" s="23"/>
      <c r="P27" s="23"/>
      <c r="Q27" s="23"/>
      <c r="R27" s="25"/>
      <c r="S27" s="23"/>
      <c r="T27" s="23"/>
      <c r="U27" s="23"/>
      <c r="V27" s="25"/>
      <c r="W27" s="25"/>
      <c r="X27" s="25"/>
    </row>
    <row r="28" spans="1:24" x14ac:dyDescent="0.25">
      <c r="A28" s="691"/>
      <c r="B28" s="4" t="s">
        <v>735</v>
      </c>
      <c r="C28" s="23"/>
      <c r="D28" s="23"/>
      <c r="E28" s="23"/>
      <c r="F28" s="23"/>
      <c r="G28" s="23"/>
      <c r="H28" s="194"/>
      <c r="I28" s="194"/>
      <c r="J28" s="194"/>
      <c r="K28" s="194"/>
      <c r="L28" s="194"/>
      <c r="O28" s="597">
        <f>SUM(O23:O27)</f>
        <v>6265</v>
      </c>
      <c r="P28" s="597">
        <f>SUM(P23:P27)</f>
        <v>6944</v>
      </c>
      <c r="Q28" s="25">
        <f>+P28-O28</f>
        <v>679</v>
      </c>
      <c r="R28" s="598">
        <f>IF(O28+P28&lt;&gt;0,IF(O28&lt;&gt;0,IF(Q28&lt;&gt;0,ROUND((+Q28/O28),4),""),1),"")</f>
        <v>0.1084</v>
      </c>
      <c r="S28" s="23"/>
      <c r="T28" s="23"/>
      <c r="U28" s="23"/>
      <c r="V28" s="25"/>
      <c r="W28" s="25"/>
      <c r="X28" s="25"/>
    </row>
    <row r="29" spans="1:24" x14ac:dyDescent="0.25">
      <c r="A29" s="691"/>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5">
      <c r="A30" s="797"/>
      <c r="B30" s="260"/>
      <c r="C30" s="302"/>
      <c r="D30" s="302"/>
      <c r="E30" s="302"/>
      <c r="F30" s="302"/>
      <c r="G30" s="302"/>
      <c r="H30" s="302"/>
      <c r="I30" s="302"/>
      <c r="J30" s="302"/>
      <c r="K30" s="302"/>
      <c r="L30" s="302"/>
      <c r="M30" s="302"/>
      <c r="N30" s="302"/>
      <c r="O30" s="302"/>
      <c r="P30" s="302"/>
      <c r="Q30" s="302"/>
      <c r="R30" s="181"/>
      <c r="S30" s="302"/>
      <c r="T30" s="302"/>
      <c r="U30" s="302"/>
      <c r="V30" s="25"/>
      <c r="W30" s="25"/>
      <c r="X30" s="25"/>
    </row>
    <row r="31" spans="1:24" x14ac:dyDescent="0.25">
      <c r="A31" s="691"/>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5">
      <c r="A32" s="691"/>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5">
      <c r="A33" s="691"/>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5">
      <c r="A34" s="691"/>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5">
      <c r="A35" s="691"/>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5">
      <c r="A36" s="691"/>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5">
      <c r="A37" s="691"/>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5">
      <c r="A38" s="691"/>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5">
      <c r="A39" s="691"/>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5">
      <c r="A40" s="691"/>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5">
      <c r="A41" s="691"/>
      <c r="B41" s="4"/>
      <c r="C41" s="23"/>
      <c r="D41" s="23"/>
      <c r="E41" s="23"/>
      <c r="F41" s="23"/>
      <c r="G41" s="23"/>
      <c r="H41" s="23"/>
      <c r="I41" s="23"/>
      <c r="J41" s="23"/>
      <c r="K41" s="23"/>
      <c r="L41" s="23"/>
      <c r="M41" s="23"/>
      <c r="N41" s="23"/>
      <c r="O41" s="23"/>
      <c r="P41" s="23"/>
      <c r="Q41" s="23"/>
      <c r="R41" s="4"/>
      <c r="S41" s="23"/>
      <c r="T41" s="23"/>
      <c r="U41" s="23"/>
      <c r="V41" s="4"/>
      <c r="W41" s="4"/>
      <c r="X41" s="4"/>
    </row>
    <row r="42" spans="1:24" x14ac:dyDescent="0.25">
      <c r="A42" s="691"/>
      <c r="B42" s="4"/>
      <c r="C42" s="23"/>
      <c r="D42" s="23"/>
      <c r="E42" s="23"/>
      <c r="F42" s="23"/>
      <c r="G42" s="23"/>
      <c r="H42" s="23"/>
      <c r="I42" s="23"/>
      <c r="J42" s="23"/>
      <c r="K42" s="23"/>
      <c r="L42" s="23"/>
      <c r="M42" s="23"/>
      <c r="N42" s="23"/>
      <c r="O42" s="23"/>
      <c r="P42" s="23"/>
      <c r="Q42" s="23"/>
      <c r="R42" s="4"/>
      <c r="S42" s="23"/>
      <c r="T42" s="23"/>
      <c r="U42" s="23"/>
      <c r="V42" s="4"/>
      <c r="W42" s="4"/>
      <c r="X42" s="4"/>
    </row>
    <row r="43" spans="1:24" x14ac:dyDescent="0.25">
      <c r="A43" s="691"/>
      <c r="B43" s="4"/>
      <c r="C43" s="23"/>
      <c r="D43" s="23"/>
      <c r="E43" s="23"/>
      <c r="F43" s="23"/>
      <c r="G43" s="23"/>
      <c r="H43" s="23"/>
      <c r="I43" s="23"/>
      <c r="J43" s="23"/>
      <c r="K43" s="23"/>
      <c r="L43" s="23"/>
      <c r="M43" s="23"/>
      <c r="N43" s="23"/>
      <c r="O43" s="23"/>
      <c r="P43" s="23"/>
      <c r="Q43" s="23"/>
      <c r="R43" s="4"/>
      <c r="S43" s="23"/>
      <c r="T43" s="23"/>
      <c r="U43" s="23"/>
      <c r="V43" s="4"/>
      <c r="W43" s="4"/>
      <c r="X43" s="4"/>
    </row>
    <row r="44" spans="1:24" x14ac:dyDescent="0.25">
      <c r="A44" s="691"/>
      <c r="B44" s="4"/>
      <c r="C44" s="23"/>
      <c r="D44" s="23"/>
      <c r="E44" s="23"/>
      <c r="F44" s="23"/>
      <c r="G44" s="23"/>
      <c r="H44" s="23"/>
      <c r="I44" s="23"/>
      <c r="J44" s="23"/>
      <c r="K44" s="23"/>
      <c r="L44" s="23"/>
      <c r="M44" s="23"/>
      <c r="N44" s="23"/>
      <c r="O44" s="23"/>
      <c r="P44" s="23"/>
      <c r="Q44" s="23"/>
      <c r="R44" s="4"/>
      <c r="S44" s="23"/>
      <c r="T44" s="23"/>
      <c r="U44" s="23"/>
      <c r="V44" s="4"/>
      <c r="W44" s="4"/>
      <c r="X44" s="4"/>
    </row>
    <row r="45" spans="1:24" x14ac:dyDescent="0.25">
      <c r="A45" s="691"/>
      <c r="B45" s="4"/>
      <c r="C45" s="23"/>
      <c r="D45" s="23"/>
      <c r="E45" s="23"/>
      <c r="F45" s="23"/>
      <c r="G45" s="23"/>
      <c r="H45" s="23"/>
      <c r="I45" s="23"/>
      <c r="J45" s="23"/>
      <c r="K45" s="23"/>
      <c r="L45" s="23"/>
      <c r="M45" s="23"/>
      <c r="N45" s="23"/>
      <c r="O45" s="23"/>
      <c r="P45" s="23"/>
      <c r="Q45" s="23"/>
      <c r="R45" s="4"/>
      <c r="S45" s="23"/>
      <c r="T45" s="23"/>
      <c r="U45" s="23"/>
      <c r="V45" s="4"/>
      <c r="W45" s="4"/>
      <c r="X45" s="4"/>
    </row>
    <row r="46" spans="1:24" x14ac:dyDescent="0.25">
      <c r="A46" s="691"/>
      <c r="B46" s="4"/>
      <c r="C46" s="23"/>
      <c r="D46" s="23"/>
      <c r="E46" s="23"/>
      <c r="F46" s="23"/>
      <c r="G46" s="23"/>
      <c r="H46" s="23"/>
      <c r="I46" s="23"/>
      <c r="J46" s="23"/>
      <c r="K46" s="23"/>
      <c r="L46" s="23"/>
      <c r="M46" s="23"/>
      <c r="N46" s="23"/>
      <c r="O46" s="23"/>
      <c r="P46" s="23"/>
      <c r="Q46" s="23"/>
      <c r="R46" s="4"/>
      <c r="S46" s="23"/>
      <c r="T46" s="23"/>
      <c r="U46" s="23"/>
      <c r="V46" s="4"/>
      <c r="W46" s="4"/>
      <c r="X46" s="4"/>
    </row>
    <row r="47" spans="1:24" x14ac:dyDescent="0.25">
      <c r="A47" s="691"/>
      <c r="B47" s="4"/>
      <c r="C47" s="23"/>
      <c r="D47" s="23"/>
      <c r="E47" s="23"/>
      <c r="F47" s="23"/>
      <c r="G47" s="23"/>
      <c r="H47" s="23"/>
      <c r="I47" s="23"/>
      <c r="J47" s="23"/>
      <c r="K47" s="23"/>
      <c r="L47" s="23"/>
      <c r="M47" s="23"/>
      <c r="N47" s="23"/>
      <c r="O47" s="23"/>
      <c r="P47" s="23"/>
      <c r="Q47" s="23"/>
      <c r="R47" s="4"/>
      <c r="S47" s="23"/>
      <c r="T47" s="23"/>
      <c r="U47" s="23"/>
      <c r="V47" s="4"/>
      <c r="W47" s="4"/>
      <c r="X47" s="4"/>
    </row>
    <row r="48" spans="1:24" x14ac:dyDescent="0.25">
      <c r="A48" s="691"/>
      <c r="B48" s="4"/>
      <c r="C48" s="23"/>
      <c r="D48" s="23"/>
      <c r="E48" s="23"/>
      <c r="F48" s="23"/>
      <c r="G48" s="23"/>
      <c r="H48" s="23"/>
      <c r="I48" s="23"/>
      <c r="J48" s="23"/>
      <c r="K48" s="23"/>
      <c r="L48" s="23"/>
      <c r="M48" s="23"/>
      <c r="N48" s="23"/>
      <c r="O48" s="23"/>
      <c r="P48" s="23"/>
      <c r="Q48" s="23"/>
      <c r="R48" s="4"/>
      <c r="S48" s="23"/>
      <c r="T48" s="23"/>
      <c r="U48" s="23"/>
      <c r="V48" s="4"/>
      <c r="W48" s="4"/>
      <c r="X48" s="4"/>
    </row>
    <row r="49" spans="1:24" x14ac:dyDescent="0.25">
      <c r="A49" s="691"/>
      <c r="B49" s="4"/>
      <c r="C49" s="23"/>
      <c r="D49" s="23"/>
      <c r="E49" s="23"/>
      <c r="F49" s="23"/>
      <c r="G49" s="23"/>
      <c r="H49" s="23"/>
      <c r="I49" s="23"/>
      <c r="J49" s="23"/>
      <c r="K49" s="23"/>
      <c r="L49" s="23"/>
      <c r="M49" s="23"/>
      <c r="N49" s="23"/>
      <c r="O49" s="23"/>
      <c r="P49" s="23"/>
      <c r="Q49" s="23"/>
      <c r="R49" s="4"/>
      <c r="S49" s="23"/>
      <c r="T49" s="23"/>
      <c r="U49" s="23"/>
      <c r="V49" s="4"/>
      <c r="W49" s="4"/>
      <c r="X49" s="4"/>
    </row>
    <row r="50" spans="1:24" x14ac:dyDescent="0.25">
      <c r="A50" s="691"/>
      <c r="B50" s="4"/>
      <c r="C50" s="23"/>
      <c r="D50" s="23"/>
      <c r="E50" s="23"/>
      <c r="F50" s="23"/>
      <c r="G50" s="23"/>
      <c r="H50" s="23"/>
      <c r="I50" s="23"/>
      <c r="J50" s="23"/>
      <c r="K50" s="23"/>
      <c r="L50" s="23"/>
      <c r="M50" s="23"/>
      <c r="N50" s="23"/>
      <c r="O50" s="23"/>
      <c r="P50" s="23"/>
      <c r="Q50" s="23"/>
      <c r="R50" s="4"/>
      <c r="S50" s="23"/>
      <c r="T50" s="23"/>
      <c r="U50" s="23"/>
      <c r="V50" s="4"/>
      <c r="W50" s="4"/>
      <c r="X50" s="4"/>
    </row>
    <row r="51" spans="1:24" x14ac:dyDescent="0.25">
      <c r="A51" s="691"/>
      <c r="B51" s="4"/>
      <c r="C51" s="23"/>
      <c r="D51" s="23"/>
      <c r="E51" s="23"/>
      <c r="F51" s="23"/>
      <c r="G51" s="23"/>
      <c r="H51" s="23"/>
      <c r="I51" s="23"/>
      <c r="J51" s="23"/>
      <c r="K51" s="23"/>
      <c r="L51" s="23"/>
      <c r="M51" s="23"/>
      <c r="N51" s="23"/>
      <c r="O51" s="23"/>
      <c r="P51" s="23"/>
      <c r="Q51" s="23"/>
      <c r="R51" s="4"/>
      <c r="S51" s="23"/>
      <c r="T51" s="23"/>
      <c r="U51" s="23"/>
      <c r="V51" s="4"/>
      <c r="W51" s="4"/>
      <c r="X51" s="4"/>
    </row>
    <row r="52" spans="1:24" x14ac:dyDescent="0.25">
      <c r="A52" s="691"/>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5">
      <c r="A53" s="691"/>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5">
      <c r="A54" s="691"/>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5">
      <c r="A55" s="691"/>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5">
      <c r="A56" s="691"/>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5">
      <c r="A57" s="691"/>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5">
      <c r="A58" s="691"/>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5">
      <c r="A59" s="691"/>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5">
      <c r="A60" s="691"/>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5">
      <c r="A61" s="691"/>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5">
      <c r="A62" s="691"/>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5">
      <c r="A63" s="691"/>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5">
      <c r="A64" s="691"/>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5">
      <c r="A65" s="691"/>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5">
      <c r="A66" s="691"/>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5">
      <c r="A67" s="691"/>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5">
      <c r="A68" s="691"/>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5">
      <c r="A69" s="691"/>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5">
      <c r="A70" s="691"/>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5">
      <c r="A71" s="691"/>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5">
      <c r="A72" s="691"/>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5">
      <c r="A73" s="691"/>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5">
      <c r="A74" s="691"/>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691"/>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691"/>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691"/>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691"/>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691"/>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691"/>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691"/>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691"/>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691"/>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691"/>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691"/>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691"/>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691"/>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691"/>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691"/>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691"/>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691"/>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691"/>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691"/>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691"/>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691"/>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691"/>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691"/>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691"/>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691"/>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691"/>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691"/>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691"/>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691"/>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691"/>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691"/>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C106" s="194"/>
      <c r="D106" s="194"/>
      <c r="E106" s="194"/>
      <c r="F106" s="194"/>
      <c r="G106" s="194"/>
      <c r="H106" s="194"/>
      <c r="I106" s="194"/>
      <c r="J106" s="194"/>
      <c r="K106" s="194"/>
      <c r="L106" s="194"/>
      <c r="M106" s="194"/>
      <c r="N106" s="194"/>
      <c r="O106" s="194"/>
      <c r="P106" s="194"/>
      <c r="Q106" s="194"/>
    </row>
    <row r="107" spans="1:24" x14ac:dyDescent="0.25">
      <c r="C107" s="194"/>
      <c r="D107" s="194"/>
      <c r="E107" s="194"/>
      <c r="F107" s="194"/>
      <c r="G107" s="194"/>
      <c r="H107" s="194"/>
      <c r="I107" s="194"/>
      <c r="J107" s="194"/>
      <c r="K107" s="194"/>
      <c r="L107" s="194"/>
      <c r="M107" s="194"/>
      <c r="N107" s="194"/>
      <c r="O107" s="194"/>
      <c r="P107" s="194"/>
      <c r="Q107" s="194"/>
    </row>
    <row r="108" spans="1:24" x14ac:dyDescent="0.25">
      <c r="C108" s="194"/>
      <c r="D108" s="194"/>
      <c r="E108" s="194"/>
      <c r="F108" s="194"/>
      <c r="G108" s="194"/>
      <c r="H108" s="194"/>
      <c r="I108" s="194"/>
      <c r="J108" s="194"/>
      <c r="K108" s="194"/>
      <c r="L108" s="194"/>
      <c r="M108" s="194"/>
      <c r="N108" s="194"/>
      <c r="O108" s="194"/>
      <c r="P108" s="194"/>
      <c r="Q108" s="194"/>
    </row>
    <row r="109" spans="1:24" x14ac:dyDescent="0.25">
      <c r="C109" s="194"/>
      <c r="D109" s="194"/>
      <c r="E109" s="194"/>
      <c r="F109" s="194"/>
      <c r="G109" s="194"/>
      <c r="H109" s="194"/>
      <c r="I109" s="194"/>
      <c r="J109" s="194"/>
      <c r="K109" s="194"/>
      <c r="L109" s="194"/>
      <c r="M109" s="194"/>
      <c r="N109" s="194"/>
      <c r="O109" s="194"/>
      <c r="P109" s="194"/>
      <c r="Q109" s="194"/>
    </row>
    <row r="110" spans="1:24" x14ac:dyDescent="0.25">
      <c r="C110" s="194"/>
      <c r="D110" s="194"/>
      <c r="E110" s="194"/>
      <c r="F110" s="194"/>
      <c r="G110" s="194"/>
      <c r="H110" s="194"/>
      <c r="I110" s="194"/>
      <c r="J110" s="194"/>
      <c r="K110" s="194"/>
      <c r="L110" s="194"/>
      <c r="M110" s="194"/>
      <c r="N110" s="194"/>
      <c r="O110" s="194"/>
      <c r="P110" s="194"/>
      <c r="Q110" s="194"/>
    </row>
    <row r="111" spans="1:24" x14ac:dyDescent="0.25">
      <c r="C111" s="194"/>
      <c r="D111" s="194"/>
      <c r="E111" s="194"/>
      <c r="F111" s="194"/>
      <c r="G111" s="194"/>
      <c r="H111" s="194"/>
      <c r="I111" s="194"/>
      <c r="J111" s="194"/>
      <c r="K111" s="194"/>
      <c r="L111" s="194"/>
      <c r="M111" s="194"/>
      <c r="N111" s="194"/>
      <c r="O111" s="194"/>
      <c r="P111" s="194"/>
      <c r="Q111" s="194"/>
    </row>
    <row r="112" spans="1:24" x14ac:dyDescent="0.25">
      <c r="C112" s="194"/>
      <c r="D112" s="194"/>
      <c r="E112" s="194"/>
      <c r="F112" s="194"/>
      <c r="G112" s="194"/>
      <c r="H112" s="194"/>
      <c r="I112" s="194"/>
      <c r="J112" s="194"/>
      <c r="K112" s="194"/>
      <c r="L112" s="194"/>
      <c r="M112" s="194"/>
      <c r="N112" s="194"/>
      <c r="O112" s="194"/>
      <c r="P112" s="194"/>
      <c r="Q112" s="194"/>
    </row>
    <row r="113" spans="3:3" x14ac:dyDescent="0.25">
      <c r="C113" s="194"/>
    </row>
    <row r="114" spans="3:3" x14ac:dyDescent="0.25">
      <c r="C114" s="194"/>
    </row>
    <row r="115" spans="3:3" x14ac:dyDescent="0.25">
      <c r="C115" s="194"/>
    </row>
    <row r="116" spans="3:3" x14ac:dyDescent="0.25">
      <c r="C116" s="194"/>
    </row>
    <row r="117" spans="3:3" x14ac:dyDescent="0.25">
      <c r="C117" s="194"/>
    </row>
    <row r="118" spans="3:3" x14ac:dyDescent="0.25">
      <c r="C118" s="194"/>
    </row>
    <row r="119" spans="3:3" x14ac:dyDescent="0.25">
      <c r="C119" s="194"/>
    </row>
    <row r="120" spans="3:3" x14ac:dyDescent="0.25">
      <c r="C120" s="194"/>
    </row>
    <row r="121" spans="3:3" x14ac:dyDescent="0.25">
      <c r="C121" s="194"/>
    </row>
    <row r="122" spans="3:3" x14ac:dyDescent="0.25">
      <c r="C122" s="194"/>
    </row>
    <row r="123" spans="3:3" x14ac:dyDescent="0.25">
      <c r="C123" s="194"/>
    </row>
    <row r="124" spans="3:3" x14ac:dyDescent="0.25">
      <c r="C124" s="194"/>
    </row>
    <row r="125" spans="3:3" x14ac:dyDescent="0.25">
      <c r="C125" s="194"/>
    </row>
    <row r="126" spans="3:3" x14ac:dyDescent="0.25">
      <c r="C126" s="194"/>
    </row>
    <row r="127" spans="3:3" x14ac:dyDescent="0.25">
      <c r="C127" s="194"/>
    </row>
    <row r="128" spans="3:3" x14ac:dyDescent="0.25">
      <c r="C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sheetData>
  <phoneticPr fontId="0" type="noConversion"/>
  <hyperlinks>
    <hyperlink ref="A1" location="'Working Budget with funding det'!A1" display="Main " xr:uid="{00000000-0004-0000-1D00-000000000000}"/>
    <hyperlink ref="B1" location="'Table of Contents'!A1" display="TOC" xr:uid="{00000000-0004-0000-1D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Y159"/>
  <sheetViews>
    <sheetView workbookViewId="0">
      <selection activeCell="R15" sqref="R15"/>
    </sheetView>
  </sheetViews>
  <sheetFormatPr defaultRowHeight="13.2" x14ac:dyDescent="0.25"/>
  <cols>
    <col min="1" max="1" width="10.77734375" style="712" bestFit="1"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5" x14ac:dyDescent="0.25">
      <c r="A1" s="701" t="s">
        <v>736</v>
      </c>
      <c r="B1" s="290" t="s">
        <v>194</v>
      </c>
      <c r="D1" s="194"/>
      <c r="E1" s="194"/>
      <c r="F1" s="194"/>
      <c r="G1" s="194"/>
      <c r="H1" s="194"/>
      <c r="I1" s="194"/>
      <c r="J1" s="194"/>
      <c r="K1" s="194"/>
      <c r="L1" s="194"/>
      <c r="M1" s="194"/>
      <c r="N1" s="194"/>
      <c r="O1" s="194"/>
      <c r="P1" s="194"/>
      <c r="Q1" s="194"/>
      <c r="U1"/>
    </row>
    <row r="2" spans="1:25" ht="13.8" x14ac:dyDescent="0.25">
      <c r="A2" s="702" t="s">
        <v>1008</v>
      </c>
      <c r="B2" s="43"/>
      <c r="D2" s="194"/>
      <c r="E2" s="125"/>
      <c r="F2" s="194"/>
      <c r="G2" s="194"/>
      <c r="H2" s="194"/>
      <c r="I2" s="125" t="s">
        <v>706</v>
      </c>
      <c r="J2" s="125"/>
      <c r="K2" s="125"/>
      <c r="L2" s="125"/>
      <c r="M2" s="125"/>
      <c r="N2" s="125"/>
      <c r="O2" s="125"/>
      <c r="P2" s="125"/>
      <c r="Q2" s="125"/>
      <c r="R2" s="58" t="s">
        <v>536</v>
      </c>
      <c r="U2" s="44" t="s">
        <v>1114</v>
      </c>
    </row>
    <row r="3" spans="1:25" ht="13.8" thickBot="1" x14ac:dyDescent="0.3">
      <c r="A3" s="703"/>
      <c r="B3" s="4"/>
      <c r="C3" s="23"/>
      <c r="D3" s="23"/>
      <c r="E3" s="23"/>
      <c r="F3" s="23"/>
      <c r="G3" s="23"/>
      <c r="H3" s="23"/>
      <c r="I3" s="23"/>
      <c r="J3" s="23"/>
      <c r="K3" s="23"/>
      <c r="L3" s="23"/>
      <c r="M3" s="23"/>
      <c r="N3" s="23"/>
      <c r="O3" s="23"/>
      <c r="P3" s="23"/>
      <c r="Q3" s="23"/>
      <c r="R3" s="4"/>
      <c r="S3" s="23"/>
      <c r="T3" s="23"/>
      <c r="U3" s="4"/>
      <c r="X3" s="4"/>
    </row>
    <row r="4" spans="1:25"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5"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5"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5"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5" ht="13.8" thickTop="1" x14ac:dyDescent="0.25">
      <c r="A8" s="725"/>
      <c r="B8" s="185"/>
      <c r="C8" s="117"/>
      <c r="D8" s="18"/>
      <c r="E8" s="18"/>
      <c r="F8" s="18"/>
      <c r="G8" s="18"/>
      <c r="H8" s="18"/>
      <c r="I8" s="19"/>
      <c r="J8" s="19"/>
      <c r="K8" s="19"/>
      <c r="L8" s="19"/>
      <c r="M8" s="19"/>
      <c r="N8" s="19"/>
      <c r="O8" s="19"/>
      <c r="P8" s="19"/>
      <c r="Q8" s="19"/>
      <c r="R8" s="18"/>
      <c r="S8" s="19"/>
      <c r="T8" s="19"/>
      <c r="U8" s="19"/>
    </row>
    <row r="9" spans="1:25" x14ac:dyDescent="0.25">
      <c r="A9" s="708">
        <v>5247</v>
      </c>
      <c r="B9" s="60" t="s">
        <v>1115</v>
      </c>
      <c r="C9" s="115">
        <v>3000</v>
      </c>
      <c r="D9" s="127">
        <v>0</v>
      </c>
      <c r="E9" s="127">
        <v>300</v>
      </c>
      <c r="F9" s="127">
        <v>300</v>
      </c>
      <c r="G9" s="127">
        <v>395</v>
      </c>
      <c r="H9" s="127">
        <v>387.1</v>
      </c>
      <c r="I9" s="127">
        <v>387.1</v>
      </c>
      <c r="J9" s="127">
        <v>387.1</v>
      </c>
      <c r="K9" s="14">
        <v>395</v>
      </c>
      <c r="L9" s="127">
        <v>387.1</v>
      </c>
      <c r="M9" s="14">
        <v>395</v>
      </c>
      <c r="N9" s="19">
        <v>387.1</v>
      </c>
      <c r="O9" s="14">
        <v>395</v>
      </c>
      <c r="P9" s="13">
        <v>395</v>
      </c>
      <c r="Q9" s="14"/>
      <c r="R9" s="13"/>
      <c r="S9" s="14"/>
      <c r="T9" s="14"/>
      <c r="U9" s="14"/>
    </row>
    <row r="10" spans="1:25" x14ac:dyDescent="0.25">
      <c r="A10" s="708">
        <v>5300</v>
      </c>
      <c r="B10" s="60" t="s">
        <v>1116</v>
      </c>
      <c r="C10" s="115"/>
      <c r="D10" s="127">
        <v>1050</v>
      </c>
      <c r="E10" s="127">
        <v>800</v>
      </c>
      <c r="F10" s="127"/>
      <c r="G10" s="127">
        <v>800</v>
      </c>
      <c r="H10" s="127">
        <v>800</v>
      </c>
      <c r="I10" s="127">
        <v>800</v>
      </c>
      <c r="J10" s="127">
        <v>800</v>
      </c>
      <c r="K10" s="14">
        <v>800</v>
      </c>
      <c r="L10" s="127">
        <v>800</v>
      </c>
      <c r="M10" s="14">
        <v>800</v>
      </c>
      <c r="N10" s="127">
        <v>800</v>
      </c>
      <c r="O10" s="14">
        <v>800</v>
      </c>
      <c r="P10" s="13">
        <v>800</v>
      </c>
      <c r="Q10" s="14">
        <v>800</v>
      </c>
      <c r="R10" s="13">
        <v>800</v>
      </c>
      <c r="S10" s="14">
        <v>800</v>
      </c>
      <c r="T10" s="14"/>
      <c r="U10" s="14"/>
    </row>
    <row r="11" spans="1:25" x14ac:dyDescent="0.25">
      <c r="A11" s="708">
        <v>5310</v>
      </c>
      <c r="B11" s="60" t="s">
        <v>1117</v>
      </c>
      <c r="C11" s="115">
        <v>575</v>
      </c>
      <c r="D11" s="127">
        <v>322.38</v>
      </c>
      <c r="E11" s="127">
        <v>169.5</v>
      </c>
      <c r="F11" s="127">
        <v>261.10000000000002</v>
      </c>
      <c r="G11" s="127"/>
      <c r="H11" s="127"/>
      <c r="I11" s="127">
        <v>0</v>
      </c>
      <c r="J11" s="127">
        <v>490</v>
      </c>
      <c r="K11" s="14">
        <v>500</v>
      </c>
      <c r="L11" s="127">
        <v>20</v>
      </c>
      <c r="M11" s="14">
        <v>500</v>
      </c>
      <c r="N11" s="127">
        <v>483</v>
      </c>
      <c r="O11" s="14">
        <v>500</v>
      </c>
      <c r="P11" s="13"/>
      <c r="Q11" s="14">
        <v>500</v>
      </c>
      <c r="R11" s="13"/>
      <c r="S11" s="14">
        <v>500</v>
      </c>
      <c r="T11" s="14"/>
      <c r="U11" s="14"/>
    </row>
    <row r="12" spans="1:25" x14ac:dyDescent="0.25">
      <c r="A12" s="708">
        <v>5344</v>
      </c>
      <c r="B12" s="60" t="s">
        <v>722</v>
      </c>
      <c r="C12" s="115">
        <v>59.4</v>
      </c>
      <c r="D12" s="127">
        <v>61.64</v>
      </c>
      <c r="E12" s="127">
        <v>19.149999999999999</v>
      </c>
      <c r="F12" s="127"/>
      <c r="G12" s="127">
        <v>128.81</v>
      </c>
      <c r="H12" s="127"/>
      <c r="I12" s="127">
        <v>655.45</v>
      </c>
      <c r="J12" s="127">
        <v>507.9</v>
      </c>
      <c r="K12" s="14">
        <v>150</v>
      </c>
      <c r="L12" s="127">
        <v>646.01</v>
      </c>
      <c r="M12" s="14">
        <v>150</v>
      </c>
      <c r="N12" s="127">
        <v>479.25</v>
      </c>
      <c r="O12" s="14">
        <v>150</v>
      </c>
      <c r="P12" s="13">
        <v>696.68</v>
      </c>
      <c r="Q12" s="14"/>
      <c r="R12" s="13"/>
      <c r="S12" s="14"/>
      <c r="T12" s="14"/>
      <c r="U12" s="14"/>
    </row>
    <row r="13" spans="1:25" x14ac:dyDescent="0.25">
      <c r="A13" s="708">
        <v>5351</v>
      </c>
      <c r="B13" s="60" t="s">
        <v>1118</v>
      </c>
      <c r="C13" s="117">
        <v>100</v>
      </c>
      <c r="D13" s="111">
        <v>100</v>
      </c>
      <c r="E13" s="111">
        <v>100</v>
      </c>
      <c r="F13" s="111">
        <v>100</v>
      </c>
      <c r="G13" s="111">
        <v>100</v>
      </c>
      <c r="H13" s="111">
        <v>100</v>
      </c>
      <c r="I13" s="111">
        <v>100</v>
      </c>
      <c r="J13" s="111"/>
      <c r="K13" s="19">
        <v>100</v>
      </c>
      <c r="L13" s="111"/>
      <c r="M13" s="19">
        <v>100</v>
      </c>
      <c r="N13" s="111"/>
      <c r="O13" s="19">
        <v>100</v>
      </c>
      <c r="P13" s="18"/>
      <c r="Q13" s="19"/>
      <c r="R13" s="18"/>
      <c r="S13" s="19"/>
      <c r="T13" s="19"/>
      <c r="U13" s="19"/>
    </row>
    <row r="14" spans="1:25" x14ac:dyDescent="0.25">
      <c r="A14" s="708">
        <v>5380</v>
      </c>
      <c r="B14" s="60" t="s">
        <v>1119</v>
      </c>
      <c r="C14" s="117"/>
      <c r="D14" s="111">
        <v>10553.43</v>
      </c>
      <c r="E14" s="111">
        <v>14804.76</v>
      </c>
      <c r="F14" s="111">
        <v>15704.88</v>
      </c>
      <c r="G14" s="111">
        <v>16389.04</v>
      </c>
      <c r="H14" s="111">
        <v>16758.32</v>
      </c>
      <c r="I14" s="111">
        <v>17011.04</v>
      </c>
      <c r="J14" s="111">
        <v>17812.080000000002</v>
      </c>
      <c r="K14" s="19">
        <v>18169</v>
      </c>
      <c r="L14" s="111">
        <v>18084.68</v>
      </c>
      <c r="M14" s="19">
        <v>19282</v>
      </c>
      <c r="N14" s="111">
        <v>18084.68</v>
      </c>
      <c r="O14" s="19">
        <v>19520</v>
      </c>
      <c r="P14" s="18">
        <v>19517.64</v>
      </c>
      <c r="Q14" s="19">
        <v>21812</v>
      </c>
      <c r="R14" s="18">
        <v>10430.36</v>
      </c>
      <c r="S14" s="19">
        <v>22358</v>
      </c>
      <c r="T14" s="19"/>
      <c r="U14" s="19"/>
    </row>
    <row r="15" spans="1:25" ht="13.8" thickBot="1" x14ac:dyDescent="0.3">
      <c r="A15" s="708">
        <v>5420</v>
      </c>
      <c r="B15" s="60" t="s">
        <v>1120</v>
      </c>
      <c r="C15" s="116">
        <v>135.41</v>
      </c>
      <c r="D15" s="252">
        <v>153.27000000000001</v>
      </c>
      <c r="E15" s="252">
        <v>159</v>
      </c>
      <c r="F15" s="252">
        <v>160.6</v>
      </c>
      <c r="G15" s="252">
        <v>181.75</v>
      </c>
      <c r="H15" s="252">
        <v>236.08</v>
      </c>
      <c r="I15" s="252">
        <v>203</v>
      </c>
      <c r="J15" s="252">
        <v>203</v>
      </c>
      <c r="K15" s="16">
        <v>300</v>
      </c>
      <c r="L15" s="252">
        <v>203.69</v>
      </c>
      <c r="M15" s="16">
        <v>300</v>
      </c>
      <c r="N15" s="252">
        <v>156.25</v>
      </c>
      <c r="O15" s="16">
        <v>300</v>
      </c>
      <c r="P15" s="15">
        <v>169.77</v>
      </c>
      <c r="Q15" s="16"/>
      <c r="R15" s="15"/>
      <c r="S15" s="16"/>
      <c r="T15" s="16"/>
      <c r="U15" s="16"/>
    </row>
    <row r="16" spans="1:25" x14ac:dyDescent="0.25">
      <c r="A16" s="708"/>
      <c r="B16" s="61" t="s">
        <v>728</v>
      </c>
      <c r="C16" s="117">
        <f t="shared" ref="C16:R16" si="0">SUM(C9:C15)</f>
        <v>3869.81</v>
      </c>
      <c r="D16" s="18">
        <f t="shared" si="0"/>
        <v>12240.720000000001</v>
      </c>
      <c r="E16" s="18">
        <f t="shared" si="0"/>
        <v>16352.41</v>
      </c>
      <c r="F16" s="18">
        <f t="shared" ref="F16:K16" si="1">SUM(F9:F15)</f>
        <v>16526.579999999998</v>
      </c>
      <c r="G16" s="18">
        <f t="shared" si="1"/>
        <v>17994.600000000002</v>
      </c>
      <c r="H16" s="18">
        <f t="shared" si="1"/>
        <v>18281.5</v>
      </c>
      <c r="I16" s="18">
        <f t="shared" si="1"/>
        <v>19156.59</v>
      </c>
      <c r="J16" s="18">
        <f t="shared" si="1"/>
        <v>20200.080000000002</v>
      </c>
      <c r="K16" s="19">
        <f t="shared" si="1"/>
        <v>20414</v>
      </c>
      <c r="L16" s="18">
        <f t="shared" ref="L16:O16" si="2">SUM(L9:L15)</f>
        <v>20141.48</v>
      </c>
      <c r="M16" s="19">
        <f t="shared" si="2"/>
        <v>21527</v>
      </c>
      <c r="N16" s="18">
        <f t="shared" ref="N16" si="3">SUM(N9:N15)</f>
        <v>20390.28</v>
      </c>
      <c r="O16" s="19">
        <f t="shared" si="2"/>
        <v>21765</v>
      </c>
      <c r="P16" s="18">
        <f t="shared" ref="P16" si="4">SUM(P9:P15)</f>
        <v>21579.09</v>
      </c>
      <c r="Q16" s="19">
        <f>SUM(Q9:Q15)</f>
        <v>23112</v>
      </c>
      <c r="R16" s="18">
        <f t="shared" si="0"/>
        <v>11230.36</v>
      </c>
      <c r="S16" s="19">
        <f>SUM(S9:S15)</f>
        <v>23658</v>
      </c>
      <c r="T16" s="19">
        <f>+S16</f>
        <v>23658</v>
      </c>
      <c r="U16" s="19">
        <f>+S16</f>
        <v>23658</v>
      </c>
      <c r="Y16"/>
    </row>
    <row r="17" spans="1:25" x14ac:dyDescent="0.25">
      <c r="A17" s="708"/>
      <c r="B17" s="61"/>
      <c r="C17" s="117"/>
      <c r="D17" s="18"/>
      <c r="E17" s="18"/>
      <c r="F17" s="18"/>
      <c r="G17" s="18"/>
      <c r="H17" s="18"/>
      <c r="I17" s="18"/>
      <c r="J17" s="18"/>
      <c r="K17" s="19"/>
      <c r="L17" s="18"/>
      <c r="M17" s="19"/>
      <c r="N17" s="18"/>
      <c r="O17" s="19"/>
      <c r="P17" s="18"/>
      <c r="Q17" s="19"/>
      <c r="R17" s="18"/>
      <c r="S17" s="19"/>
      <c r="T17" s="19"/>
      <c r="U17" s="19"/>
      <c r="Y17"/>
    </row>
    <row r="18" spans="1:25" ht="13.8" hidden="1" thickBot="1" x14ac:dyDescent="0.3">
      <c r="A18" s="708">
        <v>5800</v>
      </c>
      <c r="B18" s="60" t="s">
        <v>1121</v>
      </c>
      <c r="C18" s="117"/>
      <c r="D18" s="18"/>
      <c r="E18" s="15"/>
      <c r="F18" s="15"/>
      <c r="G18" s="15"/>
      <c r="H18" s="15">
        <v>7883.74</v>
      </c>
      <c r="I18" s="15"/>
      <c r="J18" s="15"/>
      <c r="K18" s="16"/>
      <c r="L18" s="15"/>
      <c r="M18" s="16"/>
      <c r="N18" s="15"/>
      <c r="O18" s="16"/>
      <c r="P18" s="15"/>
      <c r="Q18" s="16"/>
      <c r="R18" s="15"/>
      <c r="S18" s="16"/>
      <c r="T18" s="16"/>
      <c r="U18" s="16"/>
      <c r="Y18"/>
    </row>
    <row r="19" spans="1:25" hidden="1" x14ac:dyDescent="0.25">
      <c r="A19" s="708"/>
      <c r="B19" s="17" t="s">
        <v>829</v>
      </c>
      <c r="C19" s="18"/>
      <c r="D19" s="18"/>
      <c r="E19" s="18"/>
      <c r="F19" s="18"/>
      <c r="G19" s="18"/>
      <c r="H19" s="18">
        <f>SUM(H18)</f>
        <v>7883.74</v>
      </c>
      <c r="I19" s="18">
        <f>+I18</f>
        <v>0</v>
      </c>
      <c r="J19" s="18">
        <f>+J18</f>
        <v>0</v>
      </c>
      <c r="K19" s="19">
        <f>+K18</f>
        <v>0</v>
      </c>
      <c r="L19" s="18">
        <f t="shared" ref="L19:O19" si="5">+L18</f>
        <v>0</v>
      </c>
      <c r="M19" s="19">
        <f t="shared" si="5"/>
        <v>0</v>
      </c>
      <c r="N19" s="18">
        <f t="shared" ref="N19" si="6">+N18</f>
        <v>0</v>
      </c>
      <c r="O19" s="19">
        <f t="shared" si="5"/>
        <v>0</v>
      </c>
      <c r="P19" s="18">
        <f t="shared" ref="P19" si="7">+P18</f>
        <v>0</v>
      </c>
      <c r="Q19" s="19">
        <f>+Q18</f>
        <v>0</v>
      </c>
      <c r="R19" s="18"/>
      <c r="S19" s="19">
        <f>+S18</f>
        <v>0</v>
      </c>
      <c r="T19" s="19"/>
      <c r="U19" s="19"/>
      <c r="Y19"/>
    </row>
    <row r="20" spans="1:25" hidden="1" x14ac:dyDescent="0.25">
      <c r="A20" s="708"/>
      <c r="B20" s="12"/>
      <c r="C20" s="13"/>
      <c r="D20" s="13"/>
      <c r="E20" s="13"/>
      <c r="F20" s="13"/>
      <c r="G20" s="13"/>
      <c r="H20" s="13"/>
      <c r="I20" s="13"/>
      <c r="J20" s="13"/>
      <c r="K20" s="14"/>
      <c r="L20" s="13"/>
      <c r="M20" s="14"/>
      <c r="N20" s="13"/>
      <c r="O20" s="14"/>
      <c r="P20" s="13"/>
      <c r="Q20" s="14"/>
      <c r="R20" s="13"/>
      <c r="S20" s="14"/>
      <c r="T20" s="14"/>
      <c r="U20" s="14"/>
      <c r="Y20"/>
    </row>
    <row r="21" spans="1:25" ht="13.8" thickBot="1" x14ac:dyDescent="0.3">
      <c r="A21" s="709"/>
      <c r="B21" s="20" t="s">
        <v>887</v>
      </c>
      <c r="C21" s="21">
        <f>+C16</f>
        <v>3869.81</v>
      </c>
      <c r="D21" s="21">
        <f>+D16</f>
        <v>12240.720000000001</v>
      </c>
      <c r="E21" s="21">
        <f>+E16</f>
        <v>16352.41</v>
      </c>
      <c r="F21" s="21">
        <f>+F16</f>
        <v>16526.579999999998</v>
      </c>
      <c r="G21" s="21">
        <f>+G16</f>
        <v>17994.600000000002</v>
      </c>
      <c r="H21" s="21">
        <f>+H16+H19</f>
        <v>26165.239999999998</v>
      </c>
      <c r="I21" s="21">
        <f>+I16+I19</f>
        <v>19156.59</v>
      </c>
      <c r="J21" s="21">
        <f>+J16+J19</f>
        <v>20200.080000000002</v>
      </c>
      <c r="K21" s="39">
        <f>+K19+K16</f>
        <v>20414</v>
      </c>
      <c r="L21" s="21">
        <f t="shared" ref="L21:O21" si="8">+L19+L16</f>
        <v>20141.48</v>
      </c>
      <c r="M21" s="39">
        <f t="shared" si="8"/>
        <v>21527</v>
      </c>
      <c r="N21" s="21">
        <f t="shared" ref="N21" si="9">+N19+N16</f>
        <v>20390.28</v>
      </c>
      <c r="O21" s="39">
        <f t="shared" si="8"/>
        <v>21765</v>
      </c>
      <c r="P21" s="21">
        <f t="shared" ref="P21" si="10">+P19+P16</f>
        <v>21579.09</v>
      </c>
      <c r="Q21" s="39">
        <f>+Q19+Q16</f>
        <v>23112</v>
      </c>
      <c r="R21" s="21">
        <f>+R16</f>
        <v>11230.36</v>
      </c>
      <c r="S21" s="39">
        <f>+S19+S16</f>
        <v>23658</v>
      </c>
      <c r="T21" s="39">
        <f>+S21</f>
        <v>23658</v>
      </c>
      <c r="U21" s="39">
        <f>+S21</f>
        <v>23658</v>
      </c>
      <c r="Y21"/>
    </row>
    <row r="22" spans="1:25" ht="13.8" thickTop="1" x14ac:dyDescent="0.25">
      <c r="A22" s="703"/>
      <c r="B22" s="74"/>
      <c r="C22" s="24"/>
      <c r="D22" s="24"/>
      <c r="E22" s="24"/>
      <c r="F22" s="24"/>
      <c r="G22" s="24"/>
      <c r="H22" s="24"/>
      <c r="I22" s="24"/>
      <c r="J22" s="24"/>
      <c r="K22" s="24"/>
      <c r="L22" s="24"/>
      <c r="M22" s="24"/>
      <c r="N22" s="24"/>
      <c r="O22" s="24"/>
      <c r="P22" s="24"/>
      <c r="Q22" s="24"/>
      <c r="R22" s="181" t="s">
        <v>732</v>
      </c>
      <c r="S22" s="1001">
        <f>+S21-Q21</f>
        <v>546</v>
      </c>
      <c r="T22" s="1002">
        <f>ROUND((+S22/Q21),4)</f>
        <v>2.3599999999999999E-2</v>
      </c>
      <c r="U22" s="25"/>
      <c r="W22" s="25"/>
      <c r="X22" s="25"/>
      <c r="Y22"/>
    </row>
    <row r="23" spans="1:25" x14ac:dyDescent="0.25">
      <c r="A23" s="54">
        <v>44937</v>
      </c>
      <c r="B23" s="4" t="s">
        <v>1975</v>
      </c>
      <c r="C23" s="24"/>
      <c r="D23" s="24"/>
      <c r="E23" s="24"/>
      <c r="F23" s="24"/>
      <c r="G23" s="24"/>
      <c r="H23" s="24"/>
      <c r="I23" s="24"/>
      <c r="J23" s="24"/>
      <c r="K23" s="24"/>
      <c r="L23" s="24"/>
      <c r="M23" s="24"/>
      <c r="N23" s="24"/>
      <c r="O23" s="24"/>
      <c r="P23" s="24"/>
      <c r="Q23" s="24"/>
      <c r="R23" s="25"/>
      <c r="S23" s="24"/>
      <c r="T23" s="24"/>
      <c r="U23" s="25"/>
      <c r="W23" s="25"/>
      <c r="X23" s="25"/>
      <c r="Y23"/>
    </row>
    <row r="24" spans="1:25" x14ac:dyDescent="0.25">
      <c r="A24" s="63">
        <v>44943</v>
      </c>
      <c r="B24" s="4" t="s">
        <v>1976</v>
      </c>
      <c r="C24" s="23"/>
      <c r="D24" s="23"/>
      <c r="E24" s="23"/>
      <c r="F24" s="23"/>
      <c r="G24" s="23"/>
      <c r="H24" s="23"/>
      <c r="I24" s="23"/>
      <c r="J24" s="23"/>
      <c r="K24" s="23"/>
      <c r="L24" s="23"/>
      <c r="M24" s="23"/>
      <c r="N24" s="23"/>
      <c r="O24" s="23"/>
      <c r="P24" s="23"/>
      <c r="Q24" s="23"/>
      <c r="R24" s="25"/>
      <c r="S24" s="23"/>
      <c r="T24" s="23"/>
      <c r="U24" s="25"/>
      <c r="V24" s="25"/>
      <c r="W24" s="25"/>
      <c r="X24" s="25"/>
      <c r="Y24"/>
    </row>
    <row r="25" spans="1:25" ht="13.8" thickBot="1" x14ac:dyDescent="0.3">
      <c r="A25" s="703"/>
      <c r="B25" s="4"/>
      <c r="C25" s="23"/>
      <c r="D25" s="23"/>
      <c r="E25" s="23"/>
      <c r="F25" s="23"/>
      <c r="G25" s="23"/>
      <c r="H25" s="23"/>
      <c r="I25" s="23"/>
      <c r="J25" s="23"/>
      <c r="K25" s="23"/>
      <c r="L25" s="23"/>
      <c r="M25" s="23"/>
      <c r="N25" s="23"/>
      <c r="O25" s="23"/>
      <c r="P25" s="23"/>
      <c r="Q25" s="23"/>
      <c r="R25" s="25"/>
      <c r="S25" s="23"/>
      <c r="T25" s="23"/>
      <c r="U25" s="23"/>
      <c r="V25" s="25"/>
      <c r="W25" s="25"/>
      <c r="X25" s="25"/>
      <c r="Y25"/>
    </row>
    <row r="26" spans="1:25" ht="13.8" thickTop="1" x14ac:dyDescent="0.25">
      <c r="A26" s="718"/>
      <c r="B26" s="349"/>
      <c r="C26" s="350" t="s">
        <v>256</v>
      </c>
      <c r="D26" s="351" t="s">
        <v>256</v>
      </c>
      <c r="E26" s="351" t="s">
        <v>256</v>
      </c>
      <c r="F26" s="194"/>
      <c r="G26" s="194"/>
      <c r="H26" s="194"/>
      <c r="I26" s="194"/>
      <c r="J26" s="194"/>
      <c r="K26" s="194"/>
      <c r="L26" s="194"/>
      <c r="O26" s="352" t="s">
        <v>255</v>
      </c>
      <c r="P26" s="353" t="s">
        <v>716</v>
      </c>
      <c r="Q26" s="354" t="s">
        <v>730</v>
      </c>
      <c r="R26" s="353" t="s">
        <v>731</v>
      </c>
      <c r="S26" s="355"/>
      <c r="T26" s="550"/>
      <c r="U26" s="354"/>
      <c r="V26" s="25"/>
      <c r="W26" s="25"/>
      <c r="X26" s="25"/>
      <c r="Y26"/>
    </row>
    <row r="27" spans="1:25" ht="13.8" thickBot="1" x14ac:dyDescent="0.3">
      <c r="A27" s="719" t="s">
        <v>715</v>
      </c>
      <c r="B27" s="356"/>
      <c r="C27" s="357" t="s">
        <v>243</v>
      </c>
      <c r="D27" s="357" t="s">
        <v>244</v>
      </c>
      <c r="E27" s="358" t="s">
        <v>245</v>
      </c>
      <c r="F27" s="194"/>
      <c r="G27" s="194"/>
      <c r="H27" s="194"/>
      <c r="I27" s="194"/>
      <c r="J27" s="194"/>
      <c r="K27" s="194"/>
      <c r="L27" s="194"/>
      <c r="O27" s="359" t="s">
        <v>469</v>
      </c>
      <c r="P27" s="359" t="s">
        <v>1345</v>
      </c>
      <c r="Q27" s="358" t="s">
        <v>732</v>
      </c>
      <c r="R27" s="360" t="s">
        <v>732</v>
      </c>
      <c r="S27" s="361" t="s">
        <v>733</v>
      </c>
      <c r="T27" s="551"/>
      <c r="U27" s="359"/>
      <c r="V27" s="25"/>
      <c r="W27" s="25"/>
      <c r="X27" s="25"/>
      <c r="Y27"/>
    </row>
    <row r="28" spans="1:25" ht="13.8" thickTop="1" x14ac:dyDescent="0.25">
      <c r="A28" s="726"/>
      <c r="B28" s="376"/>
      <c r="C28" s="365"/>
      <c r="D28" s="365"/>
      <c r="E28" s="365"/>
      <c r="F28" s="194"/>
      <c r="G28" s="194"/>
      <c r="H28" s="194"/>
      <c r="I28" s="194"/>
      <c r="J28" s="194"/>
      <c r="K28" s="194"/>
      <c r="L28" s="194"/>
      <c r="O28" s="366"/>
      <c r="P28" s="385"/>
      <c r="Q28" s="386"/>
      <c r="R28" s="384"/>
      <c r="S28" s="367"/>
      <c r="T28" s="553"/>
      <c r="U28" s="368"/>
      <c r="V28" s="25"/>
      <c r="W28" s="25"/>
      <c r="X28" s="25"/>
      <c r="Y28"/>
    </row>
    <row r="29" spans="1:25" x14ac:dyDescent="0.25">
      <c r="A29" s="724">
        <v>5247</v>
      </c>
      <c r="B29" s="369" t="s">
        <v>1115</v>
      </c>
      <c r="C29" s="373">
        <v>3000</v>
      </c>
      <c r="D29" s="373">
        <v>0</v>
      </c>
      <c r="E29" s="373">
        <v>300</v>
      </c>
      <c r="F29" s="194"/>
      <c r="G29" s="194"/>
      <c r="H29" s="194"/>
      <c r="I29" s="194"/>
      <c r="J29" s="194"/>
      <c r="K29" s="194"/>
      <c r="L29" s="194"/>
      <c r="O29" s="372">
        <f t="shared" ref="O29:O35" si="11">+Q9</f>
        <v>0</v>
      </c>
      <c r="P29" s="414">
        <f t="shared" ref="P29:P35" si="12">+S9</f>
        <v>0</v>
      </c>
      <c r="Q29" s="368">
        <f t="shared" ref="Q29:Q36" si="13">+P29-O29</f>
        <v>0</v>
      </c>
      <c r="R29" s="374" t="str">
        <f t="shared" ref="R29:R36" si="14">IF(O29+P29&lt;&gt;0,IF(O29&lt;&gt;0,IF(Q29&lt;&gt;0,ROUND((+Q29/O29),4),""),1),"")</f>
        <v/>
      </c>
      <c r="S29" s="367"/>
      <c r="T29" s="553"/>
      <c r="U29" s="368"/>
      <c r="V29" s="25"/>
      <c r="W29" s="25"/>
      <c r="X29" s="25"/>
      <c r="Y29"/>
    </row>
    <row r="30" spans="1:25" x14ac:dyDescent="0.25">
      <c r="A30" s="724">
        <v>5300</v>
      </c>
      <c r="B30" s="369" t="s">
        <v>1116</v>
      </c>
      <c r="C30" s="373"/>
      <c r="D30" s="373">
        <v>1050</v>
      </c>
      <c r="E30" s="373">
        <v>800</v>
      </c>
      <c r="F30" s="194"/>
      <c r="G30" s="194"/>
      <c r="H30" s="194"/>
      <c r="I30" s="194"/>
      <c r="J30" s="194"/>
      <c r="K30" s="194"/>
      <c r="L30" s="194"/>
      <c r="O30" s="372">
        <f t="shared" si="11"/>
        <v>800</v>
      </c>
      <c r="P30" s="414">
        <f t="shared" si="12"/>
        <v>800</v>
      </c>
      <c r="Q30" s="368">
        <f t="shared" si="13"/>
        <v>0</v>
      </c>
      <c r="R30" s="374" t="str">
        <f t="shared" si="14"/>
        <v/>
      </c>
      <c r="S30" s="367"/>
      <c r="T30" s="553"/>
      <c r="U30" s="368"/>
      <c r="V30" s="25"/>
      <c r="W30" s="25"/>
      <c r="X30" s="25"/>
      <c r="Y30"/>
    </row>
    <row r="31" spans="1:25" x14ac:dyDescent="0.25">
      <c r="A31" s="724">
        <v>5310</v>
      </c>
      <c r="B31" s="369" t="s">
        <v>1117</v>
      </c>
      <c r="C31" s="373">
        <v>575</v>
      </c>
      <c r="D31" s="373">
        <v>322.38</v>
      </c>
      <c r="E31" s="373">
        <v>169.5</v>
      </c>
      <c r="F31" s="194"/>
      <c r="G31" s="194"/>
      <c r="H31" s="194"/>
      <c r="I31" s="194"/>
      <c r="J31" s="194"/>
      <c r="K31" s="194"/>
      <c r="L31" s="194"/>
      <c r="O31" s="372">
        <f t="shared" si="11"/>
        <v>500</v>
      </c>
      <c r="P31" s="414">
        <f t="shared" si="12"/>
        <v>500</v>
      </c>
      <c r="Q31" s="368">
        <f t="shared" si="13"/>
        <v>0</v>
      </c>
      <c r="R31" s="374" t="str">
        <f t="shared" si="14"/>
        <v/>
      </c>
      <c r="S31" s="367"/>
      <c r="T31" s="553"/>
      <c r="U31" s="368"/>
      <c r="V31" s="25"/>
      <c r="W31" s="25"/>
      <c r="X31" s="25"/>
      <c r="Y31"/>
    </row>
    <row r="32" spans="1:25" x14ac:dyDescent="0.25">
      <c r="A32" s="724">
        <v>5344</v>
      </c>
      <c r="B32" s="369" t="s">
        <v>722</v>
      </c>
      <c r="C32" s="373">
        <v>59.4</v>
      </c>
      <c r="D32" s="373">
        <v>61.64</v>
      </c>
      <c r="E32" s="373">
        <v>19.149999999999999</v>
      </c>
      <c r="F32" s="194"/>
      <c r="G32" s="194"/>
      <c r="H32" s="194"/>
      <c r="I32" s="194"/>
      <c r="J32" s="194"/>
      <c r="K32" s="194"/>
      <c r="L32" s="194"/>
      <c r="O32" s="372">
        <f t="shared" si="11"/>
        <v>0</v>
      </c>
      <c r="P32" s="414">
        <f t="shared" si="12"/>
        <v>0</v>
      </c>
      <c r="Q32" s="368">
        <f t="shared" si="13"/>
        <v>0</v>
      </c>
      <c r="R32" s="374" t="str">
        <f t="shared" si="14"/>
        <v/>
      </c>
      <c r="S32" s="1248" t="s">
        <v>2368</v>
      </c>
      <c r="T32" s="1249"/>
      <c r="U32" s="1085"/>
      <c r="V32" s="25"/>
      <c r="W32" s="25"/>
      <c r="X32" s="25"/>
      <c r="Y32"/>
    </row>
    <row r="33" spans="1:25" x14ac:dyDescent="0.25">
      <c r="A33" s="724">
        <v>5351</v>
      </c>
      <c r="B33" s="369" t="s">
        <v>1118</v>
      </c>
      <c r="C33" s="365">
        <v>100</v>
      </c>
      <c r="D33" s="365">
        <v>100</v>
      </c>
      <c r="E33" s="365">
        <v>100</v>
      </c>
      <c r="F33" s="194"/>
      <c r="G33" s="194"/>
      <c r="H33" s="194"/>
      <c r="I33" s="194"/>
      <c r="J33" s="194"/>
      <c r="K33" s="194"/>
      <c r="L33" s="194"/>
      <c r="O33" s="372">
        <f t="shared" si="11"/>
        <v>0</v>
      </c>
      <c r="P33" s="414">
        <f t="shared" si="12"/>
        <v>0</v>
      </c>
      <c r="Q33" s="368">
        <f t="shared" si="13"/>
        <v>0</v>
      </c>
      <c r="R33" s="374" t="str">
        <f t="shared" si="14"/>
        <v/>
      </c>
      <c r="S33" s="367"/>
      <c r="T33" s="553"/>
      <c r="U33" s="368"/>
      <c r="V33" s="25"/>
      <c r="W33" s="25"/>
      <c r="X33" s="25"/>
      <c r="Y33"/>
    </row>
    <row r="34" spans="1:25" x14ac:dyDescent="0.25">
      <c r="A34" s="724">
        <v>5380</v>
      </c>
      <c r="B34" s="369" t="s">
        <v>1119</v>
      </c>
      <c r="C34" s="365"/>
      <c r="D34" s="365">
        <v>10553.43</v>
      </c>
      <c r="E34" s="365">
        <v>14804.76</v>
      </c>
      <c r="F34" s="194"/>
      <c r="G34" s="194"/>
      <c r="H34" s="194"/>
      <c r="I34" s="194"/>
      <c r="J34" s="194"/>
      <c r="K34" s="194"/>
      <c r="L34" s="194"/>
      <c r="O34" s="372">
        <f t="shared" si="11"/>
        <v>21812</v>
      </c>
      <c r="P34" s="414">
        <f t="shared" si="12"/>
        <v>22358</v>
      </c>
      <c r="Q34" s="368">
        <f t="shared" si="13"/>
        <v>546</v>
      </c>
      <c r="R34" s="374">
        <f t="shared" si="14"/>
        <v>2.5000000000000001E-2</v>
      </c>
      <c r="S34" s="367" t="s">
        <v>2355</v>
      </c>
      <c r="T34" s="553"/>
      <c r="U34" s="368"/>
      <c r="V34" s="25"/>
      <c r="W34" s="25"/>
      <c r="X34" s="25"/>
      <c r="Y34"/>
    </row>
    <row r="35" spans="1:25" ht="13.8" thickBot="1" x14ac:dyDescent="0.3">
      <c r="A35" s="724">
        <v>5420</v>
      </c>
      <c r="B35" s="369" t="s">
        <v>1120</v>
      </c>
      <c r="C35" s="371">
        <v>135.41</v>
      </c>
      <c r="D35" s="371">
        <v>153.27000000000001</v>
      </c>
      <c r="E35" s="371">
        <v>159</v>
      </c>
      <c r="F35" s="194"/>
      <c r="G35" s="194"/>
      <c r="H35" s="194"/>
      <c r="I35" s="194"/>
      <c r="J35" s="194"/>
      <c r="K35" s="194"/>
      <c r="L35" s="194"/>
      <c r="O35" s="372">
        <f t="shared" si="11"/>
        <v>0</v>
      </c>
      <c r="P35" s="414">
        <f t="shared" si="12"/>
        <v>0</v>
      </c>
      <c r="Q35" s="368">
        <f t="shared" si="13"/>
        <v>0</v>
      </c>
      <c r="R35" s="374" t="str">
        <f t="shared" si="14"/>
        <v/>
      </c>
      <c r="S35" s="367"/>
      <c r="T35" s="553"/>
      <c r="U35" s="368"/>
      <c r="V35" s="25"/>
      <c r="W35" s="25"/>
      <c r="X35" s="25"/>
      <c r="Y35"/>
    </row>
    <row r="36" spans="1:25" ht="13.8" thickBot="1" x14ac:dyDescent="0.3">
      <c r="A36" s="724">
        <v>5800</v>
      </c>
      <c r="B36" s="369" t="s">
        <v>1121</v>
      </c>
      <c r="C36" s="365"/>
      <c r="D36" s="365"/>
      <c r="E36" s="371"/>
      <c r="F36" s="194"/>
      <c r="G36" s="194"/>
      <c r="H36" s="194"/>
      <c r="I36" s="194"/>
      <c r="J36" s="194"/>
      <c r="K36" s="194"/>
      <c r="L36" s="194"/>
      <c r="O36" s="372"/>
      <c r="P36" s="414">
        <f>+S18</f>
        <v>0</v>
      </c>
      <c r="Q36" s="368">
        <f t="shared" si="13"/>
        <v>0</v>
      </c>
      <c r="R36" s="374" t="str">
        <f t="shared" si="14"/>
        <v/>
      </c>
      <c r="S36" s="367"/>
      <c r="T36" s="553"/>
      <c r="U36" s="368"/>
      <c r="V36" s="25"/>
      <c r="W36" s="25"/>
      <c r="X36" s="25"/>
      <c r="Y36"/>
    </row>
    <row r="37" spans="1:25" x14ac:dyDescent="0.25">
      <c r="A37" s="703"/>
      <c r="B37" s="4"/>
      <c r="C37" s="23"/>
      <c r="D37" s="23"/>
      <c r="E37" s="23"/>
      <c r="F37" s="23"/>
      <c r="G37" s="23"/>
      <c r="H37" s="194"/>
      <c r="I37" s="194"/>
      <c r="J37" s="194"/>
      <c r="K37" s="194"/>
      <c r="L37" s="194"/>
      <c r="O37" s="23"/>
      <c r="P37" s="23"/>
      <c r="Q37" s="23"/>
      <c r="R37" s="25"/>
      <c r="S37" s="23"/>
      <c r="T37" s="23"/>
      <c r="U37" s="23"/>
      <c r="V37" s="25"/>
      <c r="W37" s="25"/>
      <c r="X37" s="25"/>
      <c r="Y37"/>
    </row>
    <row r="38" spans="1:25" x14ac:dyDescent="0.25">
      <c r="A38" s="703"/>
      <c r="B38" s="4" t="s">
        <v>735</v>
      </c>
      <c r="C38" s="23"/>
      <c r="D38" s="23"/>
      <c r="E38" s="23"/>
      <c r="F38" s="23"/>
      <c r="G38" s="23"/>
      <c r="H38" s="194"/>
      <c r="I38" s="194"/>
      <c r="J38" s="194"/>
      <c r="K38" s="194"/>
      <c r="L38" s="194"/>
      <c r="O38" s="597">
        <f>SUM(O27:O37)</f>
        <v>23112</v>
      </c>
      <c r="P38" s="597">
        <f>SUM(P27:P37)</f>
        <v>23658</v>
      </c>
      <c r="Q38" s="25">
        <f>+P38-O38</f>
        <v>546</v>
      </c>
      <c r="R38" s="598">
        <f>IF(O38+P38&lt;&gt;0,IF(O38&lt;&gt;0,IF(Q38&lt;&gt;0,ROUND((+Q38/O38),4),""),1),"")</f>
        <v>2.3599999999999999E-2</v>
      </c>
      <c r="S38" s="23"/>
      <c r="T38" s="23"/>
      <c r="U38" s="23"/>
      <c r="V38" s="25"/>
      <c r="W38" s="25"/>
      <c r="X38" s="25"/>
      <c r="Y38"/>
    </row>
    <row r="39" spans="1:25" x14ac:dyDescent="0.25">
      <c r="A39" s="703"/>
      <c r="B39" s="4"/>
      <c r="C39" s="23"/>
      <c r="D39" s="23"/>
      <c r="E39" s="23"/>
      <c r="F39" s="23"/>
      <c r="G39" s="23"/>
      <c r="H39" s="23"/>
      <c r="I39" s="23"/>
      <c r="J39" s="23"/>
      <c r="K39" s="23"/>
      <c r="L39" s="23"/>
      <c r="M39" s="23"/>
      <c r="N39" s="23"/>
      <c r="O39" s="23"/>
      <c r="P39" s="23"/>
      <c r="Q39" s="23"/>
      <c r="R39" s="25"/>
      <c r="S39" s="23"/>
      <c r="T39" s="23"/>
      <c r="U39" s="23"/>
      <c r="V39" s="25"/>
      <c r="W39" s="25"/>
      <c r="X39" s="25"/>
      <c r="Y39"/>
    </row>
    <row r="40" spans="1:25" x14ac:dyDescent="0.25">
      <c r="A40" s="703"/>
      <c r="B40" s="4"/>
      <c r="C40" s="23"/>
      <c r="D40" s="23"/>
      <c r="E40" s="23"/>
      <c r="F40" s="23"/>
      <c r="G40" s="23"/>
      <c r="H40" s="23"/>
      <c r="I40" s="23"/>
      <c r="J40" s="23"/>
      <c r="K40" s="23"/>
      <c r="L40" s="23"/>
      <c r="M40" s="23"/>
      <c r="N40" s="23"/>
      <c r="O40" s="23"/>
      <c r="P40" s="23"/>
      <c r="Q40" s="23"/>
      <c r="R40" s="25"/>
      <c r="S40" s="23"/>
      <c r="T40" s="23"/>
      <c r="U40" s="23"/>
      <c r="V40" s="25"/>
      <c r="W40" s="25"/>
      <c r="X40" s="25"/>
      <c r="Y40"/>
    </row>
    <row r="41" spans="1:25" x14ac:dyDescent="0.25">
      <c r="A41" s="703"/>
      <c r="B41" s="4"/>
      <c r="C41" s="23"/>
      <c r="D41" s="23"/>
      <c r="E41" s="23"/>
      <c r="F41" s="23"/>
      <c r="G41" s="23"/>
      <c r="H41" s="23"/>
      <c r="I41" s="23"/>
      <c r="J41" s="23"/>
      <c r="K41" s="23"/>
      <c r="L41" s="23"/>
      <c r="M41" s="23"/>
      <c r="N41" s="23"/>
      <c r="O41" s="23"/>
      <c r="P41" s="23"/>
      <c r="Q41" s="23"/>
      <c r="R41" s="25"/>
      <c r="S41" s="23"/>
      <c r="T41" s="23"/>
      <c r="U41" s="23"/>
      <c r="V41" s="25"/>
      <c r="W41" s="25"/>
      <c r="X41" s="25"/>
      <c r="Y41"/>
    </row>
    <row r="42" spans="1:25"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c r="Y42"/>
    </row>
    <row r="43" spans="1:25"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c r="Y43"/>
    </row>
    <row r="44" spans="1:25" x14ac:dyDescent="0.25">
      <c r="A44" s="703"/>
      <c r="B44" s="4"/>
      <c r="C44" s="23"/>
      <c r="D44" s="23"/>
      <c r="E44" s="23"/>
      <c r="F44" s="23"/>
      <c r="G44" s="23"/>
      <c r="H44" s="23"/>
      <c r="I44" s="23"/>
      <c r="J44" s="23"/>
      <c r="K44" s="23"/>
      <c r="L44" s="23"/>
      <c r="M44" s="23"/>
      <c r="N44" s="23"/>
      <c r="O44" s="23"/>
      <c r="P44" s="23"/>
      <c r="Q44" s="23"/>
      <c r="R44" s="25"/>
      <c r="S44" s="23"/>
      <c r="T44" s="23"/>
      <c r="U44" s="23"/>
      <c r="V44" s="25"/>
      <c r="W44" s="25"/>
      <c r="X44" s="25"/>
      <c r="Y44"/>
    </row>
    <row r="45" spans="1:25" x14ac:dyDescent="0.25">
      <c r="A45" s="703"/>
      <c r="B45" s="4"/>
      <c r="C45" s="23"/>
      <c r="D45" s="23"/>
      <c r="E45" s="23"/>
      <c r="F45" s="23"/>
      <c r="G45" s="23"/>
      <c r="H45" s="23"/>
      <c r="I45" s="23"/>
      <c r="J45" s="23"/>
      <c r="K45" s="23"/>
      <c r="L45" s="23"/>
      <c r="M45" s="23"/>
      <c r="N45" s="23"/>
      <c r="O45" s="23"/>
      <c r="P45" s="23"/>
      <c r="Q45" s="23"/>
      <c r="R45" s="4"/>
      <c r="S45" s="23"/>
      <c r="T45" s="23"/>
      <c r="U45" s="23"/>
      <c r="V45" s="4"/>
      <c r="W45" s="4"/>
      <c r="X45" s="4"/>
      <c r="Y45"/>
    </row>
    <row r="46" spans="1:25" x14ac:dyDescent="0.25">
      <c r="A46" s="703"/>
      <c r="B46" s="4"/>
      <c r="C46" s="23"/>
      <c r="D46" s="23"/>
      <c r="E46" s="23"/>
      <c r="F46" s="23"/>
      <c r="G46" s="23"/>
      <c r="H46" s="23"/>
      <c r="I46" s="23"/>
      <c r="J46" s="23"/>
      <c r="K46" s="23"/>
      <c r="L46" s="23"/>
      <c r="M46" s="23"/>
      <c r="N46" s="23"/>
      <c r="O46" s="23"/>
      <c r="P46" s="23"/>
      <c r="Q46" s="23"/>
      <c r="R46" s="4"/>
      <c r="S46" s="23"/>
      <c r="T46" s="23"/>
      <c r="U46" s="23"/>
      <c r="V46" s="4"/>
      <c r="W46" s="4"/>
      <c r="X46" s="4"/>
      <c r="Y46"/>
    </row>
    <row r="47" spans="1:25" x14ac:dyDescent="0.25">
      <c r="A47" s="703"/>
      <c r="B47" s="4"/>
      <c r="C47" s="23"/>
      <c r="D47" s="23"/>
      <c r="E47" s="23"/>
      <c r="F47" s="23"/>
      <c r="G47" s="23"/>
      <c r="H47" s="23"/>
      <c r="I47" s="23"/>
      <c r="J47" s="23"/>
      <c r="K47" s="23"/>
      <c r="L47" s="23"/>
      <c r="M47" s="23"/>
      <c r="N47" s="23"/>
      <c r="O47" s="23"/>
      <c r="P47" s="23"/>
      <c r="Q47" s="23"/>
      <c r="R47" s="4"/>
      <c r="S47" s="23"/>
      <c r="T47" s="23"/>
      <c r="U47" s="23"/>
      <c r="V47" s="4"/>
      <c r="W47" s="4"/>
      <c r="X47" s="4"/>
      <c r="Y47"/>
    </row>
    <row r="48" spans="1:25" x14ac:dyDescent="0.25">
      <c r="A48" s="703"/>
      <c r="B48" s="4"/>
      <c r="C48" s="23"/>
      <c r="D48" s="23"/>
      <c r="E48" s="23"/>
      <c r="F48" s="23"/>
      <c r="G48" s="23"/>
      <c r="H48" s="23"/>
      <c r="I48" s="23"/>
      <c r="J48" s="23"/>
      <c r="K48" s="23"/>
      <c r="L48" s="23"/>
      <c r="M48" s="23"/>
      <c r="N48" s="23"/>
      <c r="O48" s="23"/>
      <c r="P48" s="23"/>
      <c r="Q48" s="23"/>
      <c r="R48" s="4"/>
      <c r="S48" s="23"/>
      <c r="T48" s="23"/>
      <c r="U48" s="23"/>
      <c r="V48" s="4"/>
      <c r="W48" s="4"/>
      <c r="X48" s="4"/>
      <c r="Y48"/>
    </row>
    <row r="49" spans="1:25" x14ac:dyDescent="0.25">
      <c r="A49" s="703"/>
      <c r="B49" s="4"/>
      <c r="C49" s="23"/>
      <c r="D49" s="23"/>
      <c r="E49" s="23"/>
      <c r="F49" s="23"/>
      <c r="G49" s="23"/>
      <c r="H49" s="23"/>
      <c r="I49" s="23"/>
      <c r="J49" s="23"/>
      <c r="K49" s="23"/>
      <c r="L49" s="23"/>
      <c r="M49" s="23"/>
      <c r="N49" s="23"/>
      <c r="O49" s="23"/>
      <c r="P49" s="23"/>
      <c r="Q49" s="23"/>
      <c r="R49" s="4"/>
      <c r="S49" s="23"/>
      <c r="T49" s="23"/>
      <c r="U49" s="23"/>
      <c r="V49" s="4"/>
      <c r="W49" s="4"/>
      <c r="X49" s="4"/>
      <c r="Y49"/>
    </row>
    <row r="50" spans="1:25" x14ac:dyDescent="0.25">
      <c r="A50" s="703"/>
      <c r="B50" s="4"/>
      <c r="C50" s="23"/>
      <c r="D50" s="23"/>
      <c r="E50" s="23"/>
      <c r="F50" s="23"/>
      <c r="G50" s="23"/>
      <c r="H50" s="23"/>
      <c r="I50" s="23"/>
      <c r="J50" s="23"/>
      <c r="K50" s="23"/>
      <c r="L50" s="23"/>
      <c r="M50" s="23"/>
      <c r="N50" s="23"/>
      <c r="O50" s="23"/>
      <c r="P50" s="23"/>
      <c r="Q50" s="23"/>
      <c r="R50" s="4"/>
      <c r="S50" s="23"/>
      <c r="T50" s="23"/>
      <c r="U50" s="23"/>
      <c r="V50" s="4"/>
      <c r="W50" s="4"/>
      <c r="X50" s="4"/>
      <c r="Y50"/>
    </row>
    <row r="51" spans="1:25" x14ac:dyDescent="0.25">
      <c r="A51" s="703"/>
      <c r="B51" s="4"/>
      <c r="C51" s="23"/>
      <c r="D51" s="23"/>
      <c r="E51" s="23"/>
      <c r="F51" s="23"/>
      <c r="G51" s="23"/>
      <c r="H51" s="23"/>
      <c r="I51" s="23"/>
      <c r="J51" s="23"/>
      <c r="K51" s="23"/>
      <c r="L51" s="23"/>
      <c r="M51" s="23"/>
      <c r="N51" s="23"/>
      <c r="O51" s="23"/>
      <c r="P51" s="23"/>
      <c r="Q51" s="23"/>
      <c r="R51" s="4"/>
      <c r="S51" s="23"/>
      <c r="T51" s="23"/>
      <c r="U51" s="23"/>
      <c r="V51" s="4"/>
      <c r="W51" s="4"/>
      <c r="X51" s="4"/>
      <c r="Y51"/>
    </row>
    <row r="52" spans="1:25" x14ac:dyDescent="0.25">
      <c r="A52" s="703"/>
      <c r="B52" s="4"/>
      <c r="C52" s="23"/>
      <c r="D52" s="23"/>
      <c r="E52" s="23"/>
      <c r="F52" s="23"/>
      <c r="G52" s="23"/>
      <c r="H52" s="23"/>
      <c r="I52" s="23"/>
      <c r="J52" s="23"/>
      <c r="K52" s="23"/>
      <c r="L52" s="23"/>
      <c r="M52" s="23"/>
      <c r="N52" s="23"/>
      <c r="O52" s="23"/>
      <c r="P52" s="23"/>
      <c r="Q52" s="23"/>
      <c r="R52" s="4"/>
      <c r="S52" s="23"/>
      <c r="T52" s="23"/>
      <c r="U52" s="23"/>
      <c r="V52" s="4"/>
      <c r="W52" s="4"/>
      <c r="X52" s="4"/>
      <c r="Y52"/>
    </row>
    <row r="53" spans="1:25" x14ac:dyDescent="0.25">
      <c r="A53" s="703"/>
      <c r="B53" s="4"/>
      <c r="C53" s="23"/>
      <c r="D53" s="23"/>
      <c r="E53" s="23"/>
      <c r="F53" s="23"/>
      <c r="G53" s="23"/>
      <c r="H53" s="23"/>
      <c r="I53" s="23"/>
      <c r="J53" s="23"/>
      <c r="K53" s="23"/>
      <c r="L53" s="23"/>
      <c r="M53" s="23"/>
      <c r="N53" s="23"/>
      <c r="O53" s="23"/>
      <c r="P53" s="23"/>
      <c r="Q53" s="23"/>
      <c r="R53" s="4"/>
      <c r="S53" s="23"/>
      <c r="T53" s="23"/>
      <c r="U53" s="23"/>
      <c r="V53" s="4"/>
      <c r="W53" s="4"/>
      <c r="X53" s="4"/>
      <c r="Y53"/>
    </row>
    <row r="54" spans="1:25" x14ac:dyDescent="0.25">
      <c r="A54" s="703"/>
      <c r="B54" s="4"/>
      <c r="C54" s="23"/>
      <c r="D54" s="23"/>
      <c r="E54" s="23"/>
      <c r="F54" s="23"/>
      <c r="G54" s="23"/>
      <c r="H54" s="23"/>
      <c r="I54" s="23"/>
      <c r="J54" s="23"/>
      <c r="K54" s="23"/>
      <c r="L54" s="23"/>
      <c r="M54" s="23"/>
      <c r="N54" s="23"/>
      <c r="O54" s="23"/>
      <c r="P54" s="23"/>
      <c r="Q54" s="23"/>
      <c r="R54" s="4"/>
      <c r="S54" s="23"/>
      <c r="T54" s="23"/>
      <c r="U54" s="23"/>
      <c r="V54" s="4"/>
      <c r="W54" s="4"/>
      <c r="X54" s="4"/>
      <c r="Y54"/>
    </row>
    <row r="55" spans="1:25" x14ac:dyDescent="0.25">
      <c r="A55" s="703"/>
      <c r="B55" s="4"/>
      <c r="C55" s="23"/>
      <c r="D55" s="23"/>
      <c r="E55" s="23"/>
      <c r="F55" s="23"/>
      <c r="G55" s="23"/>
      <c r="H55" s="23"/>
      <c r="I55" s="23"/>
      <c r="J55" s="23"/>
      <c r="K55" s="23"/>
      <c r="L55" s="23"/>
      <c r="M55" s="23"/>
      <c r="N55" s="23"/>
      <c r="O55" s="23"/>
      <c r="P55" s="23"/>
      <c r="Q55" s="23"/>
      <c r="R55" s="4"/>
      <c r="S55" s="23"/>
      <c r="T55" s="23"/>
      <c r="U55" s="23"/>
      <c r="V55" s="4"/>
      <c r="W55" s="4"/>
      <c r="X55" s="4"/>
      <c r="Y55"/>
    </row>
    <row r="56" spans="1:25" x14ac:dyDescent="0.25">
      <c r="A56" s="703"/>
      <c r="B56" s="4"/>
      <c r="C56" s="23"/>
      <c r="D56" s="23"/>
      <c r="E56" s="23"/>
      <c r="F56" s="23"/>
      <c r="G56" s="23"/>
      <c r="H56" s="23"/>
      <c r="I56" s="23"/>
      <c r="J56" s="23"/>
      <c r="K56" s="23"/>
      <c r="L56" s="23"/>
      <c r="M56" s="23"/>
      <c r="N56" s="23"/>
      <c r="O56" s="23"/>
      <c r="P56" s="23"/>
      <c r="Q56" s="23"/>
      <c r="R56" s="4"/>
      <c r="S56" s="23"/>
      <c r="T56" s="23"/>
      <c r="U56" s="23"/>
      <c r="V56" s="4"/>
      <c r="W56" s="4"/>
      <c r="X56" s="4"/>
      <c r="Y56"/>
    </row>
    <row r="57" spans="1:25" x14ac:dyDescent="0.25">
      <c r="A57" s="703"/>
      <c r="B57" s="4"/>
      <c r="C57" s="23"/>
      <c r="D57" s="23"/>
      <c r="E57" s="23"/>
      <c r="F57" s="23"/>
      <c r="G57" s="23"/>
      <c r="H57" s="23"/>
      <c r="I57" s="23"/>
      <c r="J57" s="23"/>
      <c r="K57" s="23"/>
      <c r="L57" s="23"/>
      <c r="M57" s="23"/>
      <c r="N57" s="23"/>
      <c r="O57" s="23"/>
      <c r="P57" s="23"/>
      <c r="Q57" s="23"/>
      <c r="R57" s="4"/>
      <c r="S57" s="23"/>
      <c r="T57" s="23"/>
      <c r="U57" s="23"/>
      <c r="V57" s="4"/>
      <c r="W57" s="4"/>
      <c r="X57" s="4"/>
      <c r="Y57"/>
    </row>
    <row r="58" spans="1:25" x14ac:dyDescent="0.25">
      <c r="A58" s="703"/>
      <c r="B58" s="4"/>
      <c r="C58" s="23"/>
      <c r="D58" s="23"/>
      <c r="E58" s="23"/>
      <c r="F58" s="23"/>
      <c r="G58" s="23"/>
      <c r="H58" s="23"/>
      <c r="I58" s="23"/>
      <c r="J58" s="23"/>
      <c r="K58" s="23"/>
      <c r="L58" s="23"/>
      <c r="M58" s="23"/>
      <c r="N58" s="23"/>
      <c r="O58" s="23"/>
      <c r="P58" s="23"/>
      <c r="Q58" s="23"/>
      <c r="R58" s="4"/>
      <c r="S58" s="23"/>
      <c r="T58" s="23"/>
      <c r="U58" s="23"/>
      <c r="V58" s="4"/>
      <c r="W58" s="4"/>
      <c r="X58" s="4"/>
      <c r="Y58"/>
    </row>
    <row r="59" spans="1:25" x14ac:dyDescent="0.25">
      <c r="A59" s="703"/>
      <c r="B59" s="4"/>
      <c r="C59" s="23"/>
      <c r="D59" s="23"/>
      <c r="E59" s="23"/>
      <c r="F59" s="23"/>
      <c r="G59" s="23"/>
      <c r="H59" s="23"/>
      <c r="I59" s="23"/>
      <c r="J59" s="23"/>
      <c r="K59" s="23"/>
      <c r="L59" s="23"/>
      <c r="M59" s="23"/>
      <c r="N59" s="23"/>
      <c r="O59" s="23"/>
      <c r="P59" s="23"/>
      <c r="Q59" s="23"/>
      <c r="R59" s="4"/>
      <c r="S59" s="23"/>
      <c r="T59" s="23"/>
      <c r="U59" s="23"/>
      <c r="V59" s="4"/>
      <c r="W59" s="4"/>
      <c r="X59" s="4"/>
      <c r="Y59"/>
    </row>
    <row r="60" spans="1:25" x14ac:dyDescent="0.25">
      <c r="A60" s="703"/>
      <c r="B60" s="4"/>
      <c r="C60" s="23"/>
      <c r="D60" s="23"/>
      <c r="E60" s="23"/>
      <c r="F60" s="23"/>
      <c r="G60" s="23"/>
      <c r="H60" s="23"/>
      <c r="I60" s="23"/>
      <c r="J60" s="23"/>
      <c r="K60" s="23"/>
      <c r="L60" s="23"/>
      <c r="M60" s="23"/>
      <c r="N60" s="23"/>
      <c r="O60" s="23"/>
      <c r="P60" s="23"/>
      <c r="Q60" s="23"/>
      <c r="R60" s="4"/>
      <c r="S60" s="23"/>
      <c r="T60" s="23"/>
      <c r="U60" s="23"/>
      <c r="V60" s="4"/>
      <c r="W60" s="4"/>
      <c r="X60" s="4"/>
      <c r="Y60"/>
    </row>
    <row r="61" spans="1:25" x14ac:dyDescent="0.25">
      <c r="A61" s="703"/>
      <c r="B61" s="4"/>
      <c r="C61" s="23"/>
      <c r="D61" s="23"/>
      <c r="E61" s="23"/>
      <c r="F61" s="23"/>
      <c r="G61" s="23"/>
      <c r="H61" s="23"/>
      <c r="I61" s="23"/>
      <c r="J61" s="23"/>
      <c r="K61" s="23"/>
      <c r="L61" s="23"/>
      <c r="M61" s="23"/>
      <c r="N61" s="23"/>
      <c r="O61" s="23"/>
      <c r="P61" s="23"/>
      <c r="Q61" s="23"/>
      <c r="R61" s="4"/>
      <c r="S61" s="23"/>
      <c r="T61" s="23"/>
      <c r="U61" s="23"/>
      <c r="V61" s="4"/>
      <c r="W61" s="4"/>
      <c r="X61" s="4"/>
      <c r="Y61"/>
    </row>
    <row r="62" spans="1:25" x14ac:dyDescent="0.25">
      <c r="A62" s="703"/>
      <c r="B62" s="4"/>
      <c r="C62" s="23"/>
      <c r="D62" s="23"/>
      <c r="E62" s="23"/>
      <c r="F62" s="23"/>
      <c r="G62" s="23"/>
      <c r="H62" s="23"/>
      <c r="I62" s="23"/>
      <c r="J62" s="23"/>
      <c r="K62" s="23"/>
      <c r="L62" s="23"/>
      <c r="M62" s="23"/>
      <c r="N62" s="23"/>
      <c r="O62" s="23"/>
      <c r="P62" s="23"/>
      <c r="Q62" s="23"/>
      <c r="R62" s="4"/>
      <c r="S62" s="23"/>
      <c r="T62" s="23"/>
      <c r="U62" s="23"/>
      <c r="V62" s="4"/>
      <c r="W62" s="4"/>
      <c r="X62" s="4"/>
      <c r="Y62"/>
    </row>
    <row r="63" spans="1:25" x14ac:dyDescent="0.25">
      <c r="A63" s="703"/>
      <c r="B63" s="4"/>
      <c r="C63" s="23"/>
      <c r="D63" s="23"/>
      <c r="E63" s="23"/>
      <c r="F63" s="23"/>
      <c r="G63" s="23"/>
      <c r="H63" s="23"/>
      <c r="I63" s="23"/>
      <c r="J63" s="23"/>
      <c r="K63" s="23"/>
      <c r="L63" s="23"/>
      <c r="M63" s="23"/>
      <c r="N63" s="23"/>
      <c r="O63" s="23"/>
      <c r="P63" s="23"/>
      <c r="Q63" s="23"/>
      <c r="R63" s="4"/>
      <c r="S63" s="23"/>
      <c r="T63" s="23"/>
      <c r="U63" s="23"/>
      <c r="V63" s="4"/>
      <c r="W63" s="4"/>
      <c r="X63" s="4"/>
      <c r="Y63"/>
    </row>
    <row r="64" spans="1:25" x14ac:dyDescent="0.25">
      <c r="A64" s="703"/>
      <c r="B64" s="4"/>
      <c r="C64" s="23"/>
      <c r="D64" s="23"/>
      <c r="E64" s="23"/>
      <c r="F64" s="23"/>
      <c r="G64" s="23"/>
      <c r="H64" s="23"/>
      <c r="I64" s="23"/>
      <c r="J64" s="23"/>
      <c r="K64" s="23"/>
      <c r="L64" s="23"/>
      <c r="M64" s="23"/>
      <c r="N64" s="23"/>
      <c r="O64" s="23"/>
      <c r="P64" s="23"/>
      <c r="Q64" s="23"/>
      <c r="R64" s="4"/>
      <c r="S64" s="23"/>
      <c r="T64" s="23"/>
      <c r="U64" s="23"/>
      <c r="V64" s="4"/>
      <c r="W64" s="4"/>
      <c r="X64" s="4"/>
      <c r="Y64"/>
    </row>
    <row r="65" spans="1:25" x14ac:dyDescent="0.25">
      <c r="A65" s="703"/>
      <c r="B65" s="4"/>
      <c r="C65" s="23"/>
      <c r="D65" s="23"/>
      <c r="E65" s="23"/>
      <c r="F65" s="23"/>
      <c r="G65" s="23"/>
      <c r="H65" s="23"/>
      <c r="I65" s="23"/>
      <c r="J65" s="23"/>
      <c r="K65" s="23"/>
      <c r="L65" s="23"/>
      <c r="M65" s="23"/>
      <c r="N65" s="23"/>
      <c r="O65" s="23"/>
      <c r="P65" s="23"/>
      <c r="Q65" s="23"/>
      <c r="R65" s="4"/>
      <c r="S65" s="23"/>
      <c r="T65" s="23"/>
      <c r="U65" s="23"/>
      <c r="V65" s="4"/>
      <c r="W65" s="4"/>
      <c r="X65" s="4"/>
      <c r="Y65"/>
    </row>
    <row r="66" spans="1:25" x14ac:dyDescent="0.25">
      <c r="A66" s="703"/>
      <c r="B66" s="4"/>
      <c r="C66" s="23"/>
      <c r="D66" s="23"/>
      <c r="E66" s="23"/>
      <c r="F66" s="23"/>
      <c r="G66" s="23"/>
      <c r="H66" s="23"/>
      <c r="I66" s="23"/>
      <c r="J66" s="23"/>
      <c r="K66" s="23"/>
      <c r="L66" s="23"/>
      <c r="M66" s="23"/>
      <c r="N66" s="23"/>
      <c r="O66" s="23"/>
      <c r="P66" s="23"/>
      <c r="Q66" s="23"/>
      <c r="R66" s="4"/>
      <c r="S66" s="23"/>
      <c r="T66" s="23"/>
      <c r="U66" s="23"/>
      <c r="V66" s="4"/>
      <c r="W66" s="4"/>
      <c r="X66" s="4"/>
      <c r="Y66"/>
    </row>
    <row r="67" spans="1:25" x14ac:dyDescent="0.25">
      <c r="A67" s="703"/>
      <c r="B67" s="4"/>
      <c r="C67" s="23"/>
      <c r="D67" s="23"/>
      <c r="E67" s="23"/>
      <c r="F67" s="23"/>
      <c r="G67" s="23"/>
      <c r="H67" s="23"/>
      <c r="I67" s="23"/>
      <c r="J67" s="23"/>
      <c r="K67" s="23"/>
      <c r="L67" s="23"/>
      <c r="M67" s="23"/>
      <c r="N67" s="23"/>
      <c r="O67" s="23"/>
      <c r="P67" s="23"/>
      <c r="Q67" s="23"/>
      <c r="R67" s="4"/>
      <c r="S67" s="23"/>
      <c r="T67" s="23"/>
      <c r="U67" s="23"/>
      <c r="V67" s="4"/>
      <c r="W67" s="4"/>
      <c r="X67" s="4"/>
      <c r="Y67"/>
    </row>
    <row r="68" spans="1:25" x14ac:dyDescent="0.25">
      <c r="A68" s="703"/>
      <c r="B68" s="4"/>
      <c r="C68" s="23"/>
      <c r="D68" s="23"/>
      <c r="E68" s="23"/>
      <c r="F68" s="23"/>
      <c r="G68" s="23"/>
      <c r="H68" s="23"/>
      <c r="I68" s="23"/>
      <c r="J68" s="23"/>
      <c r="K68" s="23"/>
      <c r="L68" s="23"/>
      <c r="M68" s="23"/>
      <c r="N68" s="23"/>
      <c r="O68" s="23"/>
      <c r="P68" s="23"/>
      <c r="Q68" s="23"/>
      <c r="R68" s="4"/>
      <c r="S68" s="23"/>
      <c r="T68" s="23"/>
      <c r="U68" s="23"/>
      <c r="V68" s="4"/>
      <c r="W68" s="4"/>
      <c r="X68" s="4"/>
      <c r="Y68"/>
    </row>
    <row r="69" spans="1:25" x14ac:dyDescent="0.25">
      <c r="A69" s="703"/>
      <c r="B69" s="4"/>
      <c r="C69" s="23"/>
      <c r="D69" s="23"/>
      <c r="E69" s="23"/>
      <c r="F69" s="23"/>
      <c r="G69" s="23"/>
      <c r="H69" s="23"/>
      <c r="I69" s="23"/>
      <c r="J69" s="23"/>
      <c r="K69" s="23"/>
      <c r="L69" s="23"/>
      <c r="M69" s="23"/>
      <c r="N69" s="23"/>
      <c r="O69" s="23"/>
      <c r="P69" s="23"/>
      <c r="Q69" s="23"/>
      <c r="R69" s="4"/>
      <c r="S69" s="23"/>
      <c r="T69" s="23"/>
      <c r="U69" s="23"/>
      <c r="V69" s="4"/>
      <c r="W69" s="4"/>
      <c r="X69" s="4"/>
      <c r="Y69"/>
    </row>
    <row r="70" spans="1:25" x14ac:dyDescent="0.25">
      <c r="A70" s="703"/>
      <c r="B70" s="4"/>
      <c r="C70" s="23"/>
      <c r="D70" s="23"/>
      <c r="E70" s="23"/>
      <c r="F70" s="23"/>
      <c r="G70" s="23"/>
      <c r="H70" s="23"/>
      <c r="I70" s="23"/>
      <c r="J70" s="23"/>
      <c r="K70" s="23"/>
      <c r="L70" s="23"/>
      <c r="M70" s="23"/>
      <c r="N70" s="23"/>
      <c r="O70" s="23"/>
      <c r="P70" s="23"/>
      <c r="Q70" s="23"/>
      <c r="R70" s="4"/>
      <c r="S70" s="23"/>
      <c r="T70" s="23"/>
      <c r="U70" s="23"/>
      <c r="V70" s="4"/>
      <c r="W70" s="4"/>
      <c r="X70" s="4"/>
      <c r="Y70"/>
    </row>
    <row r="71" spans="1:25" x14ac:dyDescent="0.25">
      <c r="A71" s="703"/>
      <c r="B71" s="4"/>
      <c r="C71" s="23"/>
      <c r="D71" s="23"/>
      <c r="E71" s="23"/>
      <c r="F71" s="23"/>
      <c r="G71" s="23"/>
      <c r="H71" s="23"/>
      <c r="I71" s="23"/>
      <c r="J71" s="23"/>
      <c r="K71" s="23"/>
      <c r="L71" s="23"/>
      <c r="M71" s="23"/>
      <c r="N71" s="23"/>
      <c r="O71" s="23"/>
      <c r="P71" s="23"/>
      <c r="Q71" s="23"/>
      <c r="R71" s="4"/>
      <c r="S71" s="23"/>
      <c r="T71" s="23"/>
      <c r="U71" s="23"/>
      <c r="V71" s="4"/>
      <c r="W71" s="4"/>
      <c r="X71" s="4"/>
      <c r="Y71"/>
    </row>
    <row r="72" spans="1:25" x14ac:dyDescent="0.25">
      <c r="A72" s="703"/>
      <c r="B72" s="4"/>
      <c r="C72" s="23"/>
      <c r="D72" s="23"/>
      <c r="E72" s="23"/>
      <c r="F72" s="23"/>
      <c r="G72" s="23"/>
      <c r="H72" s="23"/>
      <c r="I72" s="23"/>
      <c r="J72" s="23"/>
      <c r="K72" s="23"/>
      <c r="L72" s="23"/>
      <c r="M72" s="23"/>
      <c r="N72" s="23"/>
      <c r="O72" s="23"/>
      <c r="P72" s="23"/>
      <c r="Q72" s="23"/>
      <c r="R72" s="4"/>
      <c r="S72" s="23"/>
      <c r="T72" s="23"/>
      <c r="U72" s="23"/>
      <c r="V72" s="4"/>
      <c r="W72" s="4"/>
      <c r="X72" s="4"/>
      <c r="Y72"/>
    </row>
    <row r="73" spans="1:25" x14ac:dyDescent="0.25">
      <c r="A73" s="703"/>
      <c r="B73" s="4"/>
      <c r="C73" s="23"/>
      <c r="D73" s="23"/>
      <c r="E73" s="23"/>
      <c r="F73" s="23"/>
      <c r="G73" s="23"/>
      <c r="H73" s="23"/>
      <c r="I73" s="23"/>
      <c r="J73" s="23"/>
      <c r="K73" s="23"/>
      <c r="L73" s="23"/>
      <c r="M73" s="23"/>
      <c r="N73" s="23"/>
      <c r="O73" s="23"/>
      <c r="P73" s="23"/>
      <c r="Q73" s="23"/>
      <c r="R73" s="4"/>
      <c r="S73" s="23"/>
      <c r="T73" s="23"/>
      <c r="U73" s="23"/>
      <c r="V73" s="4"/>
      <c r="W73" s="4"/>
      <c r="X73" s="4"/>
      <c r="Y73"/>
    </row>
    <row r="74" spans="1:25" x14ac:dyDescent="0.25">
      <c r="A74" s="703"/>
      <c r="B74" s="4"/>
      <c r="C74" s="23"/>
      <c r="D74" s="23"/>
      <c r="E74" s="23"/>
      <c r="F74" s="23"/>
      <c r="G74" s="23"/>
      <c r="H74" s="23"/>
      <c r="I74" s="23"/>
      <c r="J74" s="23"/>
      <c r="K74" s="23"/>
      <c r="L74" s="23"/>
      <c r="M74" s="23"/>
      <c r="N74" s="23"/>
      <c r="O74" s="23"/>
      <c r="P74" s="23"/>
      <c r="Q74" s="23"/>
      <c r="R74" s="4"/>
      <c r="S74" s="23"/>
      <c r="T74" s="23"/>
      <c r="U74" s="23"/>
      <c r="V74" s="4"/>
      <c r="W74" s="4"/>
      <c r="X74" s="4"/>
      <c r="Y74"/>
    </row>
    <row r="75" spans="1:25" x14ac:dyDescent="0.25">
      <c r="A75" s="703"/>
      <c r="B75" s="4"/>
      <c r="C75" s="23"/>
      <c r="D75" s="23"/>
      <c r="E75" s="23"/>
      <c r="F75" s="23"/>
      <c r="G75" s="23"/>
      <c r="H75" s="23"/>
      <c r="I75" s="23"/>
      <c r="J75" s="23"/>
      <c r="K75" s="23"/>
      <c r="L75" s="23"/>
      <c r="M75" s="23"/>
      <c r="N75" s="23"/>
      <c r="O75" s="23"/>
      <c r="P75" s="23"/>
      <c r="Q75" s="23"/>
      <c r="R75" s="4"/>
      <c r="S75" s="23"/>
      <c r="T75" s="23"/>
      <c r="U75" s="23"/>
      <c r="V75" s="4"/>
      <c r="W75" s="4"/>
      <c r="X75" s="4"/>
      <c r="Y75"/>
    </row>
    <row r="76" spans="1:25" x14ac:dyDescent="0.25">
      <c r="A76" s="703"/>
      <c r="B76" s="4"/>
      <c r="C76" s="23"/>
      <c r="D76" s="23"/>
      <c r="E76" s="23"/>
      <c r="F76" s="23"/>
      <c r="G76" s="23"/>
      <c r="H76" s="23"/>
      <c r="I76" s="23"/>
      <c r="J76" s="23"/>
      <c r="K76" s="23"/>
      <c r="L76" s="23"/>
      <c r="M76" s="23"/>
      <c r="N76" s="23"/>
      <c r="O76" s="23"/>
      <c r="P76" s="23"/>
      <c r="Q76" s="23"/>
      <c r="R76" s="4"/>
      <c r="S76" s="23"/>
      <c r="T76" s="23"/>
      <c r="U76" s="23"/>
      <c r="V76" s="4"/>
      <c r="W76" s="4"/>
      <c r="X76" s="4"/>
      <c r="Y76"/>
    </row>
    <row r="77" spans="1:25" x14ac:dyDescent="0.25">
      <c r="A77" s="703"/>
      <c r="B77" s="4"/>
      <c r="C77" s="23"/>
      <c r="D77" s="23"/>
      <c r="E77" s="23"/>
      <c r="F77" s="23"/>
      <c r="G77" s="23"/>
      <c r="H77" s="23"/>
      <c r="I77" s="23"/>
      <c r="J77" s="23"/>
      <c r="K77" s="23"/>
      <c r="L77" s="23"/>
      <c r="M77" s="23"/>
      <c r="N77" s="23"/>
      <c r="O77" s="23"/>
      <c r="P77" s="23"/>
      <c r="Q77" s="23"/>
      <c r="R77" s="4"/>
      <c r="S77" s="23"/>
      <c r="T77" s="23"/>
      <c r="U77" s="23"/>
      <c r="V77" s="4"/>
      <c r="W77" s="4"/>
      <c r="X77" s="4"/>
      <c r="Y77"/>
    </row>
    <row r="78" spans="1:25" x14ac:dyDescent="0.25">
      <c r="A78" s="703"/>
      <c r="B78" s="4"/>
      <c r="C78" s="23"/>
      <c r="D78" s="23"/>
      <c r="E78" s="23"/>
      <c r="F78" s="23"/>
      <c r="G78" s="23"/>
      <c r="H78" s="23"/>
      <c r="I78" s="23"/>
      <c r="J78" s="23"/>
      <c r="K78" s="23"/>
      <c r="L78" s="23"/>
      <c r="M78" s="23"/>
      <c r="N78" s="23"/>
      <c r="O78" s="23"/>
      <c r="P78" s="23"/>
      <c r="Q78" s="23"/>
      <c r="R78" s="4"/>
      <c r="S78" s="23"/>
      <c r="T78" s="23"/>
      <c r="U78" s="23"/>
      <c r="V78" s="4"/>
      <c r="W78" s="4"/>
      <c r="X78" s="4"/>
      <c r="Y78"/>
    </row>
    <row r="79" spans="1:25" x14ac:dyDescent="0.25">
      <c r="A79" s="703"/>
      <c r="B79" s="4"/>
      <c r="C79" s="23"/>
      <c r="D79" s="23"/>
      <c r="E79" s="23"/>
      <c r="F79" s="23"/>
      <c r="G79" s="23"/>
      <c r="H79" s="23"/>
      <c r="I79" s="23"/>
      <c r="J79" s="23"/>
      <c r="K79" s="23"/>
      <c r="L79" s="23"/>
      <c r="M79" s="23"/>
      <c r="N79" s="23"/>
      <c r="O79" s="23"/>
      <c r="P79" s="23"/>
      <c r="Q79" s="23"/>
      <c r="R79" s="4"/>
      <c r="S79" s="23"/>
      <c r="T79" s="23"/>
      <c r="U79" s="23"/>
      <c r="V79" s="4"/>
      <c r="W79" s="4"/>
      <c r="X79" s="4"/>
      <c r="Y79"/>
    </row>
    <row r="80" spans="1:25" x14ac:dyDescent="0.25">
      <c r="A80" s="703"/>
      <c r="B80" s="4"/>
      <c r="C80" s="23"/>
      <c r="D80" s="23"/>
      <c r="E80" s="23"/>
      <c r="F80" s="23"/>
      <c r="G80" s="23"/>
      <c r="H80" s="23"/>
      <c r="I80" s="23"/>
      <c r="J80" s="23"/>
      <c r="K80" s="23"/>
      <c r="L80" s="23"/>
      <c r="M80" s="23"/>
      <c r="N80" s="23"/>
      <c r="O80" s="23"/>
      <c r="P80" s="23"/>
      <c r="Q80" s="23"/>
      <c r="R80" s="4"/>
      <c r="S80" s="23"/>
      <c r="T80" s="23"/>
      <c r="U80" s="23"/>
      <c r="V80" s="4"/>
      <c r="W80" s="4"/>
      <c r="X80" s="4"/>
      <c r="Y80"/>
    </row>
    <row r="81" spans="1:25" x14ac:dyDescent="0.25">
      <c r="A81" s="703"/>
      <c r="B81" s="4"/>
      <c r="C81" s="23"/>
      <c r="D81" s="23"/>
      <c r="E81" s="23"/>
      <c r="F81" s="23"/>
      <c r="G81" s="23"/>
      <c r="H81" s="23"/>
      <c r="I81" s="23"/>
      <c r="J81" s="23"/>
      <c r="K81" s="23"/>
      <c r="L81" s="23"/>
      <c r="M81" s="23"/>
      <c r="N81" s="23"/>
      <c r="O81" s="23"/>
      <c r="P81" s="23"/>
      <c r="Q81" s="23"/>
      <c r="R81" s="4"/>
      <c r="S81" s="23"/>
      <c r="T81" s="23"/>
      <c r="U81" s="23"/>
      <c r="V81" s="4"/>
      <c r="W81" s="4"/>
      <c r="X81" s="4"/>
      <c r="Y81"/>
    </row>
    <row r="82" spans="1:25" x14ac:dyDescent="0.25">
      <c r="A82" s="703"/>
      <c r="B82" s="4"/>
      <c r="C82" s="23"/>
      <c r="D82" s="23"/>
      <c r="E82" s="23"/>
      <c r="F82" s="23"/>
      <c r="G82" s="23"/>
      <c r="H82" s="23"/>
      <c r="I82" s="23"/>
      <c r="J82" s="23"/>
      <c r="K82" s="23"/>
      <c r="L82" s="23"/>
      <c r="M82" s="23"/>
      <c r="N82" s="23"/>
      <c r="O82" s="23"/>
      <c r="P82" s="23"/>
      <c r="Q82" s="23"/>
      <c r="R82" s="4"/>
      <c r="S82" s="23"/>
      <c r="T82" s="23"/>
      <c r="U82" s="23"/>
      <c r="V82" s="4"/>
      <c r="W82" s="4"/>
      <c r="X82" s="4"/>
      <c r="Y82"/>
    </row>
    <row r="83" spans="1:25" x14ac:dyDescent="0.25">
      <c r="A83" s="703"/>
      <c r="B83" s="4"/>
      <c r="C83" s="23"/>
      <c r="D83" s="23"/>
      <c r="E83" s="23"/>
      <c r="F83" s="23"/>
      <c r="G83" s="23"/>
      <c r="H83" s="23"/>
      <c r="I83" s="23"/>
      <c r="J83" s="23"/>
      <c r="K83" s="23"/>
      <c r="L83" s="23"/>
      <c r="M83" s="23"/>
      <c r="N83" s="23"/>
      <c r="O83" s="23"/>
      <c r="P83" s="23"/>
      <c r="Q83" s="23"/>
      <c r="R83" s="4"/>
      <c r="S83" s="23"/>
      <c r="T83" s="23"/>
      <c r="U83" s="23"/>
      <c r="V83" s="4"/>
      <c r="W83" s="4"/>
      <c r="X83" s="4"/>
      <c r="Y83"/>
    </row>
    <row r="84" spans="1:25" x14ac:dyDescent="0.25">
      <c r="A84" s="703"/>
      <c r="B84" s="4"/>
      <c r="C84" s="23"/>
      <c r="D84" s="23"/>
      <c r="E84" s="23"/>
      <c r="F84" s="23"/>
      <c r="G84" s="23"/>
      <c r="H84" s="23"/>
      <c r="I84" s="23"/>
      <c r="J84" s="23"/>
      <c r="K84" s="23"/>
      <c r="L84" s="23"/>
      <c r="M84" s="23"/>
      <c r="N84" s="23"/>
      <c r="O84" s="23"/>
      <c r="P84" s="23"/>
      <c r="Q84" s="23"/>
      <c r="R84" s="4"/>
      <c r="S84" s="23"/>
      <c r="T84" s="23"/>
      <c r="U84" s="23"/>
      <c r="V84" s="4"/>
      <c r="W84" s="4"/>
      <c r="X84" s="4"/>
      <c r="Y84"/>
    </row>
    <row r="85" spans="1:25" x14ac:dyDescent="0.25">
      <c r="A85" s="703"/>
      <c r="B85" s="4"/>
      <c r="C85" s="23"/>
      <c r="D85" s="23"/>
      <c r="E85" s="23"/>
      <c r="F85" s="23"/>
      <c r="G85" s="23"/>
      <c r="H85" s="23"/>
      <c r="I85" s="23"/>
      <c r="J85" s="23"/>
      <c r="K85" s="23"/>
      <c r="L85" s="23"/>
      <c r="M85" s="23"/>
      <c r="N85" s="23"/>
      <c r="O85" s="23"/>
      <c r="P85" s="23"/>
      <c r="Q85" s="23"/>
      <c r="R85" s="4"/>
      <c r="S85" s="23"/>
      <c r="T85" s="23"/>
      <c r="U85" s="23"/>
      <c r="V85" s="4"/>
      <c r="W85" s="4"/>
      <c r="X85" s="4"/>
      <c r="Y85"/>
    </row>
    <row r="86" spans="1:25" x14ac:dyDescent="0.25">
      <c r="A86" s="703"/>
      <c r="B86" s="4"/>
      <c r="C86" s="23"/>
      <c r="D86" s="23"/>
      <c r="E86" s="23"/>
      <c r="F86" s="23"/>
      <c r="G86" s="23"/>
      <c r="H86" s="23"/>
      <c r="I86" s="23"/>
      <c r="J86" s="23"/>
      <c r="K86" s="23"/>
      <c r="L86" s="23"/>
      <c r="M86" s="23"/>
      <c r="N86" s="23"/>
      <c r="O86" s="23"/>
      <c r="P86" s="23"/>
      <c r="Q86" s="23"/>
      <c r="R86" s="4"/>
      <c r="S86" s="23"/>
      <c r="T86" s="23"/>
      <c r="U86" s="23"/>
      <c r="V86" s="4"/>
      <c r="W86" s="4"/>
      <c r="X86" s="4"/>
      <c r="Y86"/>
    </row>
    <row r="87" spans="1:25" x14ac:dyDescent="0.25">
      <c r="A87" s="703"/>
      <c r="B87" s="4"/>
      <c r="C87" s="23"/>
      <c r="D87" s="23"/>
      <c r="E87" s="23"/>
      <c r="F87" s="23"/>
      <c r="G87" s="23"/>
      <c r="H87" s="23"/>
      <c r="I87" s="23"/>
      <c r="J87" s="23"/>
      <c r="K87" s="23"/>
      <c r="L87" s="23"/>
      <c r="M87" s="23"/>
      <c r="N87" s="23"/>
      <c r="O87" s="23"/>
      <c r="P87" s="23"/>
      <c r="Q87" s="23"/>
      <c r="R87" s="4"/>
      <c r="S87" s="23"/>
      <c r="T87" s="23"/>
      <c r="U87" s="23"/>
      <c r="V87" s="4"/>
      <c r="W87" s="4"/>
      <c r="X87" s="4"/>
      <c r="Y87"/>
    </row>
    <row r="88" spans="1:25" x14ac:dyDescent="0.25">
      <c r="A88" s="703"/>
      <c r="B88" s="4"/>
      <c r="C88" s="23"/>
      <c r="D88" s="23"/>
      <c r="E88" s="23"/>
      <c r="F88" s="23"/>
      <c r="G88" s="23"/>
      <c r="H88" s="23"/>
      <c r="I88" s="23"/>
      <c r="J88" s="23"/>
      <c r="K88" s="23"/>
      <c r="L88" s="23"/>
      <c r="M88" s="23"/>
      <c r="N88" s="23"/>
      <c r="O88" s="23"/>
      <c r="P88" s="23"/>
      <c r="Q88" s="23"/>
      <c r="R88" s="4"/>
      <c r="S88" s="23"/>
      <c r="T88" s="23"/>
      <c r="U88" s="23"/>
      <c r="V88" s="4"/>
      <c r="W88" s="4"/>
      <c r="X88" s="4"/>
      <c r="Y88"/>
    </row>
    <row r="89" spans="1:25" x14ac:dyDescent="0.25">
      <c r="A89" s="703"/>
      <c r="B89" s="4"/>
      <c r="C89" s="23"/>
      <c r="D89" s="23"/>
      <c r="E89" s="23"/>
      <c r="F89" s="23"/>
      <c r="G89" s="23"/>
      <c r="H89" s="23"/>
      <c r="I89" s="23"/>
      <c r="J89" s="23"/>
      <c r="K89" s="23"/>
      <c r="L89" s="23"/>
      <c r="M89" s="23"/>
      <c r="N89" s="23"/>
      <c r="O89" s="23"/>
      <c r="P89" s="23"/>
      <c r="Q89" s="23"/>
      <c r="R89" s="4"/>
      <c r="S89" s="23"/>
      <c r="T89" s="23"/>
      <c r="U89" s="23"/>
      <c r="V89" s="4"/>
      <c r="W89" s="4"/>
      <c r="X89" s="4"/>
      <c r="Y89"/>
    </row>
    <row r="90" spans="1:25" x14ac:dyDescent="0.25">
      <c r="A90" s="703"/>
      <c r="B90" s="4"/>
      <c r="C90" s="23"/>
      <c r="D90" s="23"/>
      <c r="E90" s="23"/>
      <c r="F90" s="23"/>
      <c r="G90" s="23"/>
      <c r="H90" s="23"/>
      <c r="I90" s="23"/>
      <c r="J90" s="23"/>
      <c r="K90" s="23"/>
      <c r="L90" s="23"/>
      <c r="M90" s="23"/>
      <c r="N90" s="23"/>
      <c r="O90" s="23"/>
      <c r="P90" s="23"/>
      <c r="Q90" s="23"/>
      <c r="R90" s="4"/>
      <c r="S90" s="23"/>
      <c r="T90" s="23"/>
      <c r="U90" s="23"/>
      <c r="V90" s="4"/>
      <c r="W90" s="4"/>
      <c r="X90" s="4"/>
      <c r="Y90"/>
    </row>
    <row r="91" spans="1:25" x14ac:dyDescent="0.25">
      <c r="A91" s="703"/>
      <c r="B91" s="4"/>
      <c r="C91" s="23"/>
      <c r="D91" s="23"/>
      <c r="E91" s="23"/>
      <c r="F91" s="23"/>
      <c r="G91" s="23"/>
      <c r="H91" s="23"/>
      <c r="I91" s="23"/>
      <c r="J91" s="23"/>
      <c r="K91" s="23"/>
      <c r="L91" s="23"/>
      <c r="M91" s="23"/>
      <c r="N91" s="23"/>
      <c r="O91" s="23"/>
      <c r="P91" s="23"/>
      <c r="Q91" s="23"/>
      <c r="R91" s="4"/>
      <c r="S91" s="23"/>
      <c r="T91" s="23"/>
      <c r="U91" s="23"/>
      <c r="V91" s="4"/>
      <c r="W91" s="4"/>
      <c r="X91" s="4"/>
      <c r="Y91"/>
    </row>
    <row r="92" spans="1:25" x14ac:dyDescent="0.25">
      <c r="A92" s="703"/>
      <c r="B92" s="4"/>
      <c r="C92" s="23"/>
      <c r="D92" s="23"/>
      <c r="E92" s="23"/>
      <c r="F92" s="23"/>
      <c r="G92" s="23"/>
      <c r="H92" s="23"/>
      <c r="I92" s="23"/>
      <c r="J92" s="23"/>
      <c r="K92" s="23"/>
      <c r="L92" s="23"/>
      <c r="M92" s="23"/>
      <c r="N92" s="23"/>
      <c r="O92" s="23"/>
      <c r="P92" s="23"/>
      <c r="Q92" s="23"/>
      <c r="R92" s="4"/>
      <c r="S92" s="23"/>
      <c r="T92" s="23"/>
      <c r="U92" s="23"/>
      <c r="V92" s="4"/>
      <c r="W92" s="4"/>
      <c r="X92" s="4"/>
      <c r="Y92"/>
    </row>
    <row r="93" spans="1:25" x14ac:dyDescent="0.25">
      <c r="A93" s="703"/>
      <c r="B93" s="4"/>
      <c r="C93" s="23"/>
      <c r="D93" s="23"/>
      <c r="E93" s="23"/>
      <c r="F93" s="23"/>
      <c r="G93" s="23"/>
      <c r="H93" s="23"/>
      <c r="I93" s="23"/>
      <c r="J93" s="23"/>
      <c r="K93" s="23"/>
      <c r="L93" s="23"/>
      <c r="M93" s="23"/>
      <c r="N93" s="23"/>
      <c r="O93" s="23"/>
      <c r="P93" s="23"/>
      <c r="Q93" s="23"/>
      <c r="R93" s="4"/>
      <c r="S93" s="23"/>
      <c r="T93" s="23"/>
      <c r="U93" s="23"/>
      <c r="V93" s="4"/>
      <c r="W93" s="4"/>
      <c r="X93" s="4"/>
      <c r="Y93"/>
    </row>
    <row r="94" spans="1:25" x14ac:dyDescent="0.25">
      <c r="A94" s="703"/>
      <c r="B94" s="4"/>
      <c r="C94" s="23"/>
      <c r="D94" s="23"/>
      <c r="E94" s="23"/>
      <c r="F94" s="23"/>
      <c r="G94" s="23"/>
      <c r="H94" s="23"/>
      <c r="I94" s="23"/>
      <c r="J94" s="23"/>
      <c r="K94" s="23"/>
      <c r="L94" s="23"/>
      <c r="M94" s="23"/>
      <c r="N94" s="23"/>
      <c r="O94" s="23"/>
      <c r="P94" s="23"/>
      <c r="Q94" s="23"/>
      <c r="R94" s="4"/>
      <c r="S94" s="23"/>
      <c r="T94" s="23"/>
      <c r="U94" s="23"/>
      <c r="V94" s="4"/>
      <c r="W94" s="4"/>
      <c r="X94" s="4"/>
      <c r="Y94"/>
    </row>
    <row r="95" spans="1:25" x14ac:dyDescent="0.25">
      <c r="A95" s="703"/>
      <c r="B95" s="4"/>
      <c r="C95" s="23"/>
      <c r="D95" s="23"/>
      <c r="E95" s="23"/>
      <c r="F95" s="23"/>
      <c r="G95" s="23"/>
      <c r="H95" s="23"/>
      <c r="I95" s="23"/>
      <c r="J95" s="23"/>
      <c r="K95" s="23"/>
      <c r="L95" s="23"/>
      <c r="M95" s="23"/>
      <c r="N95" s="23"/>
      <c r="O95" s="23"/>
      <c r="P95" s="23"/>
      <c r="Q95" s="23"/>
      <c r="R95" s="4"/>
      <c r="S95" s="23"/>
      <c r="T95" s="23"/>
      <c r="U95" s="23"/>
      <c r="V95" s="4"/>
      <c r="W95" s="4"/>
      <c r="X95" s="4"/>
      <c r="Y95"/>
    </row>
    <row r="96" spans="1:25" x14ac:dyDescent="0.25">
      <c r="A96" s="703"/>
      <c r="B96" s="4"/>
      <c r="C96" s="23"/>
      <c r="D96" s="23"/>
      <c r="E96" s="23"/>
      <c r="F96" s="23"/>
      <c r="G96" s="23"/>
      <c r="H96" s="23"/>
      <c r="I96" s="23"/>
      <c r="J96" s="23"/>
      <c r="K96" s="23"/>
      <c r="L96" s="23"/>
      <c r="M96" s="23"/>
      <c r="N96" s="23"/>
      <c r="O96" s="23"/>
      <c r="P96" s="23"/>
      <c r="Q96" s="23"/>
      <c r="R96" s="4"/>
      <c r="S96" s="23"/>
      <c r="T96" s="23"/>
      <c r="U96" s="23"/>
      <c r="V96" s="4"/>
      <c r="W96" s="4"/>
      <c r="X96" s="4"/>
      <c r="Y96"/>
    </row>
    <row r="97" spans="1:25" x14ac:dyDescent="0.25">
      <c r="A97" s="703"/>
      <c r="B97" s="4"/>
      <c r="C97" s="23"/>
      <c r="D97" s="23"/>
      <c r="E97" s="23"/>
      <c r="F97" s="23"/>
      <c r="G97" s="23"/>
      <c r="H97" s="23"/>
      <c r="I97" s="23"/>
      <c r="J97" s="23"/>
      <c r="K97" s="23"/>
      <c r="L97" s="23"/>
      <c r="M97" s="23"/>
      <c r="N97" s="23"/>
      <c r="O97" s="23"/>
      <c r="P97" s="23"/>
      <c r="Q97" s="23"/>
      <c r="R97" s="4"/>
      <c r="S97" s="23"/>
      <c r="T97" s="23"/>
      <c r="U97" s="23"/>
      <c r="V97" s="4"/>
      <c r="W97" s="4"/>
      <c r="X97" s="4"/>
      <c r="Y97"/>
    </row>
    <row r="98" spans="1:25" x14ac:dyDescent="0.25">
      <c r="A98" s="703"/>
      <c r="B98" s="4"/>
      <c r="C98" s="23"/>
      <c r="D98" s="23"/>
      <c r="E98" s="23"/>
      <c r="F98" s="23"/>
      <c r="G98" s="23"/>
      <c r="H98" s="23"/>
      <c r="I98" s="23"/>
      <c r="J98" s="23"/>
      <c r="K98" s="23"/>
      <c r="L98" s="23"/>
      <c r="M98" s="23"/>
      <c r="N98" s="23"/>
      <c r="O98" s="23"/>
      <c r="P98" s="23"/>
      <c r="Q98" s="23"/>
      <c r="R98" s="4"/>
      <c r="S98" s="23"/>
      <c r="T98" s="23"/>
      <c r="U98" s="23"/>
      <c r="V98" s="4"/>
      <c r="W98" s="4"/>
      <c r="X98" s="4"/>
      <c r="Y98"/>
    </row>
    <row r="99" spans="1:25" x14ac:dyDescent="0.25">
      <c r="A99" s="703"/>
      <c r="B99" s="4"/>
      <c r="C99" s="23"/>
      <c r="D99" s="23"/>
      <c r="E99" s="23"/>
      <c r="F99" s="23"/>
      <c r="G99" s="23"/>
      <c r="H99" s="23"/>
      <c r="I99" s="23"/>
      <c r="J99" s="23"/>
      <c r="K99" s="23"/>
      <c r="L99" s="23"/>
      <c r="M99" s="23"/>
      <c r="N99" s="23"/>
      <c r="O99" s="23"/>
      <c r="P99" s="23"/>
      <c r="Q99" s="23"/>
      <c r="R99" s="4"/>
      <c r="S99" s="23"/>
      <c r="T99" s="23"/>
      <c r="U99" s="23"/>
      <c r="V99" s="4"/>
      <c r="W99" s="4"/>
      <c r="X99" s="4"/>
      <c r="Y99"/>
    </row>
    <row r="100" spans="1:25"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c r="Y100"/>
    </row>
    <row r="101" spans="1:25"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c r="Y101"/>
    </row>
    <row r="102" spans="1:25"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c r="Y102"/>
    </row>
    <row r="103" spans="1:25"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c r="Y103"/>
    </row>
    <row r="104" spans="1:25"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c r="Y104"/>
    </row>
    <row r="105" spans="1:25"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c r="Y105"/>
    </row>
    <row r="106" spans="1:25"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c r="Y106"/>
    </row>
    <row r="107" spans="1:25" x14ac:dyDescent="0.25">
      <c r="C107" s="194"/>
      <c r="D107"/>
      <c r="E107"/>
      <c r="F107"/>
      <c r="G107"/>
      <c r="H107"/>
      <c r="I107"/>
      <c r="J107"/>
      <c r="K107"/>
      <c r="L107"/>
      <c r="M107"/>
      <c r="N107"/>
      <c r="O107"/>
      <c r="P107"/>
      <c r="Q107"/>
      <c r="S107"/>
      <c r="T107"/>
      <c r="U107"/>
      <c r="Y107"/>
    </row>
    <row r="108" spans="1:25" x14ac:dyDescent="0.25">
      <c r="C108" s="194"/>
      <c r="D108"/>
      <c r="E108"/>
      <c r="F108"/>
      <c r="G108"/>
      <c r="H108"/>
      <c r="I108"/>
      <c r="J108"/>
      <c r="K108"/>
      <c r="L108"/>
      <c r="M108"/>
      <c r="N108"/>
      <c r="O108"/>
      <c r="P108"/>
      <c r="Q108"/>
      <c r="S108"/>
      <c r="T108"/>
      <c r="U108"/>
      <c r="Y108"/>
    </row>
    <row r="109" spans="1:25" x14ac:dyDescent="0.25">
      <c r="C109" s="194"/>
      <c r="D109"/>
      <c r="E109"/>
      <c r="F109"/>
      <c r="G109"/>
      <c r="H109"/>
      <c r="I109"/>
      <c r="J109"/>
      <c r="K109"/>
      <c r="L109"/>
      <c r="M109"/>
      <c r="N109"/>
      <c r="O109"/>
      <c r="P109"/>
      <c r="Q109"/>
      <c r="S109"/>
      <c r="T109"/>
      <c r="U109"/>
      <c r="Y109"/>
    </row>
    <row r="110" spans="1:25" x14ac:dyDescent="0.25">
      <c r="C110" s="194"/>
      <c r="D110"/>
      <c r="E110"/>
      <c r="F110"/>
      <c r="G110"/>
      <c r="H110"/>
      <c r="I110"/>
      <c r="J110"/>
      <c r="K110"/>
      <c r="L110"/>
      <c r="M110"/>
      <c r="N110"/>
      <c r="O110"/>
      <c r="P110"/>
      <c r="Q110"/>
      <c r="S110"/>
      <c r="T110"/>
      <c r="U110"/>
      <c r="Y110"/>
    </row>
    <row r="111" spans="1:25" x14ac:dyDescent="0.25">
      <c r="C111" s="194"/>
      <c r="D111"/>
      <c r="E111"/>
      <c r="F111"/>
      <c r="G111"/>
      <c r="H111"/>
      <c r="I111"/>
      <c r="J111"/>
      <c r="K111"/>
      <c r="L111"/>
      <c r="M111"/>
      <c r="N111"/>
      <c r="O111"/>
      <c r="P111"/>
      <c r="Q111"/>
      <c r="S111"/>
      <c r="T111"/>
      <c r="U111"/>
      <c r="Y111"/>
    </row>
    <row r="112" spans="1:25" x14ac:dyDescent="0.25">
      <c r="C112" s="194"/>
      <c r="D112"/>
      <c r="E112"/>
      <c r="F112"/>
      <c r="G112"/>
      <c r="H112"/>
      <c r="I112"/>
      <c r="J112"/>
      <c r="K112"/>
      <c r="L112"/>
      <c r="M112"/>
      <c r="N112"/>
      <c r="O112"/>
      <c r="P112"/>
      <c r="Q112"/>
      <c r="S112"/>
      <c r="T112"/>
      <c r="U112"/>
      <c r="Y112"/>
    </row>
    <row r="113" spans="3:25" x14ac:dyDescent="0.25">
      <c r="C113" s="194"/>
      <c r="D113"/>
      <c r="E113"/>
      <c r="F113"/>
      <c r="G113"/>
      <c r="H113"/>
      <c r="I113"/>
      <c r="J113"/>
      <c r="K113"/>
      <c r="L113"/>
      <c r="M113"/>
      <c r="N113"/>
      <c r="O113"/>
      <c r="P113"/>
      <c r="Q113"/>
      <c r="S113"/>
      <c r="T113"/>
      <c r="U113"/>
      <c r="Y113"/>
    </row>
    <row r="114" spans="3:25" x14ac:dyDescent="0.25">
      <c r="C114" s="194"/>
      <c r="D114"/>
      <c r="E114"/>
      <c r="F114"/>
      <c r="G114"/>
      <c r="H114"/>
      <c r="I114"/>
      <c r="J114"/>
      <c r="K114"/>
      <c r="L114"/>
      <c r="M114"/>
      <c r="N114"/>
      <c r="O114"/>
      <c r="P114"/>
      <c r="Q114"/>
      <c r="S114"/>
      <c r="T114"/>
      <c r="U114"/>
      <c r="Y114"/>
    </row>
    <row r="115" spans="3:25" x14ac:dyDescent="0.25">
      <c r="C115" s="194"/>
      <c r="D115"/>
      <c r="E115"/>
      <c r="F115"/>
      <c r="G115"/>
      <c r="H115"/>
      <c r="I115"/>
      <c r="J115"/>
      <c r="K115"/>
      <c r="L115"/>
      <c r="M115"/>
      <c r="N115"/>
      <c r="O115"/>
      <c r="P115"/>
      <c r="Q115"/>
      <c r="S115"/>
      <c r="T115"/>
      <c r="U115"/>
      <c r="Y115"/>
    </row>
    <row r="116" spans="3:25" x14ac:dyDescent="0.25">
      <c r="C116" s="194"/>
      <c r="D116"/>
      <c r="E116"/>
      <c r="F116"/>
      <c r="G116"/>
      <c r="H116"/>
      <c r="I116"/>
      <c r="J116"/>
      <c r="K116"/>
      <c r="L116"/>
      <c r="M116"/>
      <c r="N116"/>
      <c r="O116"/>
      <c r="P116"/>
      <c r="Q116"/>
      <c r="S116"/>
      <c r="T116"/>
      <c r="U116"/>
      <c r="Y116"/>
    </row>
    <row r="117" spans="3:25" x14ac:dyDescent="0.25">
      <c r="C117" s="194"/>
      <c r="D117"/>
      <c r="E117"/>
      <c r="F117"/>
      <c r="G117"/>
      <c r="H117"/>
      <c r="I117"/>
      <c r="J117"/>
      <c r="K117"/>
      <c r="L117"/>
      <c r="M117"/>
      <c r="N117"/>
      <c r="O117"/>
      <c r="P117"/>
      <c r="Q117"/>
      <c r="S117"/>
      <c r="T117"/>
      <c r="U117"/>
      <c r="Y117"/>
    </row>
    <row r="118" spans="3:25" x14ac:dyDescent="0.25">
      <c r="C118" s="194"/>
      <c r="D118"/>
      <c r="E118"/>
      <c r="F118"/>
      <c r="G118"/>
      <c r="H118"/>
      <c r="I118"/>
      <c r="J118"/>
      <c r="K118"/>
      <c r="L118"/>
      <c r="M118"/>
      <c r="N118"/>
      <c r="O118"/>
      <c r="P118"/>
      <c r="Q118"/>
      <c r="S118"/>
      <c r="T118"/>
      <c r="U118"/>
      <c r="Y118"/>
    </row>
    <row r="119" spans="3:25" x14ac:dyDescent="0.25">
      <c r="C119" s="194"/>
      <c r="D119"/>
      <c r="E119"/>
      <c r="F119"/>
      <c r="G119"/>
      <c r="H119"/>
      <c r="I119"/>
      <c r="J119"/>
      <c r="K119"/>
      <c r="L119"/>
      <c r="M119"/>
      <c r="N119"/>
      <c r="O119"/>
      <c r="P119"/>
      <c r="Q119"/>
      <c r="S119"/>
      <c r="T119"/>
      <c r="U119"/>
      <c r="Y119"/>
    </row>
    <row r="120" spans="3:25" x14ac:dyDescent="0.25">
      <c r="C120" s="194"/>
      <c r="D120"/>
      <c r="E120"/>
      <c r="F120"/>
      <c r="G120"/>
      <c r="H120"/>
      <c r="I120"/>
      <c r="J120"/>
      <c r="K120"/>
      <c r="L120"/>
      <c r="M120"/>
      <c r="N120"/>
      <c r="O120"/>
      <c r="P120"/>
      <c r="Q120"/>
      <c r="S120"/>
      <c r="T120"/>
      <c r="U120"/>
      <c r="Y120"/>
    </row>
    <row r="121" spans="3:25" x14ac:dyDescent="0.25">
      <c r="C121" s="194"/>
      <c r="D121"/>
      <c r="E121"/>
      <c r="F121"/>
      <c r="G121"/>
      <c r="H121"/>
      <c r="I121"/>
      <c r="J121"/>
      <c r="K121"/>
      <c r="L121"/>
      <c r="M121"/>
      <c r="N121"/>
      <c r="O121"/>
      <c r="P121"/>
      <c r="Q121"/>
      <c r="S121"/>
      <c r="T121"/>
      <c r="U121"/>
      <c r="Y121"/>
    </row>
    <row r="122" spans="3:25" x14ac:dyDescent="0.25">
      <c r="C122" s="194"/>
      <c r="D122"/>
      <c r="E122"/>
      <c r="F122"/>
      <c r="G122"/>
      <c r="H122"/>
      <c r="I122"/>
      <c r="J122"/>
      <c r="K122"/>
      <c r="L122"/>
      <c r="M122"/>
      <c r="N122"/>
      <c r="O122"/>
      <c r="P122"/>
      <c r="Q122"/>
      <c r="S122"/>
      <c r="T122"/>
      <c r="U122"/>
      <c r="Y122"/>
    </row>
    <row r="123" spans="3:25" x14ac:dyDescent="0.25">
      <c r="C123" s="194"/>
      <c r="D123"/>
      <c r="E123"/>
      <c r="F123"/>
      <c r="G123"/>
      <c r="H123"/>
      <c r="I123"/>
      <c r="J123"/>
      <c r="K123"/>
      <c r="L123"/>
      <c r="M123"/>
      <c r="N123"/>
      <c r="O123"/>
      <c r="P123"/>
      <c r="Q123"/>
      <c r="S123"/>
      <c r="T123"/>
      <c r="U123"/>
      <c r="Y123"/>
    </row>
    <row r="124" spans="3:25" x14ac:dyDescent="0.25">
      <c r="C124" s="194"/>
      <c r="D124"/>
      <c r="E124"/>
      <c r="F124"/>
      <c r="G124"/>
      <c r="H124"/>
      <c r="I124"/>
      <c r="J124"/>
      <c r="K124"/>
      <c r="L124"/>
      <c r="M124"/>
      <c r="N124"/>
      <c r="O124"/>
      <c r="P124"/>
      <c r="Q124"/>
      <c r="S124"/>
      <c r="T124"/>
      <c r="U124"/>
      <c r="Y124"/>
    </row>
    <row r="125" spans="3:25" x14ac:dyDescent="0.25">
      <c r="C125" s="194"/>
      <c r="D125"/>
      <c r="E125"/>
      <c r="F125"/>
      <c r="G125"/>
      <c r="H125"/>
      <c r="I125"/>
      <c r="J125"/>
      <c r="K125"/>
      <c r="L125"/>
      <c r="M125"/>
      <c r="N125"/>
      <c r="O125"/>
      <c r="P125"/>
      <c r="Q125"/>
      <c r="S125"/>
      <c r="T125"/>
      <c r="U125"/>
      <c r="Y125"/>
    </row>
    <row r="126" spans="3:25" x14ac:dyDescent="0.25">
      <c r="C126" s="194"/>
      <c r="D126"/>
      <c r="E126"/>
      <c r="F126"/>
      <c r="G126"/>
      <c r="H126"/>
      <c r="I126"/>
      <c r="J126"/>
      <c r="K126"/>
      <c r="L126"/>
      <c r="M126"/>
      <c r="N126"/>
      <c r="O126"/>
      <c r="P126"/>
      <c r="Q126"/>
      <c r="S126"/>
      <c r="T126"/>
      <c r="U126"/>
      <c r="Y126"/>
    </row>
    <row r="127" spans="3:25" x14ac:dyDescent="0.25">
      <c r="C127" s="194"/>
      <c r="D127"/>
      <c r="E127"/>
      <c r="F127"/>
      <c r="G127"/>
      <c r="H127"/>
      <c r="I127"/>
      <c r="J127"/>
      <c r="K127"/>
      <c r="L127"/>
      <c r="M127"/>
      <c r="N127"/>
      <c r="O127"/>
      <c r="P127"/>
      <c r="Q127"/>
      <c r="S127"/>
      <c r="T127"/>
      <c r="U127"/>
      <c r="Y127"/>
    </row>
    <row r="128" spans="3:25" x14ac:dyDescent="0.25">
      <c r="C128" s="194"/>
      <c r="D128"/>
      <c r="E128"/>
      <c r="F128"/>
      <c r="G128"/>
      <c r="H128"/>
      <c r="I128"/>
      <c r="J128"/>
      <c r="K128"/>
      <c r="L128"/>
      <c r="M128"/>
      <c r="N128"/>
      <c r="O128"/>
      <c r="P128"/>
      <c r="Q128"/>
      <c r="S128"/>
      <c r="T128"/>
      <c r="U128"/>
      <c r="Y128"/>
    </row>
    <row r="129" spans="3:25" x14ac:dyDescent="0.25">
      <c r="C129" s="194"/>
      <c r="D129"/>
      <c r="E129"/>
      <c r="F129"/>
      <c r="G129"/>
      <c r="H129"/>
      <c r="I129"/>
      <c r="J129"/>
      <c r="K129"/>
      <c r="L129"/>
      <c r="M129"/>
      <c r="N129"/>
      <c r="O129"/>
      <c r="P129"/>
      <c r="Q129"/>
      <c r="S129"/>
      <c r="T129"/>
      <c r="U129"/>
      <c r="Y129"/>
    </row>
    <row r="130" spans="3:25" x14ac:dyDescent="0.25">
      <c r="C130" s="194"/>
      <c r="D130"/>
      <c r="E130"/>
      <c r="F130"/>
      <c r="G130"/>
      <c r="H130"/>
      <c r="I130"/>
      <c r="J130"/>
      <c r="K130"/>
      <c r="L130"/>
      <c r="M130"/>
      <c r="N130"/>
      <c r="O130"/>
      <c r="P130"/>
      <c r="Q130"/>
      <c r="S130"/>
      <c r="T130"/>
      <c r="U130"/>
      <c r="Y130"/>
    </row>
    <row r="131" spans="3:25" x14ac:dyDescent="0.25">
      <c r="C131" s="194"/>
      <c r="D131"/>
      <c r="E131"/>
      <c r="F131"/>
      <c r="G131"/>
      <c r="H131"/>
      <c r="I131"/>
      <c r="J131"/>
      <c r="K131"/>
      <c r="L131"/>
      <c r="M131"/>
      <c r="N131"/>
      <c r="O131"/>
      <c r="P131"/>
      <c r="Q131"/>
      <c r="S131"/>
      <c r="T131"/>
      <c r="U131"/>
      <c r="Y131"/>
    </row>
    <row r="132" spans="3:25" x14ac:dyDescent="0.25">
      <c r="C132" s="194"/>
      <c r="D132"/>
      <c r="E132"/>
      <c r="F132"/>
      <c r="G132"/>
      <c r="H132"/>
      <c r="I132"/>
      <c r="J132"/>
      <c r="K132"/>
      <c r="L132"/>
      <c r="M132"/>
      <c r="N132"/>
      <c r="O132"/>
      <c r="P132"/>
      <c r="Q132"/>
      <c r="S132"/>
      <c r="T132"/>
      <c r="U132"/>
      <c r="Y132"/>
    </row>
    <row r="133" spans="3:25" x14ac:dyDescent="0.25">
      <c r="C133" s="194"/>
      <c r="D133"/>
      <c r="E133"/>
      <c r="F133"/>
      <c r="G133"/>
      <c r="H133"/>
      <c r="I133"/>
      <c r="J133"/>
      <c r="K133"/>
      <c r="L133"/>
      <c r="M133"/>
      <c r="N133"/>
      <c r="O133"/>
      <c r="P133"/>
      <c r="Q133"/>
      <c r="S133"/>
      <c r="T133"/>
      <c r="U133"/>
      <c r="Y133"/>
    </row>
    <row r="134" spans="3:25" x14ac:dyDescent="0.25">
      <c r="C134" s="194"/>
      <c r="D134"/>
      <c r="E134"/>
      <c r="F134"/>
      <c r="G134"/>
      <c r="H134"/>
      <c r="I134"/>
      <c r="J134"/>
      <c r="K134"/>
      <c r="L134"/>
      <c r="M134"/>
      <c r="N134"/>
      <c r="O134"/>
      <c r="P134"/>
      <c r="Q134"/>
      <c r="S134"/>
      <c r="T134"/>
      <c r="U134"/>
      <c r="Y134"/>
    </row>
    <row r="135" spans="3:25" x14ac:dyDescent="0.25">
      <c r="C135" s="194"/>
      <c r="D135"/>
      <c r="E135"/>
      <c r="F135"/>
      <c r="G135"/>
      <c r="H135"/>
      <c r="I135"/>
      <c r="J135"/>
      <c r="K135"/>
      <c r="L135"/>
      <c r="M135"/>
      <c r="N135"/>
      <c r="O135"/>
      <c r="P135"/>
      <c r="Q135"/>
      <c r="S135"/>
      <c r="T135"/>
      <c r="U135"/>
      <c r="Y135"/>
    </row>
    <row r="136" spans="3:25" x14ac:dyDescent="0.25">
      <c r="C136" s="194"/>
      <c r="D136"/>
      <c r="E136"/>
      <c r="F136"/>
      <c r="G136"/>
      <c r="H136"/>
      <c r="I136"/>
      <c r="J136"/>
      <c r="K136"/>
      <c r="L136"/>
      <c r="M136"/>
      <c r="N136"/>
      <c r="O136"/>
      <c r="P136"/>
      <c r="Q136"/>
      <c r="S136"/>
      <c r="T136"/>
      <c r="U136"/>
      <c r="Y136"/>
    </row>
    <row r="137" spans="3:25" x14ac:dyDescent="0.25">
      <c r="C137" s="194"/>
      <c r="D137"/>
      <c r="E137"/>
      <c r="F137"/>
      <c r="G137"/>
      <c r="H137"/>
      <c r="I137"/>
      <c r="J137"/>
      <c r="K137"/>
      <c r="L137"/>
      <c r="M137"/>
      <c r="N137"/>
      <c r="O137"/>
      <c r="P137"/>
      <c r="Q137"/>
      <c r="S137"/>
      <c r="T137"/>
      <c r="U137"/>
      <c r="Y137"/>
    </row>
    <row r="138" spans="3:25" x14ac:dyDescent="0.25">
      <c r="C138" s="194"/>
      <c r="D138"/>
      <c r="E138"/>
      <c r="F138"/>
      <c r="G138"/>
      <c r="H138"/>
      <c r="I138"/>
      <c r="J138"/>
      <c r="K138"/>
      <c r="L138"/>
      <c r="M138"/>
      <c r="N138"/>
      <c r="O138"/>
      <c r="P138"/>
      <c r="Q138"/>
      <c r="S138"/>
      <c r="T138"/>
      <c r="U138"/>
      <c r="Y138"/>
    </row>
    <row r="139" spans="3:25" x14ac:dyDescent="0.25">
      <c r="C139" s="194"/>
      <c r="D139"/>
      <c r="E139"/>
      <c r="F139"/>
      <c r="G139"/>
      <c r="H139"/>
      <c r="I139"/>
      <c r="J139"/>
      <c r="K139"/>
      <c r="L139"/>
      <c r="M139"/>
      <c r="N139"/>
      <c r="O139"/>
      <c r="P139"/>
      <c r="Q139"/>
      <c r="S139"/>
      <c r="T139"/>
      <c r="U139"/>
      <c r="Y139"/>
    </row>
    <row r="140" spans="3:25" x14ac:dyDescent="0.25">
      <c r="C140" s="194"/>
      <c r="D140"/>
      <c r="E140"/>
      <c r="F140"/>
      <c r="G140"/>
      <c r="H140"/>
      <c r="I140"/>
      <c r="J140"/>
      <c r="K140"/>
      <c r="L140"/>
      <c r="M140"/>
      <c r="N140"/>
      <c r="O140"/>
      <c r="P140"/>
      <c r="Q140"/>
      <c r="S140"/>
      <c r="T140"/>
      <c r="U140"/>
      <c r="Y140"/>
    </row>
    <row r="141" spans="3:25" x14ac:dyDescent="0.25">
      <c r="C141" s="194"/>
      <c r="D141"/>
      <c r="E141"/>
      <c r="F141"/>
      <c r="G141"/>
      <c r="H141"/>
      <c r="I141"/>
      <c r="J141"/>
      <c r="K141"/>
      <c r="L141"/>
      <c r="M141"/>
      <c r="N141"/>
      <c r="O141"/>
      <c r="P141"/>
      <c r="Q141"/>
      <c r="S141"/>
      <c r="T141"/>
      <c r="U141"/>
      <c r="Y141"/>
    </row>
    <row r="142" spans="3:25" x14ac:dyDescent="0.25">
      <c r="C142" s="194"/>
      <c r="D142"/>
      <c r="E142"/>
      <c r="F142"/>
      <c r="G142"/>
      <c r="H142"/>
      <c r="I142"/>
      <c r="J142"/>
      <c r="K142"/>
      <c r="L142"/>
      <c r="M142"/>
      <c r="N142"/>
      <c r="O142"/>
      <c r="P142"/>
      <c r="Q142"/>
      <c r="S142"/>
      <c r="T142"/>
      <c r="U142"/>
      <c r="Y142"/>
    </row>
    <row r="143" spans="3:25" x14ac:dyDescent="0.25">
      <c r="C143" s="194"/>
      <c r="D143"/>
      <c r="E143"/>
      <c r="F143"/>
      <c r="G143"/>
      <c r="H143"/>
      <c r="I143"/>
      <c r="J143"/>
      <c r="K143"/>
      <c r="L143"/>
      <c r="M143"/>
      <c r="N143"/>
      <c r="O143"/>
      <c r="P143"/>
      <c r="Q143"/>
      <c r="S143"/>
      <c r="T143"/>
      <c r="U143"/>
      <c r="Y143"/>
    </row>
    <row r="144" spans="3:25" x14ac:dyDescent="0.25">
      <c r="C144" s="194"/>
      <c r="D144"/>
      <c r="E144"/>
      <c r="F144"/>
      <c r="G144"/>
      <c r="H144"/>
      <c r="I144"/>
      <c r="J144"/>
      <c r="K144"/>
      <c r="L144"/>
      <c r="M144"/>
      <c r="N144"/>
      <c r="O144"/>
      <c r="P144"/>
      <c r="Q144"/>
      <c r="S144"/>
      <c r="T144"/>
      <c r="U144"/>
      <c r="Y144"/>
    </row>
    <row r="145" spans="3:25" x14ac:dyDescent="0.25">
      <c r="C145" s="194"/>
      <c r="D145"/>
      <c r="E145"/>
      <c r="F145"/>
      <c r="G145"/>
      <c r="H145"/>
      <c r="I145"/>
      <c r="J145"/>
      <c r="K145"/>
      <c r="L145"/>
      <c r="M145"/>
      <c r="N145"/>
      <c r="O145"/>
      <c r="P145"/>
      <c r="Q145"/>
      <c r="S145"/>
      <c r="T145"/>
      <c r="U145"/>
      <c r="Y145"/>
    </row>
    <row r="146" spans="3:25" x14ac:dyDescent="0.25">
      <c r="C146" s="194"/>
      <c r="D146"/>
      <c r="E146"/>
      <c r="F146"/>
      <c r="G146"/>
      <c r="H146"/>
      <c r="I146"/>
      <c r="J146"/>
      <c r="K146"/>
      <c r="L146"/>
      <c r="M146"/>
      <c r="N146"/>
      <c r="O146"/>
      <c r="P146"/>
      <c r="Q146"/>
      <c r="S146"/>
      <c r="T146"/>
      <c r="U146"/>
      <c r="Y146"/>
    </row>
    <row r="147" spans="3:25" x14ac:dyDescent="0.25">
      <c r="C147" s="194"/>
      <c r="D147"/>
      <c r="E147"/>
      <c r="F147"/>
      <c r="G147"/>
      <c r="H147"/>
      <c r="I147"/>
      <c r="J147"/>
      <c r="K147"/>
      <c r="L147"/>
      <c r="M147"/>
      <c r="N147"/>
      <c r="O147"/>
      <c r="P147"/>
      <c r="Q147"/>
      <c r="S147"/>
      <c r="T147"/>
      <c r="U147"/>
      <c r="Y147"/>
    </row>
    <row r="148" spans="3:25" x14ac:dyDescent="0.25">
      <c r="C148" s="194"/>
      <c r="D148"/>
      <c r="E148"/>
      <c r="F148"/>
      <c r="G148"/>
      <c r="H148"/>
      <c r="I148"/>
      <c r="J148"/>
      <c r="K148"/>
      <c r="L148"/>
      <c r="M148"/>
      <c r="N148"/>
      <c r="O148"/>
      <c r="P148"/>
      <c r="Q148"/>
      <c r="S148"/>
      <c r="T148"/>
      <c r="U148"/>
      <c r="Y148"/>
    </row>
    <row r="149" spans="3:25" x14ac:dyDescent="0.25">
      <c r="C149" s="194"/>
      <c r="D149"/>
      <c r="E149"/>
      <c r="F149"/>
      <c r="G149"/>
      <c r="H149"/>
      <c r="I149"/>
      <c r="J149"/>
      <c r="K149"/>
      <c r="L149"/>
      <c r="M149"/>
      <c r="N149"/>
      <c r="O149"/>
      <c r="P149"/>
      <c r="Q149"/>
      <c r="S149"/>
      <c r="T149"/>
      <c r="U149"/>
      <c r="Y149"/>
    </row>
    <row r="150" spans="3:25" x14ac:dyDescent="0.25">
      <c r="C150" s="194"/>
      <c r="D150"/>
      <c r="E150"/>
      <c r="F150"/>
      <c r="G150"/>
      <c r="H150"/>
      <c r="I150"/>
      <c r="J150"/>
      <c r="K150"/>
      <c r="L150"/>
      <c r="M150"/>
      <c r="N150"/>
      <c r="O150"/>
      <c r="P150"/>
      <c r="Q150"/>
      <c r="S150"/>
      <c r="T150"/>
      <c r="U150"/>
      <c r="Y150"/>
    </row>
    <row r="151" spans="3:25" x14ac:dyDescent="0.25">
      <c r="C151" s="194"/>
      <c r="D151"/>
      <c r="E151"/>
      <c r="F151"/>
      <c r="G151"/>
      <c r="H151"/>
      <c r="I151"/>
      <c r="J151"/>
      <c r="K151"/>
      <c r="L151"/>
      <c r="M151"/>
      <c r="N151"/>
      <c r="O151"/>
      <c r="P151"/>
      <c r="Q151"/>
      <c r="S151"/>
      <c r="T151"/>
      <c r="U151"/>
      <c r="Y151"/>
    </row>
    <row r="152" spans="3:25" x14ac:dyDescent="0.25">
      <c r="C152" s="194"/>
      <c r="D152"/>
      <c r="E152"/>
      <c r="F152"/>
      <c r="G152"/>
      <c r="H152"/>
      <c r="I152"/>
      <c r="J152"/>
      <c r="K152"/>
      <c r="L152"/>
      <c r="M152"/>
      <c r="N152"/>
      <c r="O152"/>
      <c r="P152"/>
      <c r="Q152"/>
      <c r="S152"/>
      <c r="T152"/>
      <c r="U152"/>
      <c r="Y152"/>
    </row>
    <row r="153" spans="3:25" x14ac:dyDescent="0.25">
      <c r="C153" s="194"/>
      <c r="D153"/>
      <c r="E153"/>
      <c r="F153"/>
      <c r="G153"/>
      <c r="H153"/>
      <c r="I153"/>
      <c r="J153"/>
      <c r="K153"/>
      <c r="L153"/>
      <c r="M153"/>
      <c r="N153"/>
      <c r="O153"/>
      <c r="P153"/>
      <c r="Q153"/>
      <c r="S153"/>
      <c r="T153"/>
      <c r="U153"/>
      <c r="Y153"/>
    </row>
    <row r="154" spans="3:25" x14ac:dyDescent="0.25">
      <c r="C154" s="194"/>
      <c r="D154"/>
      <c r="E154"/>
      <c r="F154"/>
      <c r="G154"/>
      <c r="H154"/>
      <c r="I154"/>
      <c r="J154"/>
      <c r="K154"/>
      <c r="L154"/>
      <c r="M154"/>
      <c r="N154"/>
      <c r="O154"/>
      <c r="P154"/>
      <c r="Q154"/>
      <c r="S154"/>
      <c r="T154"/>
      <c r="U154"/>
      <c r="Y154"/>
    </row>
    <row r="155" spans="3:25" x14ac:dyDescent="0.25">
      <c r="C155" s="194"/>
      <c r="D155"/>
      <c r="E155"/>
      <c r="F155"/>
      <c r="G155"/>
      <c r="H155"/>
      <c r="I155"/>
      <c r="J155"/>
      <c r="K155"/>
      <c r="L155"/>
      <c r="M155"/>
      <c r="N155"/>
      <c r="O155"/>
      <c r="P155"/>
      <c r="Q155"/>
      <c r="S155"/>
      <c r="T155"/>
      <c r="U155"/>
      <c r="Y155"/>
    </row>
    <row r="156" spans="3:25" x14ac:dyDescent="0.25">
      <c r="C156" s="194"/>
      <c r="D156"/>
      <c r="E156"/>
      <c r="F156"/>
      <c r="G156"/>
      <c r="H156"/>
      <c r="I156"/>
      <c r="J156"/>
      <c r="K156"/>
      <c r="L156"/>
      <c r="M156"/>
      <c r="N156"/>
      <c r="O156"/>
      <c r="P156"/>
      <c r="Q156"/>
      <c r="S156"/>
      <c r="T156"/>
      <c r="U156"/>
      <c r="Y156"/>
    </row>
    <row r="157" spans="3:25" x14ac:dyDescent="0.25">
      <c r="C157" s="194"/>
      <c r="D157"/>
      <c r="E157"/>
      <c r="F157"/>
      <c r="G157"/>
      <c r="H157"/>
      <c r="I157"/>
      <c r="J157"/>
      <c r="K157"/>
      <c r="L157"/>
      <c r="M157"/>
      <c r="N157"/>
      <c r="O157"/>
      <c r="P157"/>
      <c r="Q157"/>
      <c r="S157"/>
      <c r="T157"/>
      <c r="U157"/>
      <c r="Y157"/>
    </row>
    <row r="158" spans="3:25" x14ac:dyDescent="0.25">
      <c r="C158" s="194"/>
      <c r="D158"/>
      <c r="E158"/>
      <c r="F158"/>
      <c r="G158"/>
      <c r="H158"/>
      <c r="I158"/>
      <c r="J158"/>
      <c r="K158"/>
      <c r="L158"/>
      <c r="M158"/>
      <c r="N158"/>
      <c r="O158"/>
      <c r="P158"/>
      <c r="Q158"/>
      <c r="S158"/>
      <c r="T158"/>
      <c r="U158"/>
      <c r="Y158"/>
    </row>
    <row r="159" spans="3:25" x14ac:dyDescent="0.25">
      <c r="C159" s="194"/>
      <c r="D159"/>
      <c r="E159"/>
      <c r="F159"/>
      <c r="G159"/>
      <c r="H159"/>
      <c r="I159"/>
      <c r="J159"/>
      <c r="K159"/>
      <c r="L159"/>
      <c r="M159"/>
      <c r="N159"/>
      <c r="O159"/>
      <c r="P159"/>
      <c r="Q159"/>
      <c r="S159"/>
      <c r="T159"/>
      <c r="U159"/>
      <c r="Y159"/>
    </row>
  </sheetData>
  <phoneticPr fontId="0" type="noConversion"/>
  <hyperlinks>
    <hyperlink ref="A1" location="'Working Budget with funding det'!A1" display="Main " xr:uid="{00000000-0004-0000-1E00-000000000000}"/>
    <hyperlink ref="B1" location="'Table of Contents'!A1" display="TOC" xr:uid="{00000000-0004-0000-1E00-000001000000}"/>
  </hyperlinks>
  <pageMargins left="0.75" right="0.75" top="1" bottom="1" header="0.5" footer="0.5"/>
  <pageSetup scale="91" orientation="landscape" horizontalDpi="300" verticalDpi="300" r:id="rId1"/>
  <headerFooter alignWithMargins="0">
    <oddFooter>&amp;L&amp;D     &amp;T&amp;C&amp;F&amp;R&amp;A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Y168"/>
  <sheetViews>
    <sheetView workbookViewId="0">
      <selection activeCell="S36" sqref="S36"/>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1008</v>
      </c>
      <c r="B2" s="43"/>
      <c r="D2" s="194"/>
      <c r="E2" s="125"/>
      <c r="F2" s="194"/>
      <c r="G2" s="194"/>
      <c r="H2" s="194"/>
      <c r="I2" s="125" t="s">
        <v>706</v>
      </c>
      <c r="J2" s="125"/>
      <c r="K2" s="125"/>
      <c r="L2" s="125"/>
      <c r="M2" s="125"/>
      <c r="N2" s="125"/>
      <c r="O2" s="125"/>
      <c r="P2" s="125"/>
      <c r="Q2" s="125"/>
      <c r="R2" s="58" t="s">
        <v>538</v>
      </c>
      <c r="U2" s="44" t="s">
        <v>1122</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9"/>
      <c r="J8" s="19"/>
      <c r="K8" s="19"/>
      <c r="L8" s="19"/>
      <c r="M8" s="19"/>
      <c r="N8" s="19"/>
      <c r="O8" s="19"/>
      <c r="P8" s="19"/>
      <c r="Q8" s="19"/>
      <c r="R8" s="18"/>
      <c r="S8" s="19"/>
      <c r="T8" s="19"/>
      <c r="U8" s="19"/>
    </row>
    <row r="9" spans="1:24" ht="13.8" thickBot="1" x14ac:dyDescent="0.3">
      <c r="A9" s="708">
        <v>5114</v>
      </c>
      <c r="B9" s="60" t="s">
        <v>1123</v>
      </c>
      <c r="C9" s="115">
        <v>1584</v>
      </c>
      <c r="D9" s="13">
        <v>1631</v>
      </c>
      <c r="E9" s="13">
        <v>1631</v>
      </c>
      <c r="F9" s="15">
        <v>1631</v>
      </c>
      <c r="G9" s="15">
        <v>1631</v>
      </c>
      <c r="H9" s="15">
        <v>1631</v>
      </c>
      <c r="I9" s="15">
        <v>1631</v>
      </c>
      <c r="J9" s="15">
        <v>1710</v>
      </c>
      <c r="K9" s="16">
        <v>1710</v>
      </c>
      <c r="L9" s="15">
        <v>1710</v>
      </c>
      <c r="M9" s="16">
        <v>1710</v>
      </c>
      <c r="N9" s="15">
        <v>1710</v>
      </c>
      <c r="O9" s="16">
        <v>1710</v>
      </c>
      <c r="P9" s="16">
        <v>1710</v>
      </c>
      <c r="Q9" s="16">
        <v>1710</v>
      </c>
      <c r="R9" s="15">
        <v>0</v>
      </c>
      <c r="S9" s="16">
        <v>1882</v>
      </c>
      <c r="T9" s="16"/>
      <c r="U9" s="16"/>
    </row>
    <row r="10" spans="1:24" x14ac:dyDescent="0.25">
      <c r="A10" s="708"/>
      <c r="B10" s="61" t="s">
        <v>718</v>
      </c>
      <c r="C10" s="117">
        <f t="shared" ref="C10:U10" si="0">SUM(C9:C9)</f>
        <v>1584</v>
      </c>
      <c r="D10" s="18">
        <f t="shared" si="0"/>
        <v>1631</v>
      </c>
      <c r="E10" s="18">
        <f t="shared" si="0"/>
        <v>1631</v>
      </c>
      <c r="F10" s="18">
        <f t="shared" si="0"/>
        <v>1631</v>
      </c>
      <c r="G10" s="18">
        <f t="shared" si="0"/>
        <v>1631</v>
      </c>
      <c r="H10" s="18">
        <f>SUM(H9:H9)</f>
        <v>1631</v>
      </c>
      <c r="I10" s="18">
        <f t="shared" si="0"/>
        <v>1631</v>
      </c>
      <c r="J10" s="18">
        <f t="shared" ref="J10" si="1">SUM(J9:J9)</f>
        <v>1710</v>
      </c>
      <c r="K10" s="19">
        <f t="shared" ref="K10:Q10" si="2">SUM(K9:K9)</f>
        <v>1710</v>
      </c>
      <c r="L10" s="18">
        <f t="shared" si="2"/>
        <v>1710</v>
      </c>
      <c r="M10" s="19">
        <f t="shared" si="2"/>
        <v>1710</v>
      </c>
      <c r="N10" s="18">
        <f t="shared" ref="N10" si="3">SUM(N9:N9)</f>
        <v>1710</v>
      </c>
      <c r="O10" s="19">
        <f t="shared" si="2"/>
        <v>1710</v>
      </c>
      <c r="P10" s="19">
        <f t="shared" si="2"/>
        <v>1710</v>
      </c>
      <c r="Q10" s="19">
        <f t="shared" si="2"/>
        <v>1710</v>
      </c>
      <c r="R10" s="18">
        <f t="shared" si="0"/>
        <v>0</v>
      </c>
      <c r="S10" s="19">
        <f t="shared" si="0"/>
        <v>1882</v>
      </c>
      <c r="T10" s="19"/>
      <c r="U10" s="19">
        <f t="shared" si="0"/>
        <v>0</v>
      </c>
    </row>
    <row r="11" spans="1:24" x14ac:dyDescent="0.25">
      <c r="A11" s="708"/>
      <c r="B11" s="60"/>
      <c r="C11" s="115"/>
      <c r="D11" s="13"/>
      <c r="E11" s="13"/>
      <c r="F11" s="13"/>
      <c r="G11" s="13"/>
      <c r="H11" s="13"/>
      <c r="I11" s="13"/>
      <c r="J11" s="13"/>
      <c r="K11" s="14"/>
      <c r="L11" s="13"/>
      <c r="M11" s="14"/>
      <c r="N11" s="13"/>
      <c r="O11" s="14"/>
      <c r="P11" s="14"/>
      <c r="Q11" s="14"/>
      <c r="R11" s="13"/>
      <c r="S11" s="14"/>
      <c r="T11" s="14"/>
      <c r="U11" s="14"/>
    </row>
    <row r="12" spans="1:24" ht="13.8" thickBot="1" x14ac:dyDescent="0.3">
      <c r="A12" s="709"/>
      <c r="B12" s="583" t="s">
        <v>887</v>
      </c>
      <c r="C12" s="577">
        <f t="shared" ref="C12:S12" si="4">+C10</f>
        <v>1584</v>
      </c>
      <c r="D12" s="21">
        <f t="shared" si="4"/>
        <v>1631</v>
      </c>
      <c r="E12" s="21">
        <f t="shared" si="4"/>
        <v>1631</v>
      </c>
      <c r="F12" s="21">
        <f t="shared" si="4"/>
        <v>1631</v>
      </c>
      <c r="G12" s="21">
        <f t="shared" si="4"/>
        <v>1631</v>
      </c>
      <c r="H12" s="21">
        <f t="shared" si="4"/>
        <v>1631</v>
      </c>
      <c r="I12" s="21">
        <f t="shared" si="4"/>
        <v>1631</v>
      </c>
      <c r="J12" s="21">
        <f t="shared" ref="J12" si="5">+J10</f>
        <v>1710</v>
      </c>
      <c r="K12" s="22">
        <f t="shared" ref="K12:Q12" si="6">+K10</f>
        <v>1710</v>
      </c>
      <c r="L12" s="21">
        <f t="shared" si="6"/>
        <v>1710</v>
      </c>
      <c r="M12" s="22">
        <f t="shared" si="6"/>
        <v>1710</v>
      </c>
      <c r="N12" s="21">
        <f t="shared" ref="N12" si="7">+N10</f>
        <v>1710</v>
      </c>
      <c r="O12" s="22">
        <f t="shared" si="6"/>
        <v>1710</v>
      </c>
      <c r="P12" s="22">
        <f t="shared" si="6"/>
        <v>1710</v>
      </c>
      <c r="Q12" s="22">
        <f t="shared" si="6"/>
        <v>1710</v>
      </c>
      <c r="R12" s="22">
        <f t="shared" si="4"/>
        <v>0</v>
      </c>
      <c r="S12" s="22">
        <f t="shared" si="4"/>
        <v>1882</v>
      </c>
      <c r="T12" s="22">
        <f>+S12</f>
        <v>1882</v>
      </c>
      <c r="U12" s="22">
        <f>+S12</f>
        <v>1882</v>
      </c>
    </row>
    <row r="13" spans="1:24" ht="13.8" thickTop="1" x14ac:dyDescent="0.25">
      <c r="A13" s="703"/>
      <c r="B13" s="584"/>
      <c r="C13" s="24"/>
      <c r="D13" s="24"/>
      <c r="E13" s="24"/>
      <c r="F13" s="24"/>
      <c r="G13" s="24"/>
      <c r="H13" s="24"/>
      <c r="I13" s="24"/>
      <c r="J13" s="24"/>
      <c r="K13" s="24"/>
      <c r="L13" s="24"/>
      <c r="M13" s="24"/>
      <c r="N13" s="24"/>
      <c r="O13" s="24"/>
      <c r="P13" s="24"/>
      <c r="Q13" s="24"/>
      <c r="R13" s="181" t="s">
        <v>732</v>
      </c>
      <c r="S13" s="1001">
        <f>+S12-Q12</f>
        <v>172</v>
      </c>
      <c r="T13" s="1002">
        <f>ROUND((+S13/Q12),4)</f>
        <v>0.10059999999999999</v>
      </c>
      <c r="U13" s="24"/>
      <c r="V13" s="25"/>
      <c r="W13" s="25"/>
      <c r="X13" s="25"/>
    </row>
    <row r="14" spans="1:24" ht="13.8" thickBot="1" x14ac:dyDescent="0.3">
      <c r="A14" s="703"/>
      <c r="B14" s="584"/>
      <c r="C14" s="23"/>
      <c r="D14" s="23"/>
      <c r="E14" s="23"/>
      <c r="F14" s="23"/>
      <c r="G14" s="23"/>
      <c r="H14" s="23"/>
      <c r="I14" s="23"/>
      <c r="J14" s="23"/>
      <c r="K14" s="23"/>
      <c r="L14" s="23"/>
      <c r="M14" s="23"/>
      <c r="N14" s="23"/>
      <c r="O14" s="23"/>
      <c r="P14" s="23"/>
      <c r="Q14" s="23"/>
      <c r="R14" s="25"/>
      <c r="S14" s="23"/>
      <c r="T14" s="23"/>
      <c r="U14" s="25"/>
      <c r="V14" s="25"/>
      <c r="W14" s="25"/>
      <c r="X14" s="25"/>
    </row>
    <row r="15" spans="1:24" ht="13.8" thickTop="1" x14ac:dyDescent="0.25">
      <c r="A15" s="718"/>
      <c r="B15" s="585"/>
      <c r="C15" s="578" t="s">
        <v>256</v>
      </c>
      <c r="D15" s="351" t="s">
        <v>256</v>
      </c>
      <c r="E15" s="351" t="s">
        <v>256</v>
      </c>
      <c r="F15" s="194"/>
      <c r="G15" s="354"/>
      <c r="H15" s="194"/>
      <c r="I15" s="194"/>
      <c r="J15" s="194"/>
      <c r="K15" s="194"/>
      <c r="L15" s="194"/>
      <c r="O15" s="352" t="s">
        <v>255</v>
      </c>
      <c r="P15" s="353" t="s">
        <v>716</v>
      </c>
      <c r="Q15" s="354" t="s">
        <v>730</v>
      </c>
      <c r="R15" s="353" t="s">
        <v>731</v>
      </c>
      <c r="S15" s="355"/>
      <c r="T15" s="550"/>
      <c r="U15" s="354"/>
      <c r="V15" s="25"/>
      <c r="W15" s="25"/>
      <c r="X15" s="25"/>
    </row>
    <row r="16" spans="1:24" ht="13.8" thickBot="1" x14ac:dyDescent="0.3">
      <c r="A16" s="719" t="s">
        <v>715</v>
      </c>
      <c r="B16" s="356"/>
      <c r="C16" s="403" t="s">
        <v>243</v>
      </c>
      <c r="D16" s="357" t="s">
        <v>244</v>
      </c>
      <c r="E16" s="358" t="s">
        <v>245</v>
      </c>
      <c r="F16" s="194"/>
      <c r="G16" s="359"/>
      <c r="H16" s="194"/>
      <c r="I16" s="194"/>
      <c r="J16" s="194"/>
      <c r="K16" s="194"/>
      <c r="L16" s="194"/>
      <c r="O16" s="359" t="s">
        <v>469</v>
      </c>
      <c r="P16" s="359" t="s">
        <v>1345</v>
      </c>
      <c r="Q16" s="358" t="s">
        <v>732</v>
      </c>
      <c r="R16" s="360" t="s">
        <v>732</v>
      </c>
      <c r="S16" s="361" t="s">
        <v>733</v>
      </c>
      <c r="T16" s="551"/>
      <c r="U16" s="359"/>
      <c r="V16" s="25"/>
      <c r="W16" s="25"/>
      <c r="X16" s="25"/>
    </row>
    <row r="17" spans="1:24" ht="13.8" thickTop="1" x14ac:dyDescent="0.25">
      <c r="A17" s="726"/>
      <c r="B17" s="400"/>
      <c r="C17" s="408"/>
      <c r="D17" s="365"/>
      <c r="E17" s="365"/>
      <c r="F17" s="194"/>
      <c r="G17" s="368"/>
      <c r="H17" s="194"/>
      <c r="I17" s="194"/>
      <c r="J17" s="194"/>
      <c r="K17" s="194"/>
      <c r="L17" s="194"/>
      <c r="O17" s="366"/>
      <c r="P17" s="385"/>
      <c r="Q17" s="386"/>
      <c r="R17" s="384"/>
      <c r="S17" s="367"/>
      <c r="T17" s="553"/>
      <c r="U17" s="368"/>
      <c r="V17" s="25"/>
      <c r="W17" s="25"/>
      <c r="X17" s="25"/>
    </row>
    <row r="18" spans="1:24" x14ac:dyDescent="0.25">
      <c r="A18" s="724">
        <v>5114</v>
      </c>
      <c r="B18" s="397" t="s">
        <v>1123</v>
      </c>
      <c r="C18" s="411">
        <v>1584</v>
      </c>
      <c r="D18" s="373">
        <v>1631</v>
      </c>
      <c r="E18" s="373">
        <v>1631</v>
      </c>
      <c r="F18" s="194"/>
      <c r="G18" s="368"/>
      <c r="H18" s="194"/>
      <c r="I18" s="194"/>
      <c r="J18" s="194"/>
      <c r="K18" s="194"/>
      <c r="L18" s="194"/>
      <c r="O18" s="372">
        <f>+Q9</f>
        <v>1710</v>
      </c>
      <c r="P18" s="373">
        <f>+S9</f>
        <v>1882</v>
      </c>
      <c r="Q18" s="368">
        <f>+P18-O18</f>
        <v>172</v>
      </c>
      <c r="R18" s="374">
        <f>IF(O18+P18&lt;&gt;0,IF(O18&lt;&gt;0,IF(Q18&lt;&gt;0,ROUND((+Q18/O18),4),""),1),"")</f>
        <v>0.10059999999999999</v>
      </c>
      <c r="S18" s="367"/>
      <c r="T18" s="553"/>
      <c r="U18" s="368"/>
      <c r="V18" s="25"/>
      <c r="W18" s="25"/>
      <c r="X18" s="25"/>
    </row>
    <row r="19" spans="1:24" x14ac:dyDescent="0.25">
      <c r="A19" s="703"/>
      <c r="B19" s="4"/>
      <c r="C19" s="23"/>
      <c r="D19" s="23"/>
      <c r="E19" s="23"/>
      <c r="F19" s="23"/>
      <c r="G19" s="23"/>
      <c r="H19" s="194"/>
      <c r="I19" s="194"/>
      <c r="J19" s="194"/>
      <c r="K19" s="194"/>
      <c r="L19" s="194"/>
      <c r="O19" s="23"/>
      <c r="P19" s="23"/>
      <c r="Q19" s="23"/>
      <c r="R19" s="25"/>
      <c r="S19" s="23"/>
      <c r="T19" s="23"/>
      <c r="U19" s="23"/>
      <c r="V19" s="25"/>
      <c r="W19" s="25"/>
      <c r="X19" s="25"/>
    </row>
    <row r="20" spans="1:24" x14ac:dyDescent="0.25">
      <c r="A20" s="703"/>
      <c r="B20" s="4" t="s">
        <v>735</v>
      </c>
      <c r="C20" s="23"/>
      <c r="D20" s="23"/>
      <c r="E20" s="23"/>
      <c r="F20" s="23"/>
      <c r="G20" s="23"/>
      <c r="H20" s="194"/>
      <c r="I20" s="194"/>
      <c r="J20" s="194"/>
      <c r="K20" s="194"/>
      <c r="L20" s="194"/>
      <c r="O20" s="597">
        <f>SUM(O18:O19)</f>
        <v>1710</v>
      </c>
      <c r="P20" s="597">
        <f>SUM(P18:P19)</f>
        <v>1882</v>
      </c>
      <c r="Q20" s="25">
        <f>+P20-O20</f>
        <v>172</v>
      </c>
      <c r="R20" s="598">
        <f>IF(O20+P20&lt;&gt;0,IF(O20&lt;&gt;0,IF(Q20&lt;&gt;0,ROUND((+Q20/O20),4),""),1),"")</f>
        <v>0.10059999999999999</v>
      </c>
      <c r="S20" s="23"/>
      <c r="T20" s="23"/>
      <c r="U20" s="23"/>
      <c r="V20" s="25"/>
      <c r="W20" s="25"/>
      <c r="X20" s="25"/>
    </row>
    <row r="21" spans="1:24" x14ac:dyDescent="0.25">
      <c r="A21" s="703"/>
      <c r="B21" s="4"/>
      <c r="C21" s="23"/>
      <c r="D21" s="23"/>
      <c r="E21" s="23"/>
      <c r="F21" s="23"/>
      <c r="G21" s="23"/>
      <c r="H21" s="23"/>
      <c r="I21" s="23"/>
      <c r="J21" s="23"/>
      <c r="K21" s="23"/>
      <c r="L21" s="23"/>
      <c r="M21" s="23"/>
      <c r="N21" s="23"/>
      <c r="O21" s="23"/>
      <c r="P21" s="23"/>
      <c r="Q21" s="23"/>
      <c r="R21" s="25"/>
      <c r="S21" s="23"/>
      <c r="T21" s="23"/>
      <c r="U21" s="23"/>
      <c r="V21" s="25"/>
      <c r="W21" s="25"/>
      <c r="X21" s="25"/>
    </row>
    <row r="22" spans="1:24" x14ac:dyDescent="0.25">
      <c r="A22" s="703"/>
      <c r="B22" s="4"/>
      <c r="C22" s="23"/>
      <c r="D22" s="23"/>
      <c r="E22" s="23"/>
      <c r="F22" s="23"/>
      <c r="G22" s="23"/>
      <c r="H22" s="23"/>
      <c r="I22" s="23"/>
      <c r="J22" s="23"/>
      <c r="K22" s="23"/>
      <c r="L22" s="23"/>
      <c r="M22" s="23"/>
      <c r="N22" s="23"/>
      <c r="O22" s="23"/>
      <c r="P22" s="23"/>
      <c r="Q22" s="23"/>
      <c r="R22" s="25"/>
      <c r="S22" s="23"/>
      <c r="T22" s="23"/>
      <c r="U22" s="23"/>
      <c r="V22" s="25"/>
      <c r="W22" s="25"/>
      <c r="X22" s="25"/>
    </row>
    <row r="23" spans="1:24" x14ac:dyDescent="0.25">
      <c r="A23" s="703"/>
      <c r="B23" s="4"/>
      <c r="C23" s="23"/>
      <c r="D23" s="23"/>
      <c r="E23" s="23"/>
      <c r="F23" s="23"/>
      <c r="G23" s="23"/>
      <c r="H23" s="23"/>
      <c r="I23" s="23"/>
      <c r="J23" s="23"/>
      <c r="K23" s="23"/>
      <c r="L23" s="23"/>
      <c r="M23" s="23"/>
      <c r="N23" s="23"/>
      <c r="O23" s="23"/>
      <c r="P23" s="23"/>
      <c r="Q23" s="23"/>
      <c r="R23" s="25"/>
      <c r="S23" s="23"/>
      <c r="T23" s="23"/>
      <c r="U23" s="23"/>
      <c r="V23" s="25"/>
      <c r="W23" s="25"/>
      <c r="X23" s="25"/>
    </row>
    <row r="24" spans="1:24" x14ac:dyDescent="0.25">
      <c r="A24" s="703"/>
      <c r="B24" s="4"/>
      <c r="C24" s="23"/>
      <c r="D24" s="23"/>
      <c r="E24" s="23"/>
      <c r="F24" s="23"/>
      <c r="G24" s="23"/>
      <c r="H24" s="23"/>
      <c r="I24" s="23"/>
      <c r="J24" s="23"/>
      <c r="K24" s="23"/>
      <c r="L24" s="23"/>
      <c r="M24" s="23"/>
      <c r="N24" s="23"/>
      <c r="O24" s="23"/>
      <c r="P24" s="23"/>
      <c r="Q24" s="23"/>
      <c r="R24" s="25"/>
      <c r="S24" s="23"/>
      <c r="T24" s="23"/>
      <c r="U24" s="23"/>
      <c r="V24" s="25"/>
      <c r="W24" s="25"/>
      <c r="X24" s="25"/>
    </row>
    <row r="25" spans="1:24" x14ac:dyDescent="0.25">
      <c r="A25" s="703"/>
      <c r="B25" s="4"/>
      <c r="C25" s="23"/>
      <c r="D25" s="23"/>
      <c r="E25" s="23"/>
      <c r="F25" s="23"/>
      <c r="G25" s="23"/>
      <c r="H25" s="23"/>
      <c r="I25" s="23"/>
      <c r="J25" s="23"/>
      <c r="K25" s="23"/>
      <c r="L25" s="23"/>
      <c r="M25" s="23"/>
      <c r="N25" s="23"/>
      <c r="O25" s="23"/>
      <c r="P25" s="23"/>
      <c r="Q25" s="23"/>
      <c r="R25" s="25"/>
      <c r="S25" s="23"/>
      <c r="T25" s="23"/>
      <c r="U25" s="23"/>
      <c r="V25" s="25"/>
      <c r="W25" s="25"/>
      <c r="X25" s="25"/>
    </row>
    <row r="26" spans="1:24" x14ac:dyDescent="0.25">
      <c r="A26" s="703"/>
      <c r="B26" s="4"/>
      <c r="C26" s="23"/>
      <c r="D26" s="23"/>
      <c r="E26" s="23"/>
      <c r="F26" s="23"/>
      <c r="G26" s="23"/>
      <c r="H26" s="23"/>
      <c r="I26" s="23"/>
      <c r="J26" s="23"/>
      <c r="K26" s="23"/>
      <c r="L26" s="23"/>
      <c r="M26" s="23"/>
      <c r="N26" s="23"/>
      <c r="O26" s="23"/>
      <c r="P26" s="23"/>
      <c r="Q26" s="23"/>
      <c r="R26" s="25"/>
      <c r="S26" s="23"/>
      <c r="T26" s="23"/>
      <c r="U26" s="23"/>
      <c r="V26" s="25"/>
      <c r="W26" s="25"/>
      <c r="X26" s="25"/>
    </row>
    <row r="27" spans="1:24" x14ac:dyDescent="0.25">
      <c r="A27" s="703"/>
      <c r="B27" s="4"/>
      <c r="C27" s="23"/>
      <c r="D27" s="23"/>
      <c r="E27" s="23"/>
      <c r="F27" s="23"/>
      <c r="G27" s="23"/>
      <c r="H27" s="23"/>
      <c r="I27" s="23"/>
      <c r="J27" s="23"/>
      <c r="K27" s="23"/>
      <c r="L27" s="23"/>
      <c r="M27" s="23"/>
      <c r="N27" s="23"/>
      <c r="O27" s="23"/>
      <c r="P27" s="23"/>
      <c r="Q27" s="23"/>
      <c r="R27" s="25"/>
      <c r="S27" s="23"/>
      <c r="T27" s="23"/>
      <c r="U27" s="23"/>
      <c r="V27" s="25"/>
      <c r="W27" s="25"/>
      <c r="X27" s="25"/>
    </row>
    <row r="28" spans="1:24" x14ac:dyDescent="0.25">
      <c r="A28" s="703"/>
      <c r="B28" s="4"/>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5">
      <c r="A29" s="703"/>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5">
      <c r="A30" s="703"/>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5">
      <c r="A31" s="703"/>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5">
      <c r="A32" s="703"/>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5">
      <c r="A33" s="703"/>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5">
      <c r="A34" s="703"/>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5">
      <c r="A35" s="703"/>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5">
      <c r="A36" s="703"/>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5">
      <c r="A37" s="703"/>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5">
      <c r="A38" s="703"/>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5">
      <c r="A39" s="703"/>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5">
      <c r="A40" s="703"/>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5">
      <c r="A41" s="703"/>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5">
      <c r="A44" s="703"/>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5">
      <c r="A45" s="703"/>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5">
      <c r="A46" s="703"/>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5">
      <c r="A47" s="703"/>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5">
      <c r="A48" s="703"/>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5">
      <c r="A49" s="703"/>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5">
      <c r="A50" s="703"/>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5">
      <c r="A51" s="703"/>
      <c r="B51" s="4"/>
      <c r="C51" s="23"/>
      <c r="D51" s="23"/>
      <c r="E51" s="23"/>
      <c r="F51" s="23"/>
      <c r="G51" s="23"/>
      <c r="H51" s="23"/>
      <c r="I51" s="23"/>
      <c r="J51" s="23"/>
      <c r="K51" s="23"/>
      <c r="L51" s="23"/>
      <c r="M51" s="23"/>
      <c r="N51" s="23"/>
      <c r="O51" s="23"/>
      <c r="P51" s="23"/>
      <c r="Q51" s="23"/>
      <c r="R51" s="4"/>
      <c r="S51" s="23"/>
      <c r="T51" s="23"/>
      <c r="U51" s="23"/>
      <c r="V51" s="4"/>
      <c r="W51" s="4"/>
      <c r="X51" s="4"/>
    </row>
    <row r="52" spans="1:24" x14ac:dyDescent="0.25">
      <c r="A52" s="703"/>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5">
      <c r="A53" s="703"/>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5">
      <c r="A54" s="703"/>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5">
      <c r="A55" s="703"/>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5">
      <c r="A56" s="703"/>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5">
      <c r="A57" s="703"/>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5">
      <c r="A58" s="703"/>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5">
      <c r="A59" s="703"/>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5">
      <c r="A60" s="703"/>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5">
      <c r="A61" s="703"/>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5">
      <c r="A62" s="703"/>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5">
      <c r="A63" s="703"/>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5">
      <c r="A64" s="703"/>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5">
      <c r="A65" s="703"/>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5">
      <c r="A66" s="703"/>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5">
      <c r="A67" s="703"/>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5">
      <c r="A68" s="703"/>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5">
      <c r="A69" s="703"/>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5">
      <c r="A70" s="703"/>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5">
      <c r="A71" s="703"/>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5">
      <c r="A72" s="703"/>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5">
      <c r="A73" s="703"/>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C117" s="194"/>
      <c r="D117" s="194"/>
      <c r="E117" s="194"/>
      <c r="F117" s="194"/>
      <c r="G117" s="194"/>
      <c r="H117" s="194"/>
      <c r="I117" s="194"/>
      <c r="J117" s="194"/>
      <c r="K117" s="194"/>
      <c r="L117" s="194"/>
      <c r="M117" s="194"/>
      <c r="N117" s="194"/>
      <c r="O117" s="194"/>
      <c r="P117" s="194"/>
      <c r="Q117" s="194"/>
    </row>
    <row r="118" spans="1:24" x14ac:dyDescent="0.25">
      <c r="C118" s="194"/>
      <c r="D118" s="194"/>
      <c r="E118" s="194"/>
      <c r="F118" s="194"/>
      <c r="G118" s="194"/>
      <c r="H118" s="194"/>
      <c r="I118" s="194"/>
      <c r="J118" s="194"/>
      <c r="K118" s="194"/>
      <c r="L118" s="194"/>
      <c r="M118" s="194"/>
      <c r="N118" s="194"/>
      <c r="O118" s="194"/>
      <c r="P118" s="194"/>
      <c r="Q118" s="194"/>
    </row>
    <row r="119" spans="1:24" x14ac:dyDescent="0.25">
      <c r="C119" s="194"/>
      <c r="D119" s="194"/>
      <c r="E119" s="194"/>
      <c r="F119" s="194"/>
      <c r="G119" s="194"/>
      <c r="H119" s="194"/>
      <c r="I119" s="194"/>
      <c r="J119" s="194"/>
      <c r="K119" s="194"/>
      <c r="L119" s="194"/>
      <c r="M119" s="194"/>
      <c r="N119" s="194"/>
      <c r="O119" s="194"/>
      <c r="P119" s="194"/>
      <c r="Q119" s="194"/>
    </row>
    <row r="120" spans="1:24" x14ac:dyDescent="0.25">
      <c r="C120" s="194"/>
      <c r="D120" s="194"/>
      <c r="E120" s="194"/>
      <c r="F120" s="194"/>
      <c r="G120" s="194"/>
      <c r="H120" s="194"/>
      <c r="I120" s="194"/>
      <c r="J120" s="194"/>
      <c r="K120" s="194"/>
      <c r="L120" s="194"/>
      <c r="M120" s="194"/>
      <c r="N120" s="194"/>
      <c r="O120" s="194"/>
      <c r="P120" s="194"/>
      <c r="Q120" s="194"/>
    </row>
    <row r="121" spans="1:24" x14ac:dyDescent="0.25">
      <c r="C121" s="194"/>
      <c r="D121" s="194"/>
      <c r="E121" s="194"/>
      <c r="F121" s="194"/>
      <c r="G121" s="194"/>
      <c r="H121" s="194"/>
      <c r="I121" s="194"/>
      <c r="J121" s="194"/>
      <c r="K121" s="194"/>
      <c r="L121" s="194"/>
      <c r="M121" s="194"/>
      <c r="N121" s="194"/>
      <c r="O121" s="194"/>
      <c r="P121" s="194"/>
      <c r="Q121" s="194"/>
    </row>
    <row r="122" spans="1:24" x14ac:dyDescent="0.25">
      <c r="C122" s="194"/>
      <c r="D122" s="194"/>
      <c r="E122" s="194"/>
      <c r="F122" s="194"/>
      <c r="G122" s="194"/>
      <c r="H122" s="194"/>
      <c r="I122" s="194"/>
      <c r="J122" s="194"/>
      <c r="K122" s="194"/>
      <c r="L122" s="194"/>
      <c r="M122" s="194"/>
      <c r="N122" s="194"/>
      <c r="O122" s="194"/>
      <c r="P122" s="194"/>
      <c r="Q122" s="194"/>
    </row>
    <row r="123" spans="1:24" x14ac:dyDescent="0.25">
      <c r="C123" s="194"/>
      <c r="D123" s="194"/>
      <c r="E123" s="194"/>
      <c r="F123" s="194"/>
      <c r="G123" s="194"/>
      <c r="H123" s="194"/>
      <c r="I123" s="194"/>
      <c r="J123" s="194"/>
      <c r="K123" s="194"/>
      <c r="L123" s="194"/>
      <c r="M123" s="194"/>
      <c r="N123" s="194"/>
      <c r="O123" s="194"/>
      <c r="P123" s="194"/>
      <c r="Q123" s="194"/>
    </row>
    <row r="124" spans="1:24" x14ac:dyDescent="0.25">
      <c r="C124" s="194"/>
      <c r="D124" s="194"/>
      <c r="E124" s="194"/>
      <c r="F124" s="194"/>
      <c r="G124" s="194"/>
      <c r="H124" s="194"/>
      <c r="I124" s="194"/>
      <c r="J124" s="194"/>
      <c r="K124" s="194"/>
      <c r="L124" s="194"/>
      <c r="M124" s="194"/>
      <c r="N124" s="194"/>
      <c r="O124" s="194"/>
      <c r="P124" s="194"/>
      <c r="Q124" s="194"/>
    </row>
    <row r="125" spans="1:24" x14ac:dyDescent="0.25">
      <c r="C125" s="194"/>
      <c r="D125" s="194"/>
      <c r="E125" s="194"/>
      <c r="F125" s="194"/>
      <c r="G125" s="194"/>
      <c r="H125" s="194"/>
      <c r="I125" s="194"/>
      <c r="J125" s="194"/>
      <c r="K125" s="194"/>
      <c r="L125" s="194"/>
      <c r="M125" s="194"/>
      <c r="N125" s="194"/>
      <c r="O125" s="194"/>
      <c r="P125" s="194"/>
      <c r="Q125" s="194"/>
    </row>
    <row r="126" spans="1:24" x14ac:dyDescent="0.25">
      <c r="C126" s="194"/>
      <c r="D126" s="194"/>
      <c r="E126" s="194"/>
      <c r="F126" s="194"/>
      <c r="G126" s="194"/>
      <c r="H126" s="194"/>
      <c r="I126" s="194"/>
      <c r="J126" s="194"/>
      <c r="K126" s="194"/>
      <c r="L126" s="194"/>
      <c r="M126" s="194"/>
      <c r="N126" s="194"/>
      <c r="O126" s="194"/>
      <c r="P126" s="194"/>
      <c r="Q126" s="194"/>
    </row>
    <row r="127" spans="1:24" x14ac:dyDescent="0.25">
      <c r="C127" s="194"/>
      <c r="D127" s="194"/>
      <c r="E127" s="194"/>
      <c r="F127" s="194"/>
      <c r="G127" s="194"/>
      <c r="H127" s="194"/>
      <c r="I127" s="194"/>
      <c r="J127" s="194"/>
      <c r="K127" s="194"/>
      <c r="L127" s="194"/>
      <c r="M127" s="194"/>
      <c r="N127" s="194"/>
      <c r="O127" s="194"/>
      <c r="P127" s="194"/>
      <c r="Q127" s="194"/>
    </row>
    <row r="128" spans="1:24" x14ac:dyDescent="0.25">
      <c r="C128" s="194"/>
      <c r="D128" s="194"/>
      <c r="E128" s="194"/>
      <c r="F128" s="194"/>
      <c r="G128" s="194"/>
      <c r="H128" s="194"/>
      <c r="I128" s="194"/>
      <c r="J128" s="194"/>
      <c r="K128" s="194"/>
      <c r="L128" s="194"/>
      <c r="M128" s="194"/>
      <c r="N128" s="194"/>
      <c r="O128" s="194"/>
      <c r="P128" s="194"/>
      <c r="Q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sheetData>
  <phoneticPr fontId="0" type="noConversion"/>
  <hyperlinks>
    <hyperlink ref="A1" location="'Working Budget with funding det'!A1" display="Main " xr:uid="{00000000-0004-0000-1F00-000000000000}"/>
    <hyperlink ref="B1" location="'Table of Contents'!A1" display="TOC" xr:uid="{00000000-0004-0000-1F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X32"/>
  <sheetViews>
    <sheetView topLeftCell="A7" workbookViewId="0">
      <selection activeCell="R16" sqref="R16"/>
    </sheetView>
  </sheetViews>
  <sheetFormatPr defaultRowHeight="13.2" x14ac:dyDescent="0.25"/>
  <cols>
    <col min="1" max="1" width="8.77734375" style="712"/>
    <col min="2" max="2" width="35.77734375" customWidth="1"/>
    <col min="3" max="3" width="14.33203125" style="1" hidden="1" customWidth="1"/>
    <col min="4" max="8" width="14.33203125" style="105" hidden="1" customWidth="1"/>
    <col min="9" max="14" width="14.33203125" style="76" hidden="1" customWidth="1"/>
    <col min="15" max="17" width="14.33203125" style="76" customWidth="1"/>
    <col min="18" max="24" width="14.33203125" customWidth="1"/>
    <col min="25" max="25" width="14.6640625" customWidth="1"/>
  </cols>
  <sheetData>
    <row r="1" spans="1:24" x14ac:dyDescent="0.25">
      <c r="A1" s="701" t="s">
        <v>736</v>
      </c>
      <c r="B1" s="290" t="s">
        <v>194</v>
      </c>
      <c r="C1" s="23"/>
      <c r="D1" s="23"/>
      <c r="E1" s="23"/>
      <c r="F1" s="23"/>
      <c r="G1" s="23"/>
      <c r="H1" s="23"/>
      <c r="I1" s="23"/>
      <c r="J1" s="23"/>
      <c r="K1" s="23"/>
      <c r="L1" s="23"/>
      <c r="M1" s="23"/>
      <c r="N1" s="23"/>
      <c r="O1" s="23"/>
      <c r="P1" s="23"/>
      <c r="Q1" s="23"/>
      <c r="R1" s="4"/>
      <c r="S1" s="23"/>
      <c r="T1" s="23"/>
      <c r="U1" s="4"/>
      <c r="W1" s="4"/>
      <c r="X1" s="4"/>
    </row>
    <row r="2" spans="1:24" ht="13.8" x14ac:dyDescent="0.25">
      <c r="A2" s="702" t="s">
        <v>1008</v>
      </c>
      <c r="B2" s="43"/>
      <c r="C2" s="23"/>
      <c r="D2" s="194"/>
      <c r="E2" s="125"/>
      <c r="F2" s="194"/>
      <c r="G2" s="194"/>
      <c r="H2" s="194"/>
      <c r="I2" s="125" t="s">
        <v>706</v>
      </c>
      <c r="J2" s="125"/>
      <c r="K2" s="125"/>
      <c r="L2" s="125"/>
      <c r="M2" s="125"/>
      <c r="N2" s="125"/>
      <c r="O2" s="125"/>
      <c r="P2" s="125"/>
      <c r="Q2" s="125"/>
      <c r="R2" s="58" t="s">
        <v>539</v>
      </c>
      <c r="S2" s="23"/>
      <c r="T2" s="23"/>
      <c r="U2" s="44" t="s">
        <v>1124</v>
      </c>
      <c r="X2" s="4"/>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103"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104"/>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07"/>
      <c r="B8" s="156"/>
      <c r="C8" s="114"/>
      <c r="D8" s="250"/>
      <c r="E8" s="250"/>
      <c r="F8" s="250"/>
      <c r="G8" s="250"/>
      <c r="H8" s="250"/>
      <c r="I8" s="250"/>
      <c r="J8" s="250"/>
      <c r="K8" s="145"/>
      <c r="L8" s="145"/>
      <c r="M8" s="145"/>
      <c r="N8" s="145"/>
      <c r="O8" s="145"/>
      <c r="P8" s="145"/>
      <c r="Q8" s="145"/>
      <c r="R8" s="59"/>
      <c r="S8" s="10"/>
      <c r="T8" s="10"/>
      <c r="U8" s="10"/>
    </row>
    <row r="9" spans="1:24" ht="13.8" thickBot="1" x14ac:dyDescent="0.3">
      <c r="A9" s="708">
        <v>5115</v>
      </c>
      <c r="B9" s="60" t="s">
        <v>1125</v>
      </c>
      <c r="C9" s="116">
        <v>1263.08</v>
      </c>
      <c r="D9" s="15">
        <v>1303.56</v>
      </c>
      <c r="E9" s="15">
        <v>1296.44</v>
      </c>
      <c r="F9" s="15">
        <v>1300</v>
      </c>
      <c r="G9" s="15">
        <v>1500</v>
      </c>
      <c r="H9" s="15">
        <v>1500</v>
      </c>
      <c r="I9" s="252">
        <v>1500</v>
      </c>
      <c r="J9" s="252">
        <v>1575</v>
      </c>
      <c r="K9" s="16">
        <v>1575</v>
      </c>
      <c r="L9" s="252">
        <v>1575</v>
      </c>
      <c r="M9" s="16">
        <v>1575</v>
      </c>
      <c r="N9" s="252">
        <v>1575</v>
      </c>
      <c r="O9" s="16">
        <v>1575</v>
      </c>
      <c r="P9" s="15">
        <v>1575</v>
      </c>
      <c r="Q9" s="16">
        <v>1575</v>
      </c>
      <c r="R9" s="15">
        <v>787.5</v>
      </c>
      <c r="S9" s="16">
        <v>1764</v>
      </c>
      <c r="T9" s="16"/>
      <c r="U9" s="16"/>
    </row>
    <row r="10" spans="1:24" x14ac:dyDescent="0.25">
      <c r="A10" s="708"/>
      <c r="B10" s="61" t="s">
        <v>718</v>
      </c>
      <c r="C10" s="117">
        <f t="shared" ref="C10:S10" si="0">SUM(C9:C9)</f>
        <v>1263.08</v>
      </c>
      <c r="D10" s="18">
        <f t="shared" si="0"/>
        <v>1303.56</v>
      </c>
      <c r="E10" s="18">
        <f t="shared" si="0"/>
        <v>1296.44</v>
      </c>
      <c r="F10" s="18">
        <f>SUM(F9)</f>
        <v>1300</v>
      </c>
      <c r="G10" s="18">
        <f>SUM(G9)</f>
        <v>1500</v>
      </c>
      <c r="H10" s="18">
        <f>SUM(H9)</f>
        <v>1500</v>
      </c>
      <c r="I10" s="18">
        <f>SUM(I9:I9)</f>
        <v>1500</v>
      </c>
      <c r="J10" s="18">
        <f>SUM(J9:J9)</f>
        <v>1575</v>
      </c>
      <c r="K10" s="19">
        <f t="shared" ref="K10:P10" si="1">SUM(K9:K9)</f>
        <v>1575</v>
      </c>
      <c r="L10" s="18">
        <f t="shared" si="1"/>
        <v>1575</v>
      </c>
      <c r="M10" s="19">
        <f t="shared" si="1"/>
        <v>1575</v>
      </c>
      <c r="N10" s="18">
        <f t="shared" ref="N10" si="2">SUM(N9:N9)</f>
        <v>1575</v>
      </c>
      <c r="O10" s="19">
        <f t="shared" si="1"/>
        <v>1575</v>
      </c>
      <c r="P10" s="18">
        <f t="shared" si="1"/>
        <v>1575</v>
      </c>
      <c r="Q10" s="19">
        <f t="shared" ref="Q10" si="3">SUM(Q9:Q9)</f>
        <v>1575</v>
      </c>
      <c r="R10" s="18">
        <f t="shared" si="0"/>
        <v>787.5</v>
      </c>
      <c r="S10" s="19">
        <f t="shared" si="0"/>
        <v>1764</v>
      </c>
      <c r="T10" s="19"/>
      <c r="U10" s="19">
        <f>SUM(U9:U9)</f>
        <v>0</v>
      </c>
    </row>
    <row r="11" spans="1:24" x14ac:dyDescent="0.25">
      <c r="A11" s="708"/>
      <c r="B11" s="60"/>
      <c r="C11" s="115"/>
      <c r="D11" s="13"/>
      <c r="E11" s="13"/>
      <c r="F11" s="13"/>
      <c r="G11" s="13"/>
      <c r="H11" s="13"/>
      <c r="I11" s="13"/>
      <c r="J11" s="13"/>
      <c r="K11" s="14"/>
      <c r="L11" s="13"/>
      <c r="M11" s="14"/>
      <c r="N11" s="13"/>
      <c r="O11" s="14"/>
      <c r="P11" s="13"/>
      <c r="Q11" s="14"/>
      <c r="R11" s="13"/>
      <c r="S11" s="14"/>
      <c r="T11" s="14"/>
      <c r="U11" s="14"/>
    </row>
    <row r="12" spans="1:24" x14ac:dyDescent="0.25">
      <c r="A12" s="708">
        <v>5253</v>
      </c>
      <c r="B12" s="60" t="s">
        <v>1126</v>
      </c>
      <c r="C12" s="108">
        <f>10479.01-C15</f>
        <v>9389.7999999999993</v>
      </c>
      <c r="D12" s="94">
        <f>10511.14-D15</f>
        <v>10355.199999999999</v>
      </c>
      <c r="E12" s="94">
        <f>11580-E15</f>
        <v>10890</v>
      </c>
      <c r="F12" s="94">
        <v>7472.5</v>
      </c>
      <c r="G12" s="94">
        <v>10320</v>
      </c>
      <c r="H12" s="94">
        <v>14165.8</v>
      </c>
      <c r="I12" s="94">
        <v>14750</v>
      </c>
      <c r="J12" s="94">
        <v>13800</v>
      </c>
      <c r="K12" s="32">
        <v>17000</v>
      </c>
      <c r="L12" s="95">
        <v>17600</v>
      </c>
      <c r="M12" s="32">
        <v>27000</v>
      </c>
      <c r="N12" s="95">
        <v>25927.49</v>
      </c>
      <c r="O12" s="32">
        <v>27000</v>
      </c>
      <c r="P12" s="95">
        <v>26316.57</v>
      </c>
      <c r="Q12" s="32">
        <v>27000</v>
      </c>
      <c r="R12" s="18">
        <v>9564</v>
      </c>
      <c r="S12" s="32">
        <v>27000</v>
      </c>
      <c r="T12" s="32"/>
      <c r="U12" s="14"/>
    </row>
    <row r="13" spans="1:24" x14ac:dyDescent="0.25">
      <c r="A13" s="708">
        <v>5344</v>
      </c>
      <c r="B13" s="60" t="s">
        <v>722</v>
      </c>
      <c r="C13" s="210"/>
      <c r="D13" s="35">
        <v>0</v>
      </c>
      <c r="E13" s="35"/>
      <c r="F13" s="35"/>
      <c r="G13" s="35"/>
      <c r="H13" s="35"/>
      <c r="I13" s="35">
        <v>0</v>
      </c>
      <c r="J13" s="35"/>
      <c r="K13" s="36">
        <v>100</v>
      </c>
      <c r="L13" s="28"/>
      <c r="M13" s="36">
        <v>100</v>
      </c>
      <c r="N13" s="28"/>
      <c r="O13" s="36">
        <v>100</v>
      </c>
      <c r="P13" s="28"/>
      <c r="Q13" s="36">
        <v>100</v>
      </c>
      <c r="R13" s="18"/>
      <c r="S13" s="36">
        <v>100</v>
      </c>
      <c r="T13" s="36"/>
      <c r="U13" s="36"/>
    </row>
    <row r="14" spans="1:24" x14ac:dyDescent="0.25">
      <c r="A14" s="708">
        <v>5345</v>
      </c>
      <c r="B14" s="60" t="s">
        <v>752</v>
      </c>
      <c r="C14" s="115"/>
      <c r="D14" s="13">
        <v>0</v>
      </c>
      <c r="E14" s="13"/>
      <c r="F14" s="13">
        <v>119.13</v>
      </c>
      <c r="G14" s="13"/>
      <c r="H14" s="13"/>
      <c r="I14" s="13">
        <v>292.5</v>
      </c>
      <c r="J14" s="13"/>
      <c r="K14" s="14">
        <v>500</v>
      </c>
      <c r="L14" s="13"/>
      <c r="M14" s="14">
        <v>500</v>
      </c>
      <c r="N14" s="13"/>
      <c r="O14" s="14">
        <v>500</v>
      </c>
      <c r="P14" s="13">
        <v>153.82</v>
      </c>
      <c r="Q14" s="14">
        <v>500</v>
      </c>
      <c r="R14" s="13"/>
      <c r="S14" s="14">
        <v>500</v>
      </c>
      <c r="T14" s="14"/>
      <c r="U14" s="14"/>
    </row>
    <row r="15" spans="1:24" x14ac:dyDescent="0.25">
      <c r="A15" s="725">
        <v>5588</v>
      </c>
      <c r="B15" s="101" t="s">
        <v>1127</v>
      </c>
      <c r="C15" s="115">
        <f>105+14.24+679.98+289.99</f>
        <v>1089.21</v>
      </c>
      <c r="D15" s="13">
        <v>155.94</v>
      </c>
      <c r="E15" s="13">
        <f>240+450</f>
        <v>690</v>
      </c>
      <c r="F15" s="13">
        <v>3849.86</v>
      </c>
      <c r="G15" s="13">
        <v>1811</v>
      </c>
      <c r="H15" s="13">
        <v>930</v>
      </c>
      <c r="I15" s="13">
        <v>418</v>
      </c>
      <c r="J15" s="13">
        <v>250</v>
      </c>
      <c r="K15" s="14">
        <v>1000</v>
      </c>
      <c r="L15" s="13"/>
      <c r="M15" s="14">
        <v>1000</v>
      </c>
      <c r="N15" s="13">
        <v>34.99</v>
      </c>
      <c r="O15" s="14">
        <v>1000</v>
      </c>
      <c r="P15" s="13">
        <v>433.71</v>
      </c>
      <c r="Q15" s="14">
        <v>1000</v>
      </c>
      <c r="R15" s="13">
        <v>1068.5</v>
      </c>
      <c r="S15" s="14">
        <v>1000</v>
      </c>
      <c r="T15" s="14"/>
      <c r="U15" s="14"/>
    </row>
    <row r="16" spans="1:24" ht="13.8" thickBot="1" x14ac:dyDescent="0.3">
      <c r="A16" s="725">
        <v>5730</v>
      </c>
      <c r="B16" s="101" t="s">
        <v>727</v>
      </c>
      <c r="C16" s="581">
        <v>75</v>
      </c>
      <c r="D16" s="37">
        <v>75</v>
      </c>
      <c r="E16" s="37">
        <v>75</v>
      </c>
      <c r="F16" s="37">
        <v>85</v>
      </c>
      <c r="G16" s="37">
        <v>85</v>
      </c>
      <c r="H16" s="37">
        <v>85</v>
      </c>
      <c r="I16" s="37">
        <v>85</v>
      </c>
      <c r="J16" s="37">
        <v>85</v>
      </c>
      <c r="K16" s="38">
        <v>110</v>
      </c>
      <c r="L16" s="37">
        <v>85</v>
      </c>
      <c r="M16" s="38">
        <v>110</v>
      </c>
      <c r="N16" s="37">
        <v>85</v>
      </c>
      <c r="O16" s="38">
        <v>110</v>
      </c>
      <c r="P16" s="37"/>
      <c r="Q16" s="38">
        <v>110</v>
      </c>
      <c r="R16" s="37"/>
      <c r="S16" s="38">
        <v>110</v>
      </c>
      <c r="T16" s="38"/>
      <c r="U16" s="38"/>
    </row>
    <row r="17" spans="1:21" x14ac:dyDescent="0.25">
      <c r="A17" s="708"/>
      <c r="B17" s="61" t="s">
        <v>728</v>
      </c>
      <c r="C17" s="117">
        <f t="shared" ref="C17:R17" si="4">SUM(C12:C16)</f>
        <v>10554.009999999998</v>
      </c>
      <c r="D17" s="18">
        <f t="shared" si="4"/>
        <v>10586.14</v>
      </c>
      <c r="E17" s="18">
        <f t="shared" si="4"/>
        <v>11655</v>
      </c>
      <c r="F17" s="18">
        <f>SUM(F12:F16)</f>
        <v>11526.49</v>
      </c>
      <c r="G17" s="18">
        <f>SUM(G12:G16)</f>
        <v>12216</v>
      </c>
      <c r="H17" s="18">
        <f>SUM(H12:H16)</f>
        <v>15180.8</v>
      </c>
      <c r="I17" s="18">
        <f t="shared" si="4"/>
        <v>15545.5</v>
      </c>
      <c r="J17" s="18">
        <f t="shared" ref="J17" si="5">SUM(J12:J16)</f>
        <v>14135</v>
      </c>
      <c r="K17" s="19">
        <f>SUM(K12:K16)</f>
        <v>18710</v>
      </c>
      <c r="L17" s="18">
        <f t="shared" ref="L17:O17" si="6">SUM(L12:L16)</f>
        <v>17685</v>
      </c>
      <c r="M17" s="19">
        <f t="shared" si="6"/>
        <v>28710</v>
      </c>
      <c r="N17" s="18">
        <f t="shared" ref="N17" si="7">SUM(N12:N16)</f>
        <v>26047.480000000003</v>
      </c>
      <c r="O17" s="19">
        <f t="shared" si="6"/>
        <v>28710</v>
      </c>
      <c r="P17" s="18">
        <f t="shared" ref="P17" si="8">SUM(P12:P16)</f>
        <v>26904.1</v>
      </c>
      <c r="Q17" s="19">
        <f>SUM(Q12:Q16)</f>
        <v>28710</v>
      </c>
      <c r="R17" s="18">
        <f t="shared" si="4"/>
        <v>10632.5</v>
      </c>
      <c r="S17" s="19">
        <f>SUM(S12:S16)</f>
        <v>28710</v>
      </c>
      <c r="T17" s="19"/>
      <c r="U17" s="19">
        <f>SUM(U12:U16)</f>
        <v>0</v>
      </c>
    </row>
    <row r="18" spans="1:21" x14ac:dyDescent="0.25">
      <c r="A18" s="708"/>
      <c r="B18" s="60"/>
      <c r="C18" s="115"/>
      <c r="D18" s="13"/>
      <c r="E18" s="13"/>
      <c r="F18" s="13"/>
      <c r="G18" s="13"/>
      <c r="H18" s="13"/>
      <c r="I18" s="13"/>
      <c r="J18" s="13"/>
      <c r="K18" s="14"/>
      <c r="L18" s="13"/>
      <c r="M18" s="14"/>
      <c r="N18" s="13"/>
      <c r="O18" s="14"/>
      <c r="P18" s="13"/>
      <c r="Q18" s="14"/>
      <c r="R18" s="13"/>
      <c r="S18" s="14"/>
      <c r="T18" s="14"/>
      <c r="U18" s="14"/>
    </row>
    <row r="19" spans="1:21" ht="13.8" thickBot="1" x14ac:dyDescent="0.3">
      <c r="A19" s="709"/>
      <c r="B19" s="20" t="s">
        <v>1128</v>
      </c>
      <c r="C19" s="21">
        <f t="shared" ref="C19:R19" si="9">+C17+C10</f>
        <v>11817.089999999998</v>
      </c>
      <c r="D19" s="21">
        <f t="shared" si="9"/>
        <v>11889.699999999999</v>
      </c>
      <c r="E19" s="21">
        <f>+E17+E10</f>
        <v>12951.44</v>
      </c>
      <c r="F19" s="21">
        <f>+F17+F10</f>
        <v>12826.49</v>
      </c>
      <c r="G19" s="21">
        <f>+G17+G10</f>
        <v>13716</v>
      </c>
      <c r="H19" s="21">
        <f>+H17+H10</f>
        <v>16680.8</v>
      </c>
      <c r="I19" s="21">
        <f t="shared" si="9"/>
        <v>17045.5</v>
      </c>
      <c r="J19" s="21">
        <f t="shared" ref="J19" si="10">+J17+J10</f>
        <v>15710</v>
      </c>
      <c r="K19" s="22">
        <f>+K17+K10</f>
        <v>20285</v>
      </c>
      <c r="L19" s="21">
        <f t="shared" ref="L19:O19" si="11">+L17+L10</f>
        <v>19260</v>
      </c>
      <c r="M19" s="22">
        <f t="shared" si="11"/>
        <v>30285</v>
      </c>
      <c r="N19" s="21">
        <f t="shared" ref="N19" si="12">+N17+N10</f>
        <v>27622.480000000003</v>
      </c>
      <c r="O19" s="22">
        <f t="shared" si="11"/>
        <v>30285</v>
      </c>
      <c r="P19" s="21">
        <f t="shared" ref="P19" si="13">+P17+P10</f>
        <v>28479.1</v>
      </c>
      <c r="Q19" s="22">
        <f>+Q17+Q10</f>
        <v>30285</v>
      </c>
      <c r="R19" s="21">
        <f t="shared" si="9"/>
        <v>11420</v>
      </c>
      <c r="S19" s="22">
        <f>+S17+S10</f>
        <v>30474</v>
      </c>
      <c r="T19" s="22">
        <f>+S19</f>
        <v>30474</v>
      </c>
      <c r="U19" s="22">
        <f>+S19</f>
        <v>30474</v>
      </c>
    </row>
    <row r="20" spans="1:21" ht="13.8" thickTop="1" x14ac:dyDescent="0.25">
      <c r="D20" s="194"/>
      <c r="E20" s="194"/>
      <c r="F20" s="194"/>
      <c r="G20" s="194"/>
      <c r="H20" s="194"/>
      <c r="I20" s="202"/>
      <c r="J20" s="202"/>
      <c r="K20" s="202"/>
      <c r="L20" s="202"/>
      <c r="M20" s="202"/>
      <c r="N20" s="202"/>
      <c r="O20" s="202"/>
      <c r="P20" s="202"/>
      <c r="Q20" s="202"/>
      <c r="R20" s="181" t="s">
        <v>732</v>
      </c>
      <c r="S20" s="1001">
        <f>+S19-Q19</f>
        <v>189</v>
      </c>
      <c r="T20" s="1002">
        <f>ROUND((+S20/Q19),4)</f>
        <v>6.1999999999999998E-3</v>
      </c>
      <c r="U20" s="23"/>
    </row>
    <row r="21" spans="1:21" ht="13.8" thickBot="1" x14ac:dyDescent="0.3">
      <c r="A21" s="844"/>
      <c r="B21" s="600"/>
      <c r="D21" s="194"/>
      <c r="E21" s="194"/>
      <c r="F21" s="194"/>
      <c r="G21" s="194"/>
      <c r="H21" s="194"/>
      <c r="I21" s="202"/>
      <c r="J21" s="202"/>
      <c r="K21" s="202"/>
      <c r="L21" s="202"/>
      <c r="M21" s="202"/>
      <c r="N21" s="202"/>
      <c r="O21" s="202"/>
      <c r="P21" s="202"/>
      <c r="Q21" s="202"/>
      <c r="U21" s="25"/>
    </row>
    <row r="22" spans="1:21" ht="13.8" thickTop="1" x14ac:dyDescent="0.25">
      <c r="A22" s="718"/>
      <c r="B22" s="349"/>
      <c r="C22" s="350" t="s">
        <v>256</v>
      </c>
      <c r="D22" s="351" t="s">
        <v>256</v>
      </c>
      <c r="E22" s="351" t="s">
        <v>256</v>
      </c>
      <c r="F22" s="194"/>
      <c r="G22" s="194"/>
      <c r="H22" s="194"/>
      <c r="I22" s="202"/>
      <c r="J22" s="202"/>
      <c r="K22" s="202"/>
      <c r="L22" s="202"/>
      <c r="O22" s="352" t="s">
        <v>255</v>
      </c>
      <c r="P22" s="353" t="s">
        <v>716</v>
      </c>
      <c r="Q22" s="354" t="s">
        <v>730</v>
      </c>
      <c r="R22" s="353" t="s">
        <v>731</v>
      </c>
      <c r="S22" s="355"/>
      <c r="T22" s="550"/>
      <c r="U22" s="354"/>
    </row>
    <row r="23" spans="1:21" ht="13.8" thickBot="1" x14ac:dyDescent="0.3">
      <c r="A23" s="719" t="s">
        <v>715</v>
      </c>
      <c r="B23" s="356"/>
      <c r="C23" s="357" t="s">
        <v>243</v>
      </c>
      <c r="D23" s="357" t="s">
        <v>244</v>
      </c>
      <c r="E23" s="358" t="s">
        <v>245</v>
      </c>
      <c r="F23" s="194"/>
      <c r="G23" s="194"/>
      <c r="H23" s="194"/>
      <c r="I23" s="202"/>
      <c r="J23" s="202"/>
      <c r="K23" s="202"/>
      <c r="L23" s="202"/>
      <c r="O23" s="359" t="s">
        <v>469</v>
      </c>
      <c r="P23" s="359" t="s">
        <v>1345</v>
      </c>
      <c r="Q23" s="358" t="s">
        <v>732</v>
      </c>
      <c r="R23" s="360" t="s">
        <v>732</v>
      </c>
      <c r="S23" s="361" t="s">
        <v>733</v>
      </c>
      <c r="T23" s="551"/>
      <c r="U23" s="359"/>
    </row>
    <row r="24" spans="1:21" ht="13.8" thickTop="1" x14ac:dyDescent="0.25">
      <c r="A24" s="723"/>
      <c r="B24" s="383"/>
      <c r="C24" s="384"/>
      <c r="D24" s="385"/>
      <c r="E24" s="385"/>
      <c r="F24" s="194"/>
      <c r="G24" s="194"/>
      <c r="H24" s="194"/>
      <c r="I24" s="202"/>
      <c r="J24" s="202"/>
      <c r="K24" s="202"/>
      <c r="L24" s="202"/>
      <c r="O24" s="386"/>
      <c r="P24" s="385"/>
      <c r="Q24" s="386"/>
      <c r="R24" s="384"/>
      <c r="S24" s="367"/>
      <c r="T24" s="553"/>
      <c r="U24" s="368"/>
    </row>
    <row r="25" spans="1:21" ht="13.8" thickBot="1" x14ac:dyDescent="0.3">
      <c r="A25" s="724">
        <v>5115</v>
      </c>
      <c r="B25" s="369" t="s">
        <v>1125</v>
      </c>
      <c r="C25" s="371">
        <v>1263.08</v>
      </c>
      <c r="D25" s="371">
        <v>1303.56</v>
      </c>
      <c r="E25" s="371">
        <v>1296.44</v>
      </c>
      <c r="F25" s="194"/>
      <c r="G25" s="194"/>
      <c r="H25" s="194"/>
      <c r="I25" s="202"/>
      <c r="J25" s="202"/>
      <c r="K25" s="202"/>
      <c r="L25" s="202"/>
      <c r="O25" s="372">
        <f>+Q9</f>
        <v>1575</v>
      </c>
      <c r="P25" s="393">
        <f>+S9</f>
        <v>1764</v>
      </c>
      <c r="Q25" s="368">
        <f t="shared" ref="Q25:Q30" si="14">+P25-O25</f>
        <v>189</v>
      </c>
      <c r="R25" s="374">
        <f t="shared" ref="R25:R30" si="15">IF(O25+P25&lt;&gt;0,IF(O25&lt;&gt;0,IF(Q25&lt;&gt;0,ROUND((+Q25/O25),4),""),1),"")</f>
        <v>0.12</v>
      </c>
      <c r="S25" s="367" t="s">
        <v>2402</v>
      </c>
      <c r="T25" s="553"/>
      <c r="U25" s="368"/>
    </row>
    <row r="26" spans="1:21" x14ac:dyDescent="0.25">
      <c r="A26" s="724">
        <v>5253</v>
      </c>
      <c r="B26" s="369" t="s">
        <v>1129</v>
      </c>
      <c r="C26" s="380">
        <f>10479.01-C29</f>
        <v>9389.7999999999993</v>
      </c>
      <c r="D26" s="380">
        <f>10511.14-D29</f>
        <v>10355.199999999999</v>
      </c>
      <c r="E26" s="380">
        <f>11580-E29</f>
        <v>10890</v>
      </c>
      <c r="F26" s="194"/>
      <c r="G26" s="194"/>
      <c r="H26" s="194"/>
      <c r="I26" s="202"/>
      <c r="J26" s="202"/>
      <c r="K26" s="202"/>
      <c r="L26" s="202"/>
      <c r="O26" s="367">
        <f>+Q12</f>
        <v>27000</v>
      </c>
      <c r="P26" s="393">
        <f>+S12</f>
        <v>27000</v>
      </c>
      <c r="Q26" s="368">
        <f t="shared" si="14"/>
        <v>0</v>
      </c>
      <c r="R26" s="374" t="str">
        <f t="shared" si="15"/>
        <v/>
      </c>
      <c r="S26" s="367"/>
      <c r="T26" s="553"/>
      <c r="U26" s="368"/>
    </row>
    <row r="27" spans="1:21" x14ac:dyDescent="0.25">
      <c r="A27" s="724">
        <v>5344</v>
      </c>
      <c r="B27" s="369" t="s">
        <v>722</v>
      </c>
      <c r="C27" s="375"/>
      <c r="D27" s="375">
        <v>0</v>
      </c>
      <c r="E27" s="375"/>
      <c r="F27" s="194"/>
      <c r="G27" s="194"/>
      <c r="H27" s="194"/>
      <c r="I27" s="202"/>
      <c r="J27" s="202"/>
      <c r="K27" s="202"/>
      <c r="L27" s="202"/>
      <c r="O27" s="367">
        <f>+Q13</f>
        <v>100</v>
      </c>
      <c r="P27" s="393">
        <f>+S13</f>
        <v>100</v>
      </c>
      <c r="Q27" s="368">
        <f t="shared" si="14"/>
        <v>0</v>
      </c>
      <c r="R27" s="374" t="str">
        <f t="shared" si="15"/>
        <v/>
      </c>
      <c r="S27" s="367"/>
      <c r="T27" s="553"/>
      <c r="U27" s="368"/>
    </row>
    <row r="28" spans="1:21" x14ac:dyDescent="0.25">
      <c r="A28" s="724">
        <v>5345</v>
      </c>
      <c r="B28" s="369" t="s">
        <v>752</v>
      </c>
      <c r="C28" s="373"/>
      <c r="D28" s="373">
        <v>0</v>
      </c>
      <c r="E28" s="373"/>
      <c r="F28" s="194"/>
      <c r="G28" s="194"/>
      <c r="H28" s="194"/>
      <c r="I28" s="202"/>
      <c r="J28" s="202"/>
      <c r="K28" s="202"/>
      <c r="L28" s="202"/>
      <c r="O28" s="367">
        <f>+Q14</f>
        <v>500</v>
      </c>
      <c r="P28" s="393">
        <f>+S14</f>
        <v>500</v>
      </c>
      <c r="Q28" s="368">
        <f t="shared" si="14"/>
        <v>0</v>
      </c>
      <c r="R28" s="374" t="str">
        <f t="shared" si="15"/>
        <v/>
      </c>
      <c r="S28" s="367"/>
      <c r="T28" s="553"/>
      <c r="U28" s="368"/>
    </row>
    <row r="29" spans="1:21" x14ac:dyDescent="0.25">
      <c r="A29" s="726">
        <v>5588</v>
      </c>
      <c r="B29" s="376" t="s">
        <v>1127</v>
      </c>
      <c r="C29" s="373">
        <f>105+14.24+679.98+289.99</f>
        <v>1089.21</v>
      </c>
      <c r="D29" s="373">
        <v>155.94</v>
      </c>
      <c r="E29" s="373">
        <f>240+450</f>
        <v>690</v>
      </c>
      <c r="F29" s="194"/>
      <c r="G29" s="194"/>
      <c r="H29" s="194"/>
      <c r="I29" s="202"/>
      <c r="J29" s="202"/>
      <c r="K29" s="202"/>
      <c r="L29" s="202"/>
      <c r="O29" s="367">
        <f>+Q15</f>
        <v>1000</v>
      </c>
      <c r="P29" s="393">
        <f>+S15</f>
        <v>1000</v>
      </c>
      <c r="Q29" s="368">
        <f t="shared" si="14"/>
        <v>0</v>
      </c>
      <c r="R29" s="374" t="str">
        <f t="shared" si="15"/>
        <v/>
      </c>
      <c r="S29" s="367"/>
      <c r="T29" s="553"/>
      <c r="U29" s="368"/>
    </row>
    <row r="30" spans="1:21" ht="13.8" thickBot="1" x14ac:dyDescent="0.3">
      <c r="A30" s="726">
        <v>5730</v>
      </c>
      <c r="B30" s="376" t="s">
        <v>727</v>
      </c>
      <c r="C30" s="391">
        <v>75</v>
      </c>
      <c r="D30" s="391">
        <v>75</v>
      </c>
      <c r="E30" s="391">
        <v>75</v>
      </c>
      <c r="F30" s="194"/>
      <c r="G30" s="194"/>
      <c r="H30" s="194"/>
      <c r="I30" s="202"/>
      <c r="J30" s="202"/>
      <c r="K30" s="202"/>
      <c r="L30" s="202"/>
      <c r="O30" s="367">
        <f>+Q16</f>
        <v>110</v>
      </c>
      <c r="P30" s="393">
        <f>+S16</f>
        <v>110</v>
      </c>
      <c r="Q30" s="368">
        <f t="shared" si="14"/>
        <v>0</v>
      </c>
      <c r="R30" s="374" t="str">
        <f t="shared" si="15"/>
        <v/>
      </c>
      <c r="S30" s="367"/>
      <c r="T30" s="553"/>
      <c r="U30" s="368"/>
    </row>
    <row r="31" spans="1:21" x14ac:dyDescent="0.25">
      <c r="D31" s="194"/>
      <c r="E31" s="194"/>
      <c r="F31" s="194"/>
      <c r="G31" s="194"/>
      <c r="H31" s="194"/>
      <c r="I31" s="202"/>
      <c r="J31" s="202"/>
      <c r="K31" s="202"/>
      <c r="L31" s="202"/>
      <c r="O31" s="194"/>
      <c r="P31" s="202"/>
      <c r="Q31" s="202"/>
    </row>
    <row r="32" spans="1:21" x14ac:dyDescent="0.25">
      <c r="B32" s="4" t="s">
        <v>735</v>
      </c>
      <c r="C32" s="23"/>
      <c r="D32" s="23"/>
      <c r="E32" s="23"/>
      <c r="F32" s="23"/>
      <c r="G32" s="23"/>
      <c r="H32" s="194"/>
      <c r="I32" s="202"/>
      <c r="J32" s="202"/>
      <c r="K32" s="202"/>
      <c r="L32" s="202"/>
      <c r="O32" s="597">
        <f>SUM(O25:O31)</f>
        <v>30285</v>
      </c>
      <c r="P32" s="597">
        <f>SUM(P25:P31)</f>
        <v>30474</v>
      </c>
      <c r="Q32" s="25">
        <f>+P32-O32</f>
        <v>189</v>
      </c>
      <c r="R32" s="598">
        <f>IF(O32+P32&lt;&gt;0,IF(O32&lt;&gt;0,IF(Q32&lt;&gt;0,ROUND((+Q32/O32),4),""),1),"")</f>
        <v>6.1999999999999998E-3</v>
      </c>
    </row>
  </sheetData>
  <phoneticPr fontId="0" type="noConversion"/>
  <hyperlinks>
    <hyperlink ref="A1" location="'Working Budget with funding det'!A1" display="Main " xr:uid="{00000000-0004-0000-2000-000000000000}"/>
    <hyperlink ref="B1" location="'Table of Contents'!A1" display="TOC" xr:uid="{00000000-0004-0000-2000-000001000000}"/>
  </hyperlinks>
  <pageMargins left="0.75" right="0.75" top="1" bottom="1" header="0.5" footer="0.5"/>
  <pageSetup scale="93" orientation="landscape" r:id="rId1"/>
  <headerFooter alignWithMargins="0">
    <oddFooter>&amp;L&amp;D  &amp;T&amp;C&amp;F&amp;R&amp;A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Y160"/>
  <sheetViews>
    <sheetView workbookViewId="0">
      <selection activeCell="B34" sqref="B34"/>
    </sheetView>
  </sheetViews>
  <sheetFormatPr defaultRowHeight="13.2" x14ac:dyDescent="0.25"/>
  <cols>
    <col min="1" max="1" width="11.109375" style="712" bestFit="1" customWidth="1"/>
    <col min="2" max="2" width="36.6640625" customWidth="1"/>
    <col min="3" max="3" width="17.77734375" style="1" hidden="1" customWidth="1"/>
    <col min="4" max="14" width="16.44140625" style="105" hidden="1" customWidth="1"/>
    <col min="15" max="17" width="16.44140625" style="105" customWidth="1"/>
    <col min="18" max="18" width="17" customWidth="1"/>
    <col min="19" max="21" width="15.77734375" style="1" customWidth="1"/>
    <col min="22" max="22" width="16.33203125" customWidth="1"/>
    <col min="23" max="23" width="16.77734375" customWidth="1"/>
    <col min="24" max="24" width="17.77734375" customWidth="1"/>
    <col min="25" max="25" width="14.6640625" style="2" customWidth="1"/>
    <col min="26" max="26" width="15.33203125" bestFit="1"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1130</v>
      </c>
      <c r="B2" s="43"/>
      <c r="D2" s="194"/>
      <c r="E2" s="125"/>
      <c r="F2" s="194"/>
      <c r="G2" s="194"/>
      <c r="H2" s="194"/>
      <c r="I2" s="125" t="s">
        <v>706</v>
      </c>
      <c r="J2" s="125"/>
      <c r="K2" s="125"/>
      <c r="L2" s="125"/>
      <c r="M2" s="125"/>
      <c r="N2" s="125"/>
      <c r="O2" s="125"/>
      <c r="P2" s="125"/>
      <c r="Q2" s="125"/>
      <c r="R2" s="58" t="s">
        <v>574</v>
      </c>
      <c r="U2" s="44" t="s">
        <v>1131</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9"/>
      <c r="J8" s="19"/>
      <c r="K8" s="19"/>
      <c r="L8" s="19"/>
      <c r="M8" s="19"/>
      <c r="N8" s="19"/>
      <c r="O8" s="19"/>
      <c r="P8" s="19"/>
      <c r="Q8" s="19"/>
      <c r="R8" s="18"/>
      <c r="S8" s="19"/>
      <c r="T8" s="19"/>
      <c r="U8" s="19"/>
    </row>
    <row r="9" spans="1:24" ht="13.8" thickBot="1" x14ac:dyDescent="0.3">
      <c r="A9" s="725">
        <v>5321</v>
      </c>
      <c r="B9" s="60" t="s">
        <v>1132</v>
      </c>
      <c r="C9" s="15">
        <v>737865</v>
      </c>
      <c r="D9" s="252">
        <v>731659</v>
      </c>
      <c r="E9" s="252">
        <v>682601</v>
      </c>
      <c r="F9" s="252">
        <v>760615</v>
      </c>
      <c r="G9" s="252">
        <v>659356</v>
      </c>
      <c r="H9" s="252">
        <v>747340</v>
      </c>
      <c r="I9" s="252">
        <v>974337.89</v>
      </c>
      <c r="J9" s="252">
        <v>1085003.6299999999</v>
      </c>
      <c r="K9" s="16">
        <v>1255456</v>
      </c>
      <c r="L9" s="16">
        <v>1255455.8400000001</v>
      </c>
      <c r="M9" s="16">
        <f>1196460+24545</f>
        <v>1221005</v>
      </c>
      <c r="N9" s="16">
        <v>1221005</v>
      </c>
      <c r="O9" s="16">
        <v>1029566</v>
      </c>
      <c r="P9" s="16">
        <v>1029565.91</v>
      </c>
      <c r="Q9" s="16">
        <f>1027844+25174</f>
        <v>1053018</v>
      </c>
      <c r="R9" s="15">
        <v>539095.37</v>
      </c>
      <c r="S9" s="16">
        <f>811679+25677</f>
        <v>837356</v>
      </c>
      <c r="T9" s="16"/>
      <c r="U9" s="608"/>
    </row>
    <row r="10" spans="1:24" ht="13.8" hidden="1" thickBot="1" x14ac:dyDescent="0.3">
      <c r="A10" s="708"/>
      <c r="B10" s="101" t="s">
        <v>1133</v>
      </c>
      <c r="C10" s="581"/>
      <c r="D10" s="253"/>
      <c r="E10" s="253"/>
      <c r="F10" s="253"/>
      <c r="G10" s="253"/>
      <c r="H10" s="253"/>
      <c r="I10" s="253"/>
      <c r="J10" s="253"/>
      <c r="K10" s="38"/>
      <c r="L10" s="38"/>
      <c r="M10" s="38"/>
      <c r="N10" s="38"/>
      <c r="O10" s="38"/>
      <c r="P10" s="38"/>
      <c r="Q10" s="38"/>
      <c r="R10" s="37"/>
      <c r="S10" s="38"/>
      <c r="T10" s="38"/>
      <c r="U10" s="129"/>
    </row>
    <row r="11" spans="1:24" x14ac:dyDescent="0.25">
      <c r="A11" s="708"/>
      <c r="B11" s="61" t="s">
        <v>1134</v>
      </c>
      <c r="C11" s="117">
        <f t="shared" ref="C11:S11" si="0">SUM(C9:C10)</f>
        <v>737865</v>
      </c>
      <c r="D11" s="18">
        <f t="shared" si="0"/>
        <v>731659</v>
      </c>
      <c r="E11" s="18">
        <f t="shared" si="0"/>
        <v>682601</v>
      </c>
      <c r="F11" s="18">
        <f>+F9</f>
        <v>760615</v>
      </c>
      <c r="G11" s="18">
        <f>+G9</f>
        <v>659356</v>
      </c>
      <c r="H11" s="18">
        <f>+H9</f>
        <v>747340</v>
      </c>
      <c r="I11" s="18">
        <f t="shared" si="0"/>
        <v>974337.89</v>
      </c>
      <c r="J11" s="18">
        <f t="shared" si="0"/>
        <v>1085003.6299999999</v>
      </c>
      <c r="K11" s="209">
        <f t="shared" ref="K11:O11" si="1">SUM(K9:K10)</f>
        <v>1255456</v>
      </c>
      <c r="L11" s="209">
        <f t="shared" si="1"/>
        <v>1255455.8400000001</v>
      </c>
      <c r="M11" s="209">
        <f t="shared" si="1"/>
        <v>1221005</v>
      </c>
      <c r="N11" s="209">
        <f>+N9</f>
        <v>1221005</v>
      </c>
      <c r="O11" s="209">
        <f t="shared" si="1"/>
        <v>1029566</v>
      </c>
      <c r="P11" s="209">
        <f t="shared" ref="P11" si="2">SUM(P9:P10)</f>
        <v>1029565.91</v>
      </c>
      <c r="Q11" s="209">
        <f t="shared" ref="Q11" si="3">SUM(Q9:Q10)</f>
        <v>1053018</v>
      </c>
      <c r="R11" s="18">
        <f t="shared" si="0"/>
        <v>539095.37</v>
      </c>
      <c r="S11" s="209">
        <f t="shared" si="0"/>
        <v>837356</v>
      </c>
      <c r="T11" s="209">
        <f>+S11</f>
        <v>837356</v>
      </c>
      <c r="U11" s="209">
        <f>+S11</f>
        <v>837356</v>
      </c>
      <c r="V11" s="490">
        <f>+S11-K11</f>
        <v>-418100</v>
      </c>
    </row>
    <row r="12" spans="1:24" x14ac:dyDescent="0.25">
      <c r="A12" s="708"/>
      <c r="B12" s="60"/>
      <c r="C12" s="115"/>
      <c r="D12" s="13"/>
      <c r="E12" s="13"/>
      <c r="F12" s="13"/>
      <c r="G12" s="13"/>
      <c r="H12" s="13"/>
      <c r="I12" s="13"/>
      <c r="J12" s="13"/>
      <c r="K12" s="14"/>
      <c r="L12" s="14"/>
      <c r="M12" s="14"/>
      <c r="N12" s="14"/>
      <c r="O12" s="14"/>
      <c r="P12" s="14"/>
      <c r="Q12" s="14"/>
      <c r="R12" s="13"/>
      <c r="S12" s="14"/>
      <c r="T12" s="14"/>
      <c r="U12" s="14"/>
      <c r="V12" s="786">
        <f>+V11/K11</f>
        <v>-0.33302640634160019</v>
      </c>
    </row>
    <row r="13" spans="1:24" ht="13.8" thickBot="1" x14ac:dyDescent="0.3">
      <c r="A13" s="708" t="s">
        <v>1135</v>
      </c>
      <c r="B13" s="60" t="s">
        <v>1136</v>
      </c>
      <c r="C13" s="116">
        <v>7850604</v>
      </c>
      <c r="D13" s="252">
        <v>7965557</v>
      </c>
      <c r="E13" s="252">
        <v>8293458</v>
      </c>
      <c r="F13" s="252">
        <v>8498343</v>
      </c>
      <c r="G13" s="252">
        <v>8852114</v>
      </c>
      <c r="H13" s="252">
        <v>9356560</v>
      </c>
      <c r="I13" s="15">
        <v>9811160</v>
      </c>
      <c r="J13" s="15">
        <v>10229737</v>
      </c>
      <c r="K13" s="16">
        <v>10732268</v>
      </c>
      <c r="L13" s="16">
        <v>10732268</v>
      </c>
      <c r="M13" s="16">
        <v>10950854</v>
      </c>
      <c r="N13" s="16">
        <v>10950854</v>
      </c>
      <c r="O13" s="16">
        <v>11341466</v>
      </c>
      <c r="P13" s="16">
        <v>11341466</v>
      </c>
      <c r="Q13" s="16">
        <v>11809191</v>
      </c>
      <c r="R13" s="15">
        <v>5904595.5</v>
      </c>
      <c r="S13" s="16">
        <f>+'Affordable Assessment'!D33</f>
        <v>12143442</v>
      </c>
      <c r="T13" s="16"/>
      <c r="U13" s="989"/>
      <c r="V13" s="490">
        <f>+S13-K13</f>
        <v>1411174</v>
      </c>
    </row>
    <row r="14" spans="1:24" x14ac:dyDescent="0.25">
      <c r="A14" s="708"/>
      <c r="B14" s="61" t="s">
        <v>1137</v>
      </c>
      <c r="C14" s="117">
        <f t="shared" ref="C14:S14" si="4">SUM(C13:C13)</f>
        <v>7850604</v>
      </c>
      <c r="D14" s="18">
        <f t="shared" si="4"/>
        <v>7965557</v>
      </c>
      <c r="E14" s="18">
        <f t="shared" si="4"/>
        <v>8293458</v>
      </c>
      <c r="F14" s="18">
        <f>+F13</f>
        <v>8498343</v>
      </c>
      <c r="G14" s="18">
        <f>+G13</f>
        <v>8852114</v>
      </c>
      <c r="H14" s="18">
        <f>+H13</f>
        <v>9356560</v>
      </c>
      <c r="I14" s="18">
        <f t="shared" si="4"/>
        <v>9811160</v>
      </c>
      <c r="J14" s="18">
        <f t="shared" ref="J14" si="5">SUM(J13:J13)</f>
        <v>10229737</v>
      </c>
      <c r="K14" s="34">
        <f t="shared" ref="K14:O14" si="6">SUM(K13:K13)</f>
        <v>10732268</v>
      </c>
      <c r="L14" s="34">
        <f t="shared" si="6"/>
        <v>10732268</v>
      </c>
      <c r="M14" s="34">
        <f t="shared" si="6"/>
        <v>10950854</v>
      </c>
      <c r="N14" s="34">
        <f>+N13</f>
        <v>10950854</v>
      </c>
      <c r="O14" s="34">
        <f t="shared" si="6"/>
        <v>11341466</v>
      </c>
      <c r="P14" s="34">
        <f t="shared" ref="P14" si="7">SUM(P13:P13)</f>
        <v>11341466</v>
      </c>
      <c r="Q14" s="34">
        <f t="shared" ref="Q14" si="8">SUM(Q13:Q13)</f>
        <v>11809191</v>
      </c>
      <c r="R14" s="18">
        <f t="shared" si="4"/>
        <v>5904595.5</v>
      </c>
      <c r="S14" s="34">
        <f t="shared" si="4"/>
        <v>12143442</v>
      </c>
      <c r="T14" s="34">
        <f>+S14</f>
        <v>12143442</v>
      </c>
      <c r="U14" s="34">
        <f>+S14</f>
        <v>12143442</v>
      </c>
      <c r="V14" s="289">
        <f>+V13/K13</f>
        <v>0.13148888939411502</v>
      </c>
    </row>
    <row r="15" spans="1:24" hidden="1" x14ac:dyDescent="0.25">
      <c r="A15" s="708"/>
      <c r="B15" s="60"/>
      <c r="C15" s="115"/>
      <c r="D15" s="13"/>
      <c r="E15" s="13"/>
      <c r="F15" s="13"/>
      <c r="G15" s="13"/>
      <c r="H15" s="13"/>
      <c r="I15" s="13"/>
      <c r="J15" s="13"/>
      <c r="K15" s="14"/>
      <c r="L15" s="14"/>
      <c r="M15" s="14"/>
      <c r="N15" s="14"/>
      <c r="O15" s="14"/>
      <c r="P15" s="14"/>
      <c r="Q15" s="14"/>
      <c r="R15" s="13"/>
      <c r="S15" s="14"/>
      <c r="T15" s="14"/>
      <c r="U15" s="14"/>
    </row>
    <row r="16" spans="1:24" hidden="1" x14ac:dyDescent="0.25">
      <c r="A16" s="708">
        <v>5325</v>
      </c>
      <c r="B16" s="60" t="s">
        <v>1138</v>
      </c>
      <c r="C16" s="115"/>
      <c r="D16" s="13"/>
      <c r="E16" s="13"/>
      <c r="F16" s="13"/>
      <c r="G16" s="13"/>
      <c r="H16" s="13"/>
      <c r="I16" s="13"/>
      <c r="J16" s="13"/>
      <c r="K16" s="14"/>
      <c r="L16" s="14"/>
      <c r="M16" s="14"/>
      <c r="N16" s="14"/>
      <c r="O16" s="14"/>
      <c r="P16" s="14"/>
      <c r="Q16" s="14"/>
      <c r="R16" s="13"/>
      <c r="S16" s="14"/>
      <c r="T16" s="14"/>
      <c r="U16" s="14"/>
    </row>
    <row r="17" spans="1:25" hidden="1" x14ac:dyDescent="0.25">
      <c r="A17" s="708"/>
      <c r="B17" s="60"/>
      <c r="C17" s="115"/>
      <c r="D17" s="13"/>
      <c r="E17" s="13"/>
      <c r="F17" s="13"/>
      <c r="G17" s="13"/>
      <c r="H17" s="13"/>
      <c r="I17" s="13"/>
      <c r="J17" s="13"/>
      <c r="K17" s="14"/>
      <c r="L17" s="14"/>
      <c r="M17" s="14"/>
      <c r="N17" s="14"/>
      <c r="O17" s="14"/>
      <c r="P17" s="14"/>
      <c r="Q17" s="14"/>
      <c r="R17" s="13"/>
      <c r="S17" s="14"/>
      <c r="T17" s="14"/>
      <c r="U17" s="14"/>
    </row>
    <row r="18" spans="1:25" x14ac:dyDescent="0.25">
      <c r="A18" s="708"/>
      <c r="B18" s="60"/>
      <c r="C18" s="115"/>
      <c r="D18" s="13"/>
      <c r="E18" s="13"/>
      <c r="F18" s="13"/>
      <c r="G18" s="13"/>
      <c r="H18" s="13"/>
      <c r="I18" s="13"/>
      <c r="J18" s="13"/>
      <c r="K18" s="14"/>
      <c r="L18" s="14"/>
      <c r="M18" s="14"/>
      <c r="N18" s="14"/>
      <c r="O18" s="14"/>
      <c r="P18" s="14"/>
      <c r="Q18" s="14"/>
      <c r="R18" s="13"/>
      <c r="S18" s="14"/>
      <c r="T18" s="14"/>
      <c r="U18" s="14"/>
    </row>
    <row r="19" spans="1:25" ht="13.8" thickBot="1" x14ac:dyDescent="0.3">
      <c r="A19" s="709"/>
      <c r="B19" s="20" t="s">
        <v>576</v>
      </c>
      <c r="C19" s="21">
        <f t="shared" ref="C19:S19" si="9">+C14+C11+C16</f>
        <v>8588469</v>
      </c>
      <c r="D19" s="21">
        <f t="shared" si="9"/>
        <v>8697216</v>
      </c>
      <c r="E19" s="21">
        <f>+E14+E11+E16</f>
        <v>8976059</v>
      </c>
      <c r="F19" s="21">
        <f>+F14+F11</f>
        <v>9258958</v>
      </c>
      <c r="G19" s="21">
        <f>+G14+G11</f>
        <v>9511470</v>
      </c>
      <c r="H19" s="21">
        <f>+H14+H11</f>
        <v>10103900</v>
      </c>
      <c r="I19" s="21">
        <f>+I14+I11+I16</f>
        <v>10785497.890000001</v>
      </c>
      <c r="J19" s="21">
        <f>+J14+J11+J16</f>
        <v>11314740.629999999</v>
      </c>
      <c r="K19" s="22">
        <f t="shared" ref="K19:O19" si="10">+K14+K11+K16</f>
        <v>11987724</v>
      </c>
      <c r="L19" s="22">
        <f t="shared" si="10"/>
        <v>11987723.84</v>
      </c>
      <c r="M19" s="22">
        <f t="shared" si="10"/>
        <v>12171859</v>
      </c>
      <c r="N19" s="22">
        <f>+N14+N11</f>
        <v>12171859</v>
      </c>
      <c r="O19" s="22">
        <f t="shared" si="10"/>
        <v>12371032</v>
      </c>
      <c r="P19" s="22">
        <f t="shared" ref="P19" si="11">+P14+P11+P16</f>
        <v>12371031.91</v>
      </c>
      <c r="Q19" s="22">
        <f t="shared" ref="Q19" si="12">+Q14+Q11+Q16</f>
        <v>12862209</v>
      </c>
      <c r="R19" s="21">
        <f t="shared" si="9"/>
        <v>6443690.8700000001</v>
      </c>
      <c r="S19" s="22">
        <f t="shared" si="9"/>
        <v>12980798</v>
      </c>
      <c r="T19" s="22">
        <f>+S19</f>
        <v>12980798</v>
      </c>
      <c r="U19" s="22">
        <f>+S19</f>
        <v>12980798</v>
      </c>
    </row>
    <row r="20" spans="1:25" ht="13.8" thickTop="1" x14ac:dyDescent="0.25">
      <c r="A20" s="703"/>
      <c r="B20" s="4"/>
      <c r="C20" s="24"/>
      <c r="D20" s="24"/>
      <c r="E20" s="24"/>
      <c r="F20" s="24"/>
      <c r="G20" s="24"/>
      <c r="H20" s="24"/>
      <c r="I20" s="24"/>
      <c r="J20" s="24"/>
      <c r="K20" s="24"/>
      <c r="L20" s="24"/>
      <c r="M20" s="24"/>
      <c r="N20" s="24"/>
      <c r="O20" s="24"/>
      <c r="P20" s="24"/>
      <c r="Q20" s="24"/>
      <c r="R20" s="181" t="s">
        <v>732</v>
      </c>
      <c r="S20" s="1001">
        <f>+S19-Q19</f>
        <v>118589</v>
      </c>
      <c r="T20" s="1002">
        <f>ROUND((+S20/Q19),4)</f>
        <v>9.1999999999999998E-3</v>
      </c>
      <c r="U20" s="25"/>
      <c r="W20" s="25"/>
      <c r="X20" s="25"/>
    </row>
    <row r="21" spans="1:25" x14ac:dyDescent="0.25">
      <c r="A21" s="54"/>
      <c r="B21" s="4"/>
      <c r="C21" s="24"/>
      <c r="D21" s="24"/>
      <c r="E21" s="24"/>
      <c r="F21" s="24"/>
      <c r="G21" s="24"/>
      <c r="H21" s="24"/>
      <c r="I21" s="24"/>
      <c r="J21" s="24"/>
      <c r="K21" s="24"/>
      <c r="L21" s="24"/>
      <c r="M21" s="24"/>
      <c r="N21" s="24"/>
      <c r="O21" s="24"/>
      <c r="P21" s="24"/>
      <c r="Q21" s="24"/>
      <c r="R21" s="25"/>
      <c r="S21" s="259"/>
      <c r="T21" s="259"/>
      <c r="U21" s="548"/>
      <c r="W21" s="25"/>
      <c r="X21" s="25"/>
    </row>
    <row r="22" spans="1:25" x14ac:dyDescent="0.25">
      <c r="A22" s="54">
        <v>45224</v>
      </c>
      <c r="B22" s="4" t="s">
        <v>2280</v>
      </c>
      <c r="C22" s="24"/>
      <c r="D22" s="24"/>
      <c r="E22" s="24"/>
      <c r="F22" s="24"/>
      <c r="G22" s="24"/>
      <c r="H22" s="24"/>
      <c r="I22" s="24"/>
      <c r="J22" s="24"/>
      <c r="K22" s="24"/>
      <c r="L22" s="24"/>
      <c r="M22" s="24"/>
      <c r="N22" s="24"/>
      <c r="O22" s="24"/>
      <c r="P22" s="24"/>
      <c r="Q22" s="24"/>
      <c r="R22" s="25"/>
      <c r="S22" s="24"/>
      <c r="T22" s="24"/>
      <c r="U22" s="25"/>
      <c r="W22" s="25"/>
      <c r="X22" s="25"/>
    </row>
    <row r="23" spans="1:25" x14ac:dyDescent="0.25">
      <c r="A23" s="54"/>
      <c r="B23" s="4"/>
      <c r="C23" s="24"/>
      <c r="D23" s="24"/>
      <c r="E23" s="24"/>
      <c r="F23" s="24"/>
      <c r="G23" s="24"/>
      <c r="H23" s="24"/>
      <c r="I23" s="24"/>
      <c r="J23" s="24"/>
      <c r="K23" s="24"/>
      <c r="L23" s="24"/>
      <c r="M23" s="24"/>
      <c r="N23" s="24"/>
      <c r="O23" s="24"/>
      <c r="P23" s="24"/>
      <c r="Q23" s="24"/>
      <c r="R23" s="25"/>
      <c r="S23" s="24"/>
      <c r="T23" s="24"/>
      <c r="U23" s="25"/>
      <c r="W23" s="25"/>
      <c r="X23" s="25"/>
    </row>
    <row r="24" spans="1:25" x14ac:dyDescent="0.25">
      <c r="A24" s="54"/>
      <c r="B24" s="4"/>
      <c r="C24" s="24"/>
      <c r="D24" s="24"/>
      <c r="E24" s="24"/>
      <c r="F24" s="24"/>
      <c r="G24" s="24"/>
      <c r="H24" s="24"/>
      <c r="I24" s="24"/>
      <c r="J24" s="24"/>
      <c r="K24" s="24"/>
      <c r="L24" s="24"/>
      <c r="M24" s="24"/>
      <c r="N24" s="24"/>
      <c r="O24" s="24"/>
      <c r="P24" s="24"/>
      <c r="Q24" s="24"/>
      <c r="R24" s="25"/>
      <c r="S24" s="24"/>
      <c r="T24" s="24"/>
      <c r="U24" s="24"/>
      <c r="V24" s="25"/>
      <c r="W24" s="25"/>
      <c r="X24" s="25"/>
    </row>
    <row r="25" spans="1:25" x14ac:dyDescent="0.25">
      <c r="A25" s="54"/>
      <c r="B25" s="4"/>
      <c r="C25" s="24"/>
      <c r="D25" s="24"/>
      <c r="E25" s="24"/>
      <c r="F25" s="24"/>
      <c r="G25" s="24"/>
      <c r="H25" s="24"/>
      <c r="I25" s="24"/>
      <c r="J25" s="24"/>
      <c r="K25" s="24"/>
      <c r="L25" s="24"/>
      <c r="M25" s="24"/>
      <c r="N25" s="24"/>
      <c r="O25" s="24"/>
      <c r="P25" s="24"/>
      <c r="Q25" s="24"/>
      <c r="R25" s="25"/>
      <c r="S25" s="24"/>
      <c r="T25" s="24"/>
      <c r="U25" s="24"/>
      <c r="V25" s="25"/>
      <c r="W25" s="25"/>
      <c r="X25" s="25"/>
    </row>
    <row r="26" spans="1:25" x14ac:dyDescent="0.25">
      <c r="A26" s="54"/>
      <c r="B26" s="4"/>
      <c r="C26" s="24"/>
      <c r="D26" s="24"/>
      <c r="E26" s="24"/>
      <c r="F26" s="24"/>
      <c r="G26" s="24"/>
      <c r="H26" s="24"/>
      <c r="I26" s="24"/>
      <c r="J26" s="24"/>
      <c r="K26" s="24"/>
      <c r="L26" s="24"/>
      <c r="M26" s="24"/>
      <c r="N26" s="24"/>
      <c r="O26" s="24"/>
      <c r="P26" s="24"/>
      <c r="Q26" s="24"/>
      <c r="R26" s="25"/>
      <c r="S26" s="24"/>
      <c r="T26" s="24"/>
      <c r="U26" s="24"/>
      <c r="V26" s="25"/>
      <c r="W26" s="25"/>
      <c r="X26" s="25"/>
    </row>
    <row r="27" spans="1:25" s="294" customFormat="1" ht="15.6" x14ac:dyDescent="0.3">
      <c r="A27" s="759" t="s">
        <v>1139</v>
      </c>
      <c r="B27" s="332"/>
      <c r="C27" s="333"/>
      <c r="D27" s="333"/>
      <c r="E27" s="333"/>
      <c r="F27" s="333"/>
      <c r="G27" s="333"/>
      <c r="H27" s="333"/>
      <c r="I27" s="333"/>
      <c r="J27" s="333"/>
      <c r="K27" s="333"/>
      <c r="L27" s="333"/>
      <c r="M27" s="333"/>
      <c r="N27" s="333"/>
      <c r="O27" s="333"/>
      <c r="P27" s="333"/>
      <c r="Q27" s="333"/>
      <c r="R27" s="332"/>
      <c r="S27" s="333"/>
      <c r="T27" s="333"/>
      <c r="U27" s="295"/>
      <c r="Y27" s="296"/>
    </row>
    <row r="28" spans="1:25" s="294" customFormat="1" ht="15.6" x14ac:dyDescent="0.3">
      <c r="A28" s="759" t="s">
        <v>1140</v>
      </c>
      <c r="B28" s="332"/>
      <c r="C28" s="333"/>
      <c r="D28" s="333"/>
      <c r="E28" s="333"/>
      <c r="F28" s="333"/>
      <c r="G28" s="333"/>
      <c r="H28" s="333"/>
      <c r="I28" s="333"/>
      <c r="J28" s="333"/>
      <c r="K28" s="333"/>
      <c r="L28" s="333"/>
      <c r="M28" s="333"/>
      <c r="N28" s="333"/>
      <c r="O28" s="333"/>
      <c r="P28" s="333"/>
      <c r="Q28" s="333"/>
      <c r="R28" s="332"/>
      <c r="S28" s="333"/>
      <c r="T28" s="333"/>
      <c r="U28" s="295"/>
      <c r="Y28" s="296"/>
    </row>
    <row r="29" spans="1:25" s="294" customFormat="1" ht="15.6" x14ac:dyDescent="0.3">
      <c r="A29" s="759">
        <v>45224</v>
      </c>
      <c r="B29" s="332" t="s">
        <v>2281</v>
      </c>
      <c r="C29" s="333"/>
      <c r="D29" s="333"/>
      <c r="E29" s="333"/>
      <c r="F29" s="333"/>
      <c r="G29" s="333"/>
      <c r="H29" s="333"/>
      <c r="I29" s="333"/>
      <c r="J29" s="333"/>
      <c r="K29" s="333"/>
      <c r="L29" s="333"/>
      <c r="M29" s="333"/>
      <c r="N29" s="333"/>
      <c r="O29" s="333"/>
      <c r="P29" s="333"/>
      <c r="Q29" s="333"/>
      <c r="R29" s="332"/>
      <c r="S29" s="333"/>
      <c r="T29" s="333"/>
      <c r="U29" s="295"/>
      <c r="Y29" s="296"/>
    </row>
    <row r="30" spans="1:25" s="294" customFormat="1" ht="16.2" x14ac:dyDescent="0.35">
      <c r="A30" s="759"/>
      <c r="B30" s="1018" t="s">
        <v>2588</v>
      </c>
      <c r="C30" s="1019"/>
      <c r="D30" s="1019"/>
      <c r="E30" s="1019"/>
      <c r="F30" s="1019"/>
      <c r="G30" s="1019"/>
      <c r="H30" s="1019"/>
      <c r="I30" s="1019"/>
      <c r="J30" s="1019"/>
      <c r="K30" s="1019"/>
      <c r="L30" s="1019"/>
      <c r="M30" s="1019"/>
      <c r="N30" s="1019" t="s">
        <v>2020</v>
      </c>
      <c r="O30" s="1019"/>
      <c r="P30" s="1019"/>
      <c r="Q30" s="1019"/>
      <c r="R30" s="1332">
        <v>93</v>
      </c>
      <c r="S30" s="1333">
        <v>2023</v>
      </c>
      <c r="T30" s="333"/>
      <c r="U30" s="295"/>
      <c r="Y30" s="296"/>
    </row>
    <row r="31" spans="1:25" s="294" customFormat="1" ht="16.2" x14ac:dyDescent="0.35">
      <c r="A31" s="759"/>
      <c r="B31" s="1018" t="s">
        <v>2589</v>
      </c>
      <c r="C31" s="1019"/>
      <c r="D31" s="1019"/>
      <c r="E31" s="1019"/>
      <c r="F31" s="1019"/>
      <c r="G31" s="1019"/>
      <c r="H31" s="1019"/>
      <c r="I31" s="1019"/>
      <c r="J31" s="1019"/>
      <c r="K31" s="1019"/>
      <c r="L31" s="1019"/>
      <c r="M31" s="1019"/>
      <c r="N31" s="1019"/>
      <c r="O31" s="1019"/>
      <c r="P31" s="1019"/>
      <c r="Q31" s="1019"/>
      <c r="R31" s="1332">
        <v>93</v>
      </c>
      <c r="S31" s="1333">
        <v>2024</v>
      </c>
      <c r="T31" s="333"/>
      <c r="U31" s="295"/>
      <c r="Y31" s="296"/>
    </row>
    <row r="32" spans="1:25" s="294" customFormat="1" ht="15.6" x14ac:dyDescent="0.3">
      <c r="A32" s="759"/>
      <c r="B32" s="1018" t="s">
        <v>2590</v>
      </c>
      <c r="C32" s="1019"/>
      <c r="D32" s="1019"/>
      <c r="E32" s="1019"/>
      <c r="F32" s="1019"/>
      <c r="G32" s="1019"/>
      <c r="H32" s="1019"/>
      <c r="I32" s="1019"/>
      <c r="J32" s="1019"/>
      <c r="K32" s="1019"/>
      <c r="L32" s="1019"/>
      <c r="M32" s="1019"/>
      <c r="N32" s="1019"/>
      <c r="O32" s="1019"/>
      <c r="P32" s="1019"/>
      <c r="Q32" s="1019"/>
      <c r="R32" s="1332">
        <v>74</v>
      </c>
      <c r="S32" s="1333">
        <v>2025</v>
      </c>
      <c r="T32" s="333"/>
      <c r="U32" s="295"/>
      <c r="Y32" s="296"/>
    </row>
    <row r="33" spans="1:25" s="294" customFormat="1" ht="15.6" x14ac:dyDescent="0.3">
      <c r="A33" s="760">
        <v>45327</v>
      </c>
      <c r="B33" s="294" t="s">
        <v>2591</v>
      </c>
      <c r="C33" s="295"/>
      <c r="D33" s="295"/>
      <c r="E33" s="295"/>
      <c r="F33" s="295"/>
      <c r="G33" s="295"/>
      <c r="H33" s="295"/>
      <c r="I33" s="295"/>
      <c r="J33" s="295"/>
      <c r="K33" s="295"/>
      <c r="L33" s="295"/>
      <c r="M33" s="295"/>
      <c r="N33" s="295"/>
      <c r="O33" s="295"/>
      <c r="P33" s="295"/>
      <c r="Q33" s="295"/>
      <c r="S33" s="295"/>
      <c r="T33" s="295"/>
      <c r="U33" s="295"/>
      <c r="Y33" s="296"/>
    </row>
    <row r="34" spans="1:25" s="294" customFormat="1" ht="15.6" x14ac:dyDescent="0.3">
      <c r="A34" s="742"/>
      <c r="B34" s="1334" t="s">
        <v>2592</v>
      </c>
      <c r="C34" s="1335"/>
      <c r="D34" s="1335"/>
      <c r="E34" s="1335"/>
      <c r="F34" s="1335"/>
      <c r="G34" s="1335"/>
      <c r="H34" s="1335"/>
      <c r="I34" s="1335"/>
      <c r="J34" s="1335"/>
      <c r="K34" s="1335"/>
      <c r="L34" s="1335"/>
      <c r="M34" s="1335"/>
      <c r="N34" s="1335"/>
      <c r="O34" s="1335"/>
      <c r="P34" s="1335"/>
      <c r="Q34" s="1335"/>
      <c r="R34" s="1334"/>
      <c r="S34" s="1335"/>
      <c r="T34" s="1335"/>
      <c r="U34" s="295"/>
      <c r="Y34" s="296"/>
    </row>
    <row r="35" spans="1:25" s="294" customFormat="1" ht="15.6" x14ac:dyDescent="0.3">
      <c r="A35" s="742"/>
      <c r="C35" s="295"/>
      <c r="D35" s="295"/>
      <c r="E35" s="295"/>
      <c r="F35" s="295"/>
      <c r="G35" s="295"/>
      <c r="H35" s="295"/>
      <c r="I35" s="295"/>
      <c r="J35" s="295"/>
      <c r="K35" s="295"/>
      <c r="L35" s="295"/>
      <c r="M35" s="295"/>
      <c r="N35" s="295"/>
      <c r="O35" s="295"/>
      <c r="P35" s="295"/>
      <c r="Q35" s="295"/>
      <c r="S35" s="295"/>
      <c r="T35" s="295"/>
      <c r="U35" s="295"/>
      <c r="Y35" s="296"/>
    </row>
    <row r="36" spans="1:25" s="294" customFormat="1" ht="15.6" x14ac:dyDescent="0.3">
      <c r="A36" s="742"/>
      <c r="C36" s="295"/>
      <c r="D36" s="295"/>
      <c r="E36" s="295"/>
      <c r="F36" s="295"/>
      <c r="G36" s="295"/>
      <c r="H36" s="295"/>
      <c r="I36" s="295"/>
      <c r="J36" s="295"/>
      <c r="K36" s="295"/>
      <c r="L36" s="295"/>
      <c r="M36" s="295"/>
      <c r="N36" s="295"/>
      <c r="O36" s="295"/>
      <c r="P36" s="295"/>
      <c r="Q36" s="295"/>
      <c r="S36" s="295"/>
      <c r="T36" s="295"/>
      <c r="U36" s="295"/>
      <c r="Y36" s="296"/>
    </row>
    <row r="37" spans="1:25" s="294" customFormat="1" ht="15.6" x14ac:dyDescent="0.3">
      <c r="A37" s="742"/>
      <c r="C37" s="295"/>
      <c r="D37" s="295"/>
      <c r="E37" s="295"/>
      <c r="F37" s="295"/>
      <c r="G37" s="295"/>
      <c r="I37" s="295"/>
      <c r="J37" s="295"/>
      <c r="K37" s="295"/>
      <c r="L37" s="295"/>
      <c r="M37" s="295"/>
      <c r="N37" s="295"/>
      <c r="O37" s="295"/>
      <c r="P37" s="295"/>
      <c r="Q37" s="295"/>
      <c r="S37" s="295"/>
      <c r="T37" s="295"/>
      <c r="U37" s="295"/>
      <c r="Y37" s="296"/>
    </row>
    <row r="38" spans="1:25" s="294" customFormat="1" ht="15.6" x14ac:dyDescent="0.3">
      <c r="A38" s="742"/>
      <c r="C38" s="295"/>
      <c r="D38" s="295"/>
      <c r="E38" s="295"/>
      <c r="F38" s="295"/>
      <c r="G38" s="295"/>
      <c r="I38" s="295"/>
      <c r="J38" s="295"/>
      <c r="K38" s="295"/>
      <c r="L38" s="295"/>
      <c r="M38" s="295"/>
      <c r="N38" s="295"/>
      <c r="O38" s="295"/>
      <c r="P38" s="295"/>
      <c r="Q38" s="295"/>
      <c r="S38" s="295"/>
      <c r="T38" s="295"/>
      <c r="U38" s="295"/>
      <c r="Y38" s="296"/>
    </row>
    <row r="39" spans="1:25" s="294" customFormat="1" ht="15.6" x14ac:dyDescent="0.3">
      <c r="A39" s="742"/>
      <c r="C39" s="295"/>
      <c r="D39" s="295"/>
      <c r="E39" s="295"/>
      <c r="F39" s="295"/>
      <c r="G39" s="295"/>
      <c r="I39" s="295"/>
      <c r="J39" s="295"/>
      <c r="K39" s="295"/>
      <c r="L39" s="295"/>
      <c r="M39" s="295"/>
      <c r="N39" s="295"/>
      <c r="O39" s="295"/>
      <c r="P39" s="295"/>
      <c r="Q39" s="295"/>
      <c r="S39" s="295"/>
      <c r="T39" s="295"/>
      <c r="U39" s="295"/>
      <c r="Y39" s="296"/>
    </row>
    <row r="40" spans="1:25" s="294" customFormat="1" ht="15.6" x14ac:dyDescent="0.3">
      <c r="A40" s="742"/>
      <c r="C40" s="295"/>
      <c r="D40" s="295"/>
      <c r="E40" s="295"/>
      <c r="F40" s="295"/>
      <c r="G40" s="295"/>
      <c r="I40" s="295"/>
      <c r="J40" s="295"/>
      <c r="K40" s="295"/>
      <c r="L40" s="295"/>
      <c r="M40" s="295"/>
      <c r="N40" s="295"/>
      <c r="O40" s="295"/>
      <c r="P40" s="295"/>
      <c r="Q40" s="295"/>
      <c r="S40" s="295"/>
      <c r="T40" s="295"/>
      <c r="U40" s="295"/>
      <c r="Y40" s="296"/>
    </row>
    <row r="41" spans="1:25" s="294" customFormat="1" ht="15.6" x14ac:dyDescent="0.3">
      <c r="A41" s="742"/>
      <c r="C41" s="295"/>
      <c r="D41" s="295"/>
      <c r="E41" s="295"/>
      <c r="F41" s="295"/>
      <c r="G41" s="295"/>
      <c r="I41" s="295"/>
      <c r="J41" s="295"/>
      <c r="K41" s="295"/>
      <c r="L41" s="295"/>
      <c r="M41" s="295"/>
      <c r="N41" s="295"/>
      <c r="O41" s="295"/>
      <c r="P41" s="295"/>
      <c r="Q41" s="295"/>
      <c r="S41" s="295"/>
      <c r="T41" s="295"/>
      <c r="U41" s="295"/>
      <c r="Y41" s="296"/>
    </row>
    <row r="42" spans="1:25" s="294" customFormat="1" ht="15.6" x14ac:dyDescent="0.3">
      <c r="A42" s="742"/>
      <c r="C42" s="295"/>
      <c r="D42" s="295"/>
      <c r="E42" s="295"/>
      <c r="F42" s="295"/>
      <c r="G42" s="295"/>
      <c r="I42" s="295"/>
      <c r="J42" s="295"/>
      <c r="K42" s="295"/>
      <c r="L42" s="295"/>
      <c r="M42" s="295"/>
      <c r="N42" s="295"/>
      <c r="O42" s="295"/>
      <c r="P42" s="295"/>
      <c r="Q42" s="295"/>
      <c r="S42" s="295"/>
      <c r="T42" s="295"/>
      <c r="U42" s="295"/>
      <c r="Y42" s="296"/>
    </row>
    <row r="43" spans="1:25" s="294" customFormat="1" ht="15.6" x14ac:dyDescent="0.3">
      <c r="A43" s="742"/>
      <c r="C43" s="295"/>
      <c r="D43" s="295"/>
      <c r="E43" s="295"/>
      <c r="F43" s="295"/>
      <c r="G43" s="295"/>
      <c r="I43" s="295"/>
      <c r="J43" s="295"/>
      <c r="K43" s="295"/>
      <c r="L43" s="295"/>
      <c r="M43" s="295"/>
      <c r="N43" s="295"/>
      <c r="O43" s="295"/>
      <c r="P43" s="295"/>
      <c r="Q43" s="295"/>
      <c r="S43" s="295"/>
      <c r="T43" s="295"/>
      <c r="U43" s="295"/>
      <c r="Y43" s="296"/>
    </row>
    <row r="44" spans="1:25" s="294" customFormat="1" ht="15.6" x14ac:dyDescent="0.3">
      <c r="A44" s="742"/>
      <c r="C44" s="295"/>
      <c r="D44" s="295"/>
      <c r="E44" s="295"/>
      <c r="F44" s="295"/>
      <c r="G44" s="295"/>
      <c r="I44" s="295"/>
      <c r="J44" s="295"/>
      <c r="K44" s="295"/>
      <c r="L44" s="295"/>
      <c r="M44" s="295"/>
      <c r="N44" s="295"/>
      <c r="O44" s="295"/>
      <c r="P44" s="295"/>
      <c r="Q44" s="295"/>
      <c r="S44" s="295"/>
      <c r="T44" s="295"/>
      <c r="U44" s="295"/>
      <c r="Y44" s="296"/>
    </row>
    <row r="45" spans="1:25" s="294" customFormat="1" ht="15.6" x14ac:dyDescent="0.3">
      <c r="A45" s="742"/>
      <c r="C45" s="295"/>
      <c r="D45" s="295"/>
      <c r="E45" s="295"/>
      <c r="F45" s="295"/>
      <c r="G45" s="295"/>
      <c r="H45" s="295"/>
      <c r="I45" s="295"/>
      <c r="J45" s="295"/>
      <c r="K45" s="295"/>
      <c r="L45" s="295"/>
      <c r="M45" s="295"/>
      <c r="N45" s="295"/>
      <c r="O45" s="295"/>
      <c r="P45" s="295"/>
      <c r="Q45" s="295"/>
      <c r="S45" s="295"/>
      <c r="T45" s="295"/>
      <c r="U45" s="295"/>
      <c r="Y45" s="296"/>
    </row>
    <row r="46" spans="1:25" s="294" customFormat="1" ht="15.6" x14ac:dyDescent="0.3">
      <c r="A46" s="742"/>
      <c r="C46" s="295"/>
      <c r="D46" s="295"/>
      <c r="E46" s="295"/>
      <c r="F46" s="295"/>
      <c r="G46" s="295"/>
      <c r="H46" s="295"/>
      <c r="I46" s="295"/>
      <c r="J46" s="295"/>
      <c r="K46" s="295"/>
      <c r="L46" s="295"/>
      <c r="M46" s="295"/>
      <c r="N46" s="295"/>
      <c r="O46" s="295"/>
      <c r="P46" s="295"/>
      <c r="Q46" s="295"/>
      <c r="S46" s="295"/>
      <c r="T46" s="295"/>
      <c r="U46" s="295"/>
      <c r="Y46" s="296"/>
    </row>
    <row r="47" spans="1:25" s="294" customFormat="1" ht="15.6" x14ac:dyDescent="0.3">
      <c r="A47" s="742"/>
      <c r="C47" s="295"/>
      <c r="D47" s="295"/>
      <c r="E47" s="295"/>
      <c r="F47" s="295"/>
      <c r="G47" s="295"/>
      <c r="H47" s="295"/>
      <c r="I47" s="295"/>
      <c r="J47" s="295"/>
      <c r="K47" s="555"/>
      <c r="L47" s="555"/>
      <c r="M47" s="555"/>
      <c r="N47" s="555"/>
      <c r="O47" s="555"/>
      <c r="P47" s="555"/>
      <c r="Q47" s="555"/>
      <c r="S47" s="295"/>
      <c r="T47" s="295"/>
      <c r="U47" s="295"/>
      <c r="Y47" s="296"/>
    </row>
    <row r="48" spans="1:25" s="294" customFormat="1" ht="15.6" x14ac:dyDescent="0.3">
      <c r="A48" s="742"/>
      <c r="C48" s="295"/>
      <c r="D48" s="295"/>
      <c r="E48" s="295"/>
      <c r="F48" s="295"/>
      <c r="G48" s="295"/>
      <c r="H48" s="295"/>
      <c r="I48" s="295"/>
      <c r="J48" s="295"/>
      <c r="K48" s="555"/>
      <c r="L48" s="555"/>
      <c r="M48" s="555"/>
      <c r="N48" s="555"/>
      <c r="O48" s="555"/>
      <c r="P48" s="555"/>
      <c r="Q48" s="555"/>
      <c r="R48" s="556"/>
      <c r="S48" s="295"/>
      <c r="T48" s="295"/>
      <c r="U48" s="295"/>
      <c r="Y48" s="296"/>
    </row>
    <row r="49" spans="1:25" s="294" customFormat="1" ht="15.6" x14ac:dyDescent="0.3">
      <c r="A49" s="742"/>
      <c r="C49" s="295"/>
      <c r="D49" s="295"/>
      <c r="E49" s="295"/>
      <c r="F49" s="295"/>
      <c r="G49" s="295"/>
      <c r="H49" s="295"/>
      <c r="I49" s="295"/>
      <c r="J49" s="295"/>
      <c r="K49" s="555"/>
      <c r="L49" s="555"/>
      <c r="M49" s="555"/>
      <c r="N49" s="555"/>
      <c r="O49" s="555"/>
      <c r="P49" s="555"/>
      <c r="Q49" s="555"/>
      <c r="R49" s="556"/>
      <c r="S49" s="295"/>
      <c r="T49" s="295"/>
      <c r="U49" s="295"/>
      <c r="Y49" s="296"/>
    </row>
    <row r="50" spans="1:25" s="294" customFormat="1" ht="15.6" x14ac:dyDescent="0.3">
      <c r="A50" s="742"/>
      <c r="C50" s="295"/>
      <c r="D50" s="295"/>
      <c r="E50" s="295"/>
      <c r="F50" s="295"/>
      <c r="G50" s="295"/>
      <c r="H50" s="295"/>
      <c r="I50" s="295"/>
      <c r="J50" s="295"/>
      <c r="K50" s="555"/>
      <c r="L50" s="555"/>
      <c r="M50" s="555"/>
      <c r="N50" s="555"/>
      <c r="O50" s="555"/>
      <c r="P50" s="555"/>
      <c r="Q50" s="555"/>
      <c r="R50" s="556"/>
      <c r="S50" s="295"/>
      <c r="T50" s="295"/>
      <c r="U50" s="295"/>
      <c r="Y50" s="296"/>
    </row>
    <row r="51" spans="1:25" s="294" customFormat="1" ht="15.6" x14ac:dyDescent="0.3">
      <c r="A51" s="743"/>
      <c r="B51" s="485"/>
      <c r="C51" s="492"/>
      <c r="D51" s="492"/>
      <c r="E51" s="492"/>
      <c r="F51" s="492"/>
      <c r="G51" s="492"/>
      <c r="H51" s="492"/>
      <c r="I51" s="492"/>
      <c r="J51" s="492"/>
      <c r="K51" s="492"/>
      <c r="L51" s="492"/>
      <c r="M51" s="492"/>
      <c r="N51" s="492"/>
      <c r="O51" s="492"/>
      <c r="P51" s="492"/>
      <c r="Q51" s="492"/>
      <c r="R51" s="485"/>
      <c r="S51" s="492"/>
      <c r="T51" s="492"/>
      <c r="U51" s="492"/>
      <c r="V51" s="485"/>
      <c r="W51" s="485"/>
      <c r="X51" s="485"/>
      <c r="Y51" s="296"/>
    </row>
    <row r="52" spans="1:25" s="294" customFormat="1" ht="15.6" x14ac:dyDescent="0.3">
      <c r="A52" s="743"/>
      <c r="B52" s="485"/>
      <c r="C52" s="492"/>
      <c r="D52" s="492"/>
      <c r="E52" s="492"/>
      <c r="F52" s="492"/>
      <c r="G52" s="492"/>
      <c r="H52" s="492"/>
      <c r="I52" s="492"/>
      <c r="J52" s="492"/>
      <c r="K52" s="492"/>
      <c r="L52" s="492"/>
      <c r="M52" s="492"/>
      <c r="N52" s="492"/>
      <c r="O52" s="492"/>
      <c r="P52" s="492"/>
      <c r="Q52" s="492"/>
      <c r="R52" s="485"/>
      <c r="S52" s="492"/>
      <c r="T52" s="492"/>
      <c r="U52" s="492"/>
      <c r="V52" s="485"/>
      <c r="W52" s="485"/>
      <c r="X52" s="485"/>
      <c r="Y52" s="296"/>
    </row>
    <row r="53" spans="1:25" s="294" customFormat="1" ht="15.6" x14ac:dyDescent="0.3">
      <c r="A53" s="743"/>
      <c r="B53" s="485"/>
      <c r="C53" s="492"/>
      <c r="D53" s="492"/>
      <c r="E53" s="492"/>
      <c r="F53" s="492"/>
      <c r="G53" s="492"/>
      <c r="H53" s="492"/>
      <c r="I53" s="492"/>
      <c r="J53" s="492"/>
      <c r="K53" s="492"/>
      <c r="L53" s="492"/>
      <c r="M53" s="492"/>
      <c r="N53" s="492"/>
      <c r="O53" s="492"/>
      <c r="P53" s="492"/>
      <c r="Q53" s="492"/>
      <c r="R53" s="485"/>
      <c r="S53" s="492"/>
      <c r="T53" s="492"/>
      <c r="U53" s="492"/>
      <c r="V53" s="485"/>
      <c r="W53" s="485"/>
      <c r="X53" s="485"/>
      <c r="Y53" s="296"/>
    </row>
    <row r="54" spans="1:25" s="294" customFormat="1" ht="15.6" x14ac:dyDescent="0.3">
      <c r="A54" s="743"/>
      <c r="B54" s="485"/>
      <c r="C54" s="492"/>
      <c r="D54" s="492"/>
      <c r="E54" s="492"/>
      <c r="F54" s="492"/>
      <c r="G54" s="492"/>
      <c r="H54" s="492"/>
      <c r="I54" s="492"/>
      <c r="J54" s="492"/>
      <c r="K54" s="492"/>
      <c r="L54" s="492"/>
      <c r="M54" s="492"/>
      <c r="N54" s="492"/>
      <c r="O54" s="492"/>
      <c r="P54" s="492"/>
      <c r="Q54" s="492"/>
      <c r="R54" s="485"/>
      <c r="S54" s="492"/>
      <c r="T54" s="492"/>
      <c r="U54" s="492"/>
      <c r="V54" s="485"/>
      <c r="W54" s="485"/>
      <c r="X54" s="485"/>
      <c r="Y54" s="296"/>
    </row>
    <row r="55" spans="1:25" s="294" customFormat="1" ht="15.6" x14ac:dyDescent="0.3">
      <c r="A55" s="743"/>
      <c r="B55" s="485"/>
      <c r="C55" s="492"/>
      <c r="D55" s="492"/>
      <c r="E55" s="492"/>
      <c r="F55" s="492"/>
      <c r="G55" s="492"/>
      <c r="H55" s="492"/>
      <c r="I55" s="492"/>
      <c r="J55" s="492"/>
      <c r="K55" s="492"/>
      <c r="L55" s="492"/>
      <c r="M55" s="492"/>
      <c r="N55" s="492"/>
      <c r="O55" s="492"/>
      <c r="P55" s="492"/>
      <c r="Q55" s="492"/>
      <c r="R55" s="485"/>
      <c r="S55" s="492"/>
      <c r="T55" s="492"/>
      <c r="U55" s="492"/>
      <c r="V55" s="485"/>
      <c r="W55" s="485"/>
      <c r="X55" s="485"/>
      <c r="Y55" s="296"/>
    </row>
    <row r="56" spans="1:25" s="294" customFormat="1" ht="15.6" x14ac:dyDescent="0.3">
      <c r="A56" s="743"/>
      <c r="B56" s="485"/>
      <c r="C56" s="492"/>
      <c r="D56" s="492"/>
      <c r="E56" s="492"/>
      <c r="F56" s="492"/>
      <c r="G56" s="492"/>
      <c r="H56" s="492"/>
      <c r="I56" s="492"/>
      <c r="J56" s="492"/>
      <c r="K56" s="492"/>
      <c r="L56" s="492"/>
      <c r="M56" s="492"/>
      <c r="N56" s="492"/>
      <c r="O56" s="492"/>
      <c r="P56" s="492"/>
      <c r="Q56" s="492"/>
      <c r="R56" s="485"/>
      <c r="S56" s="492"/>
      <c r="T56" s="492"/>
      <c r="U56" s="492"/>
      <c r="V56" s="485"/>
      <c r="W56" s="485"/>
      <c r="X56" s="485"/>
      <c r="Y56" s="296"/>
    </row>
    <row r="57" spans="1:25" s="294" customFormat="1" ht="15.6" x14ac:dyDescent="0.3">
      <c r="A57" s="743"/>
      <c r="B57" s="485"/>
      <c r="C57" s="492"/>
      <c r="D57" s="492"/>
      <c r="E57" s="492"/>
      <c r="F57" s="492"/>
      <c r="G57" s="492"/>
      <c r="H57" s="492"/>
      <c r="I57" s="492"/>
      <c r="J57" s="492"/>
      <c r="K57" s="492"/>
      <c r="L57" s="492"/>
      <c r="M57" s="492"/>
      <c r="N57" s="492"/>
      <c r="O57" s="492"/>
      <c r="P57" s="492"/>
      <c r="Q57" s="492"/>
      <c r="R57" s="485"/>
      <c r="S57" s="492"/>
      <c r="T57" s="492"/>
      <c r="U57" s="492"/>
      <c r="V57" s="485"/>
      <c r="W57" s="485"/>
      <c r="X57" s="485"/>
      <c r="Y57" s="296"/>
    </row>
    <row r="58" spans="1:25" s="294" customFormat="1" ht="15.6" x14ac:dyDescent="0.3">
      <c r="A58" s="743"/>
      <c r="B58" s="485"/>
      <c r="C58" s="492"/>
      <c r="D58" s="492"/>
      <c r="E58" s="492"/>
      <c r="F58" s="492"/>
      <c r="G58" s="492"/>
      <c r="H58" s="492"/>
      <c r="I58" s="492"/>
      <c r="J58" s="492"/>
      <c r="K58" s="492"/>
      <c r="L58" s="492"/>
      <c r="M58" s="492"/>
      <c r="N58" s="492"/>
      <c r="O58" s="492"/>
      <c r="P58" s="492"/>
      <c r="Q58" s="492"/>
      <c r="R58" s="485"/>
      <c r="S58" s="492"/>
      <c r="T58" s="492"/>
      <c r="U58" s="492"/>
      <c r="V58" s="485"/>
      <c r="W58" s="485"/>
      <c r="X58" s="485"/>
      <c r="Y58" s="296"/>
    </row>
    <row r="59" spans="1:25" s="294" customFormat="1" ht="15.6" x14ac:dyDescent="0.3">
      <c r="A59" s="743"/>
      <c r="B59" s="485"/>
      <c r="C59" s="492"/>
      <c r="D59" s="492"/>
      <c r="E59" s="492"/>
      <c r="F59" s="492"/>
      <c r="G59" s="492"/>
      <c r="H59" s="492"/>
      <c r="I59" s="492"/>
      <c r="J59" s="492"/>
      <c r="K59" s="492"/>
      <c r="L59" s="492"/>
      <c r="M59" s="492"/>
      <c r="N59" s="492"/>
      <c r="O59" s="492"/>
      <c r="P59" s="492"/>
      <c r="Q59" s="492"/>
      <c r="R59" s="485"/>
      <c r="S59" s="492"/>
      <c r="T59" s="492"/>
      <c r="U59" s="492"/>
      <c r="V59" s="485"/>
      <c r="W59" s="485"/>
      <c r="X59" s="485"/>
      <c r="Y59" s="296"/>
    </row>
    <row r="60" spans="1:25" s="294" customFormat="1" ht="15.6" x14ac:dyDescent="0.3">
      <c r="A60" s="743"/>
      <c r="B60" s="485"/>
      <c r="C60" s="492"/>
      <c r="D60" s="492"/>
      <c r="E60" s="492"/>
      <c r="F60" s="492"/>
      <c r="G60" s="492"/>
      <c r="H60" s="492"/>
      <c r="I60" s="492"/>
      <c r="J60" s="492"/>
      <c r="K60" s="492"/>
      <c r="L60" s="492"/>
      <c r="M60" s="492"/>
      <c r="N60" s="492"/>
      <c r="O60" s="492"/>
      <c r="P60" s="492"/>
      <c r="Q60" s="492"/>
      <c r="R60" s="485"/>
      <c r="S60" s="492"/>
      <c r="T60" s="492"/>
      <c r="U60" s="492"/>
      <c r="V60" s="485"/>
      <c r="W60" s="485"/>
      <c r="X60" s="485"/>
      <c r="Y60" s="296"/>
    </row>
    <row r="61" spans="1:25" s="294" customFormat="1" ht="15.6" x14ac:dyDescent="0.3">
      <c r="A61" s="743"/>
      <c r="B61" s="485"/>
      <c r="C61" s="492"/>
      <c r="D61" s="492"/>
      <c r="E61" s="492"/>
      <c r="F61" s="492"/>
      <c r="G61" s="492"/>
      <c r="H61" s="492"/>
      <c r="I61" s="492"/>
      <c r="J61" s="492"/>
      <c r="K61" s="492"/>
      <c r="L61" s="492"/>
      <c r="M61" s="492"/>
      <c r="N61" s="492"/>
      <c r="O61" s="492"/>
      <c r="P61" s="492"/>
      <c r="Q61" s="492"/>
      <c r="R61" s="485"/>
      <c r="S61" s="492"/>
      <c r="T61" s="492"/>
      <c r="U61" s="492"/>
      <c r="V61" s="485"/>
      <c r="W61" s="485"/>
      <c r="X61" s="485"/>
      <c r="Y61" s="296"/>
    </row>
    <row r="62" spans="1:25" s="294" customFormat="1" ht="15.6" x14ac:dyDescent="0.3">
      <c r="A62" s="743"/>
      <c r="B62" s="485"/>
      <c r="C62" s="492"/>
      <c r="D62" s="492"/>
      <c r="E62" s="492"/>
      <c r="F62" s="492"/>
      <c r="G62" s="492"/>
      <c r="H62" s="492"/>
      <c r="I62" s="492"/>
      <c r="J62" s="492"/>
      <c r="K62" s="492"/>
      <c r="L62" s="492"/>
      <c r="M62" s="492"/>
      <c r="N62" s="492"/>
      <c r="O62" s="492"/>
      <c r="P62" s="492"/>
      <c r="Q62" s="492"/>
      <c r="R62" s="485"/>
      <c r="S62" s="492"/>
      <c r="T62" s="492"/>
      <c r="U62" s="492"/>
      <c r="V62" s="485"/>
      <c r="W62" s="485"/>
      <c r="X62" s="485"/>
      <c r="Y62" s="296"/>
    </row>
    <row r="63" spans="1:25" s="294" customFormat="1" ht="15.6" x14ac:dyDescent="0.3">
      <c r="A63" s="743"/>
      <c r="B63" s="485"/>
      <c r="C63" s="492"/>
      <c r="D63" s="492"/>
      <c r="E63" s="492"/>
      <c r="F63" s="492"/>
      <c r="G63" s="492"/>
      <c r="H63" s="492"/>
      <c r="I63" s="492"/>
      <c r="J63" s="492"/>
      <c r="K63" s="492"/>
      <c r="L63" s="492"/>
      <c r="M63" s="492"/>
      <c r="N63" s="492"/>
      <c r="O63" s="492"/>
      <c r="P63" s="492"/>
      <c r="Q63" s="492"/>
      <c r="R63" s="485"/>
      <c r="S63" s="492"/>
      <c r="T63" s="492"/>
      <c r="U63" s="492"/>
      <c r="V63" s="485"/>
      <c r="W63" s="485"/>
      <c r="X63" s="485"/>
      <c r="Y63" s="296"/>
    </row>
    <row r="64" spans="1:25" s="294" customFormat="1" ht="15.6" x14ac:dyDescent="0.3">
      <c r="A64" s="743"/>
      <c r="B64" s="485"/>
      <c r="C64" s="492"/>
      <c r="D64" s="492"/>
      <c r="E64" s="492"/>
      <c r="F64" s="492"/>
      <c r="G64" s="492"/>
      <c r="H64" s="492"/>
      <c r="I64" s="492"/>
      <c r="J64" s="492"/>
      <c r="K64" s="492"/>
      <c r="L64" s="492"/>
      <c r="M64" s="492"/>
      <c r="N64" s="492"/>
      <c r="O64" s="492"/>
      <c r="P64" s="492"/>
      <c r="Q64" s="492"/>
      <c r="R64" s="485"/>
      <c r="S64" s="492"/>
      <c r="T64" s="492"/>
      <c r="U64" s="492"/>
      <c r="V64" s="485"/>
      <c r="W64" s="485"/>
      <c r="X64" s="485"/>
      <c r="Y64" s="296"/>
    </row>
    <row r="65" spans="1:25" s="294" customFormat="1" ht="15.6" x14ac:dyDescent="0.3">
      <c r="A65" s="743"/>
      <c r="B65" s="485"/>
      <c r="C65" s="492"/>
      <c r="D65" s="492"/>
      <c r="E65" s="492"/>
      <c r="F65" s="492"/>
      <c r="G65" s="492"/>
      <c r="H65" s="492"/>
      <c r="I65" s="492"/>
      <c r="J65" s="492"/>
      <c r="K65" s="492"/>
      <c r="L65" s="492"/>
      <c r="M65" s="492"/>
      <c r="N65" s="492"/>
      <c r="O65" s="492"/>
      <c r="P65" s="492"/>
      <c r="Q65" s="492"/>
      <c r="R65" s="485"/>
      <c r="S65" s="492"/>
      <c r="T65" s="492"/>
      <c r="U65" s="492"/>
      <c r="V65" s="485"/>
      <c r="W65" s="485"/>
      <c r="X65" s="485"/>
      <c r="Y65" s="296"/>
    </row>
    <row r="66" spans="1:25" x14ac:dyDescent="0.25">
      <c r="A66" s="703"/>
      <c r="B66" s="4"/>
      <c r="C66" s="23"/>
      <c r="D66" s="23"/>
      <c r="E66" s="23"/>
      <c r="F66" s="23"/>
      <c r="G66" s="23"/>
      <c r="H66" s="23"/>
      <c r="I66" s="23"/>
      <c r="J66" s="23"/>
      <c r="K66" s="23"/>
      <c r="L66" s="23"/>
      <c r="M66" s="23"/>
      <c r="N66" s="23"/>
      <c r="O66" s="23"/>
      <c r="P66" s="23"/>
      <c r="Q66" s="23"/>
      <c r="R66" s="4"/>
      <c r="S66" s="23"/>
      <c r="T66" s="23"/>
      <c r="U66" s="23"/>
      <c r="V66" s="4"/>
      <c r="W66" s="4"/>
      <c r="X66" s="4"/>
    </row>
    <row r="67" spans="1:25" x14ac:dyDescent="0.25">
      <c r="A67" s="703"/>
      <c r="B67" s="4"/>
      <c r="C67" s="23"/>
      <c r="D67" s="23"/>
      <c r="E67" s="23"/>
      <c r="F67" s="23"/>
      <c r="G67" s="23"/>
      <c r="H67" s="23"/>
      <c r="I67" s="23"/>
      <c r="J67" s="23"/>
      <c r="K67" s="23"/>
      <c r="L67" s="23"/>
      <c r="M67" s="23"/>
      <c r="N67" s="23"/>
      <c r="O67" s="23"/>
      <c r="P67" s="23"/>
      <c r="Q67" s="23"/>
      <c r="R67" s="4"/>
      <c r="S67" s="23"/>
      <c r="T67" s="23"/>
      <c r="U67" s="23"/>
      <c r="V67" s="4"/>
      <c r="W67" s="4"/>
      <c r="X67" s="4"/>
    </row>
    <row r="68" spans="1:25" x14ac:dyDescent="0.25">
      <c r="A68" s="703"/>
      <c r="B68" s="4"/>
      <c r="C68" s="23"/>
      <c r="D68" s="23"/>
      <c r="E68" s="23"/>
      <c r="F68" s="23"/>
      <c r="G68" s="23"/>
      <c r="H68" s="23"/>
      <c r="I68" s="23"/>
      <c r="J68" s="23"/>
      <c r="K68" s="23"/>
      <c r="L68" s="23"/>
      <c r="M68" s="23"/>
      <c r="N68" s="23"/>
      <c r="O68" s="23"/>
      <c r="P68" s="23"/>
      <c r="Q68" s="23"/>
      <c r="R68" s="4"/>
      <c r="S68" s="23"/>
      <c r="T68" s="23"/>
      <c r="U68" s="23"/>
      <c r="V68" s="4"/>
      <c r="W68" s="4"/>
      <c r="X68" s="4"/>
    </row>
    <row r="69" spans="1:25" x14ac:dyDescent="0.25">
      <c r="A69" s="703"/>
      <c r="B69" s="4"/>
      <c r="C69" s="23"/>
      <c r="D69" s="23"/>
      <c r="E69" s="23"/>
      <c r="F69" s="23"/>
      <c r="G69" s="23"/>
      <c r="H69" s="23"/>
      <c r="I69" s="23"/>
      <c r="J69" s="23"/>
      <c r="K69" s="23"/>
      <c r="L69" s="23"/>
      <c r="M69" s="23"/>
      <c r="N69" s="23"/>
      <c r="O69" s="23"/>
      <c r="P69" s="23"/>
      <c r="Q69" s="23"/>
      <c r="R69" s="4"/>
      <c r="S69" s="23"/>
      <c r="T69" s="23"/>
      <c r="U69" s="23"/>
      <c r="V69" s="4"/>
      <c r="W69" s="4"/>
      <c r="X69" s="4"/>
    </row>
    <row r="70" spans="1:25" x14ac:dyDescent="0.25">
      <c r="A70" s="703"/>
      <c r="B70" s="4"/>
      <c r="C70" s="23"/>
      <c r="D70" s="23"/>
      <c r="E70" s="23"/>
      <c r="F70" s="23"/>
      <c r="G70" s="23"/>
      <c r="H70" s="23"/>
      <c r="I70" s="23"/>
      <c r="J70" s="23"/>
      <c r="K70" s="23"/>
      <c r="L70" s="23"/>
      <c r="M70" s="23"/>
      <c r="N70" s="23"/>
      <c r="O70" s="23"/>
      <c r="P70" s="23"/>
      <c r="Q70" s="23"/>
      <c r="R70" s="4"/>
      <c r="S70" s="23"/>
      <c r="T70" s="23"/>
      <c r="U70" s="23"/>
      <c r="V70" s="4"/>
      <c r="W70" s="4"/>
      <c r="X70" s="4"/>
    </row>
    <row r="71" spans="1:25" x14ac:dyDescent="0.25">
      <c r="A71" s="703"/>
      <c r="B71" s="4"/>
      <c r="C71" s="23"/>
      <c r="D71" s="23"/>
      <c r="E71" s="23"/>
      <c r="F71" s="23"/>
      <c r="G71" s="23"/>
      <c r="H71" s="23"/>
      <c r="I71" s="23"/>
      <c r="J71" s="23"/>
      <c r="K71" s="23"/>
      <c r="L71" s="23"/>
      <c r="M71" s="23"/>
      <c r="N71" s="23"/>
      <c r="O71" s="23"/>
      <c r="P71" s="23"/>
      <c r="Q71" s="23"/>
      <c r="R71" s="4"/>
      <c r="S71" s="23"/>
      <c r="T71" s="23"/>
      <c r="U71" s="23"/>
      <c r="V71" s="4"/>
      <c r="W71" s="4"/>
      <c r="X71" s="4"/>
    </row>
    <row r="72" spans="1:25" x14ac:dyDescent="0.25">
      <c r="A72" s="703"/>
      <c r="B72" s="4"/>
      <c r="C72" s="23"/>
      <c r="D72" s="23"/>
      <c r="E72" s="23"/>
      <c r="F72" s="23"/>
      <c r="G72" s="23"/>
      <c r="H72" s="23"/>
      <c r="I72" s="23"/>
      <c r="J72" s="23"/>
      <c r="K72" s="23"/>
      <c r="L72" s="23"/>
      <c r="M72" s="23"/>
      <c r="N72" s="23"/>
      <c r="O72" s="23"/>
      <c r="P72" s="23"/>
      <c r="Q72" s="23"/>
      <c r="R72" s="4"/>
      <c r="S72" s="23"/>
      <c r="T72" s="23"/>
      <c r="U72" s="23"/>
      <c r="V72" s="4"/>
      <c r="W72" s="4"/>
      <c r="X72" s="4"/>
    </row>
    <row r="73" spans="1:25" x14ac:dyDescent="0.25">
      <c r="A73" s="703"/>
      <c r="B73" s="4"/>
      <c r="C73" s="23"/>
      <c r="D73" s="23"/>
      <c r="E73" s="23"/>
      <c r="F73" s="23"/>
      <c r="G73" s="23"/>
      <c r="H73" s="23"/>
      <c r="I73" s="23"/>
      <c r="J73" s="23"/>
      <c r="K73" s="23"/>
      <c r="L73" s="23"/>
      <c r="M73" s="23"/>
      <c r="N73" s="23"/>
      <c r="O73" s="23"/>
      <c r="P73" s="23"/>
      <c r="Q73" s="23"/>
      <c r="R73" s="4"/>
      <c r="S73" s="23"/>
      <c r="T73" s="23"/>
      <c r="U73" s="23"/>
      <c r="V73" s="4"/>
      <c r="W73" s="4"/>
      <c r="X73" s="4"/>
    </row>
    <row r="74" spans="1:25"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5"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5"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5"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5"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5"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5"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C111" s="194"/>
      <c r="D111" s="194"/>
      <c r="E111" s="194"/>
      <c r="F111" s="194"/>
      <c r="G111" s="194"/>
      <c r="H111" s="194"/>
      <c r="I111" s="194"/>
      <c r="J111" s="194"/>
      <c r="K111" s="194"/>
      <c r="L111" s="194"/>
      <c r="M111" s="194"/>
      <c r="N111" s="194"/>
      <c r="O111" s="194"/>
      <c r="P111" s="194"/>
      <c r="Q111" s="194"/>
    </row>
    <row r="112" spans="1:24" x14ac:dyDescent="0.25">
      <c r="C112" s="194"/>
      <c r="D112" s="194"/>
      <c r="E112" s="194"/>
      <c r="F112" s="194"/>
      <c r="G112" s="194"/>
      <c r="H112" s="194"/>
      <c r="I112" s="194"/>
      <c r="J112" s="194"/>
      <c r="K112" s="194"/>
      <c r="L112" s="194"/>
      <c r="M112" s="194"/>
      <c r="N112" s="194"/>
      <c r="O112" s="194"/>
      <c r="P112" s="194"/>
      <c r="Q112" s="194"/>
    </row>
    <row r="113" spans="3:3" x14ac:dyDescent="0.25">
      <c r="C113" s="194"/>
    </row>
    <row r="114" spans="3:3" x14ac:dyDescent="0.25">
      <c r="C114" s="194"/>
    </row>
    <row r="115" spans="3:3" x14ac:dyDescent="0.25">
      <c r="C115" s="194"/>
    </row>
    <row r="116" spans="3:3" x14ac:dyDescent="0.25">
      <c r="C116" s="194"/>
    </row>
    <row r="117" spans="3:3" x14ac:dyDescent="0.25">
      <c r="C117" s="194"/>
    </row>
    <row r="118" spans="3:3" x14ac:dyDescent="0.25">
      <c r="C118" s="194"/>
    </row>
    <row r="119" spans="3:3" x14ac:dyDescent="0.25">
      <c r="C119" s="194"/>
    </row>
    <row r="120" spans="3:3" x14ac:dyDescent="0.25">
      <c r="C120" s="194"/>
    </row>
    <row r="121" spans="3:3" x14ac:dyDescent="0.25">
      <c r="C121" s="194"/>
    </row>
    <row r="122" spans="3:3" x14ac:dyDescent="0.25">
      <c r="C122" s="194"/>
    </row>
    <row r="123" spans="3:3" x14ac:dyDescent="0.25">
      <c r="C123" s="194"/>
    </row>
    <row r="124" spans="3:3" x14ac:dyDescent="0.25">
      <c r="C124" s="194"/>
    </row>
    <row r="125" spans="3:3" x14ac:dyDescent="0.25">
      <c r="C125" s="194"/>
    </row>
    <row r="126" spans="3:3" x14ac:dyDescent="0.25">
      <c r="C126" s="194"/>
    </row>
    <row r="127" spans="3:3" x14ac:dyDescent="0.25">
      <c r="C127" s="194"/>
    </row>
    <row r="128" spans="3:3" x14ac:dyDescent="0.25">
      <c r="C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sheetData>
  <phoneticPr fontId="0" type="noConversion"/>
  <hyperlinks>
    <hyperlink ref="A1" location="'Working Budget with funding det'!A1" display="Main " xr:uid="{00000000-0004-0000-2100-000000000000}"/>
    <hyperlink ref="B1" location="'Table of Contents'!A1" display="TOC" xr:uid="{00000000-0004-0000-2100-000001000000}"/>
  </hyperlinks>
  <pageMargins left="0.75" right="0.75" top="1" bottom="1" header="0.5" footer="0.5"/>
  <pageSetup scale="83" orientation="landscape" r:id="rId1"/>
  <headerFooter alignWithMargins="0">
    <oddFooter>&amp;L&amp;D     &amp;T&amp;C&amp;F&amp;R&amp;A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AB125"/>
  <sheetViews>
    <sheetView zoomScaleNormal="100" workbookViewId="0">
      <pane ySplit="7" topLeftCell="A53" activePane="bottomLeft" state="frozen"/>
      <selection activeCell="S15" sqref="S15"/>
      <selection pane="bottomLeft" activeCell="S15" sqref="S15"/>
    </sheetView>
  </sheetViews>
  <sheetFormatPr defaultRowHeight="13.2" x14ac:dyDescent="0.25"/>
  <cols>
    <col min="1" max="1" width="10.77734375" style="712" customWidth="1"/>
    <col min="2" max="2" width="36" customWidth="1"/>
    <col min="3" max="3" width="15.33203125" style="1" hidden="1" customWidth="1"/>
    <col min="4" max="14" width="15.33203125" style="105" hidden="1" customWidth="1"/>
    <col min="15" max="17" width="15.33203125" style="105" customWidth="1"/>
    <col min="18" max="22" width="14.44140625" style="1" customWidth="1"/>
    <col min="23" max="23" width="17.109375" customWidth="1"/>
    <col min="24" max="24" width="14" customWidth="1"/>
    <col min="25" max="25" width="14.44140625" customWidth="1"/>
    <col min="26" max="26" width="14.6640625" style="76" customWidth="1"/>
    <col min="27" max="27" width="14.44140625" customWidth="1"/>
    <col min="28" max="28" width="13.6640625" style="2" customWidth="1"/>
    <col min="29" max="29" width="12.6640625" customWidth="1"/>
    <col min="30" max="30" width="14.109375" customWidth="1"/>
    <col min="31" max="31" width="12.33203125" bestFit="1" customWidth="1"/>
  </cols>
  <sheetData>
    <row r="1" spans="1:27" x14ac:dyDescent="0.25">
      <c r="A1" s="701" t="s">
        <v>736</v>
      </c>
      <c r="B1" s="290" t="s">
        <v>194</v>
      </c>
      <c r="D1" s="194"/>
      <c r="E1" s="194"/>
      <c r="F1" s="194"/>
      <c r="G1" s="194"/>
      <c r="H1" s="194"/>
      <c r="I1" s="194"/>
      <c r="J1" s="194"/>
      <c r="K1" s="194"/>
      <c r="L1" s="194"/>
      <c r="M1" s="194"/>
      <c r="N1" s="194"/>
      <c r="O1" s="194"/>
      <c r="P1" s="194"/>
      <c r="Q1" s="194"/>
      <c r="U1"/>
      <c r="V1"/>
      <c r="Z1" s="202"/>
    </row>
    <row r="2" spans="1:27" ht="13.8" x14ac:dyDescent="0.25">
      <c r="A2" s="702" t="s">
        <v>1142</v>
      </c>
      <c r="B2" s="43"/>
      <c r="D2" s="194"/>
      <c r="E2" s="125"/>
      <c r="F2" s="194"/>
      <c r="G2" s="194"/>
      <c r="H2" s="194"/>
      <c r="I2" s="125" t="s">
        <v>706</v>
      </c>
      <c r="J2" s="125"/>
      <c r="K2" s="125"/>
      <c r="L2" s="125"/>
      <c r="M2" s="125"/>
      <c r="N2" s="125"/>
      <c r="O2" s="125"/>
      <c r="P2" s="125"/>
      <c r="Q2" s="125"/>
      <c r="R2" s="58" t="s">
        <v>1143</v>
      </c>
      <c r="U2" s="44" t="s">
        <v>1144</v>
      </c>
      <c r="Z2" s="202"/>
    </row>
    <row r="3" spans="1:27" ht="13.8" thickBot="1" x14ac:dyDescent="0.3">
      <c r="A3" s="703"/>
      <c r="B3" s="4"/>
      <c r="C3" s="23"/>
      <c r="D3" s="23"/>
      <c r="E3" s="23"/>
      <c r="F3" s="23"/>
      <c r="G3" s="23"/>
      <c r="H3" s="23"/>
      <c r="I3" s="23"/>
      <c r="J3" s="23"/>
      <c r="K3" s="23"/>
      <c r="L3" s="23"/>
      <c r="M3" s="23"/>
      <c r="N3" s="23"/>
      <c r="O3" s="23"/>
      <c r="P3" s="23"/>
      <c r="Q3" s="23"/>
      <c r="R3" s="23"/>
      <c r="S3" s="23"/>
      <c r="T3" s="23"/>
      <c r="U3" s="4"/>
      <c r="V3" s="4"/>
      <c r="Y3" s="4"/>
      <c r="Z3" s="4"/>
      <c r="AA3" s="4"/>
    </row>
    <row r="4" spans="1:27" ht="13.8" thickTop="1" x14ac:dyDescent="0.25">
      <c r="A4" s="704"/>
      <c r="B4" s="524"/>
      <c r="C4" s="113" t="s">
        <v>256</v>
      </c>
      <c r="D4" s="212" t="s">
        <v>256</v>
      </c>
      <c r="E4" s="212" t="s">
        <v>256</v>
      </c>
      <c r="F4" s="212" t="s">
        <v>256</v>
      </c>
      <c r="G4" s="212" t="s">
        <v>256</v>
      </c>
      <c r="H4" s="103" t="s">
        <v>256</v>
      </c>
      <c r="I4" s="230" t="s">
        <v>256</v>
      </c>
      <c r="J4" s="230" t="s">
        <v>256</v>
      </c>
      <c r="K4" s="230" t="s">
        <v>255</v>
      </c>
      <c r="L4" s="230" t="s">
        <v>256</v>
      </c>
      <c r="M4" s="230" t="s">
        <v>255</v>
      </c>
      <c r="N4" s="230" t="s">
        <v>256</v>
      </c>
      <c r="O4" s="230" t="s">
        <v>255</v>
      </c>
      <c r="P4" s="230" t="s">
        <v>256</v>
      </c>
      <c r="Q4" s="230" t="s">
        <v>255</v>
      </c>
      <c r="R4" s="103" t="s">
        <v>708</v>
      </c>
      <c r="S4" s="80" t="s">
        <v>1345</v>
      </c>
      <c r="T4" s="80" t="s">
        <v>1345</v>
      </c>
      <c r="U4" s="275" t="s">
        <v>1345</v>
      </c>
      <c r="V4" s="194"/>
      <c r="Z4" s="202"/>
    </row>
    <row r="5" spans="1:27" x14ac:dyDescent="0.25">
      <c r="A5" s="705"/>
      <c r="B5" s="184"/>
      <c r="C5" s="112"/>
      <c r="D5" s="82"/>
      <c r="E5" s="104"/>
      <c r="F5" s="82"/>
      <c r="G5" s="82"/>
      <c r="H5" s="104"/>
      <c r="I5" s="231"/>
      <c r="J5" s="231"/>
      <c r="K5" s="231"/>
      <c r="L5" s="231"/>
      <c r="M5" s="231"/>
      <c r="N5" s="231"/>
      <c r="O5" s="231"/>
      <c r="P5" s="231"/>
      <c r="Q5" s="231"/>
      <c r="R5" s="104" t="s">
        <v>709</v>
      </c>
      <c r="S5" s="86" t="s">
        <v>710</v>
      </c>
      <c r="T5" s="86" t="s">
        <v>711</v>
      </c>
      <c r="U5" s="178" t="s">
        <v>712</v>
      </c>
      <c r="Z5" s="202"/>
    </row>
    <row r="6" spans="1:27" x14ac:dyDescent="0.25">
      <c r="A6" s="705"/>
      <c r="B6" s="184"/>
      <c r="C6" s="112"/>
      <c r="D6" s="112"/>
      <c r="E6" s="112"/>
      <c r="F6" s="112"/>
      <c r="G6" s="112"/>
      <c r="H6" s="112"/>
      <c r="I6" s="86"/>
      <c r="J6" s="86"/>
      <c r="K6" s="86"/>
      <c r="L6" s="86"/>
      <c r="M6" s="86"/>
      <c r="N6" s="86"/>
      <c r="O6" s="86"/>
      <c r="P6" s="86"/>
      <c r="Q6" s="86"/>
      <c r="R6" s="112"/>
      <c r="S6" s="86" t="s">
        <v>713</v>
      </c>
      <c r="T6" s="86" t="s">
        <v>481</v>
      </c>
      <c r="U6" s="85" t="s">
        <v>714</v>
      </c>
      <c r="Z6" s="202"/>
    </row>
    <row r="7" spans="1:27"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2" t="s">
        <v>469</v>
      </c>
      <c r="R7" s="120">
        <v>45291</v>
      </c>
      <c r="S7" s="9" t="s">
        <v>716</v>
      </c>
      <c r="T7" s="9"/>
      <c r="U7" s="9" t="s">
        <v>481</v>
      </c>
      <c r="Z7" s="202"/>
    </row>
    <row r="8" spans="1:27" ht="13.8" thickTop="1" x14ac:dyDescent="0.25">
      <c r="A8" s="707"/>
      <c r="B8" s="156"/>
      <c r="C8" s="117"/>
      <c r="D8" s="18"/>
      <c r="E8" s="18"/>
      <c r="F8" s="18"/>
      <c r="G8" s="18"/>
      <c r="H8" s="18"/>
      <c r="I8" s="19"/>
      <c r="J8" s="19"/>
      <c r="K8" s="19"/>
      <c r="L8" s="19"/>
      <c r="M8" s="19"/>
      <c r="N8" s="19"/>
      <c r="O8" s="19"/>
      <c r="P8" s="19"/>
      <c r="Q8" s="19"/>
      <c r="R8" s="18"/>
      <c r="S8" s="19"/>
      <c r="T8" s="19"/>
      <c r="U8" s="19"/>
      <c r="Z8" s="202"/>
    </row>
    <row r="9" spans="1:27" x14ac:dyDescent="0.25">
      <c r="A9" s="708">
        <v>5112</v>
      </c>
      <c r="B9" s="60" t="s">
        <v>1145</v>
      </c>
      <c r="C9" s="115">
        <f>+'192 Public Bldgs'!C9+'422 Maintenance'!C9+'652 Parks'!C9</f>
        <v>650432.08000000007</v>
      </c>
      <c r="D9" s="13">
        <f>+'192 Public Bldgs'!D9+'422 Maintenance'!D9+'652 Parks'!D9</f>
        <v>699937.45999999985</v>
      </c>
      <c r="E9" s="13">
        <f>+'192 Public Bldgs'!E9+'422 Maintenance'!E9+'652 Parks'!E9</f>
        <v>694793.07000000007</v>
      </c>
      <c r="F9" s="13">
        <f>+'192 Public Bldgs'!F9+'422 Maintenance'!F9+'652 Parks'!F9</f>
        <v>721817.33</v>
      </c>
      <c r="G9" s="13">
        <f>+'192 Public Bldgs'!G9+'422 Maintenance'!G9+'652 Parks'!G9</f>
        <v>773672.43</v>
      </c>
      <c r="H9" s="13">
        <f>+'192 Public Bldgs'!H9+'422 Maintenance'!H9+'652 Parks'!H9</f>
        <v>808516.96</v>
      </c>
      <c r="I9" s="13">
        <f>+'192 Public Bldgs'!I9+'422 Maintenance'!I9+'652 Parks'!I9</f>
        <v>819356.52</v>
      </c>
      <c r="J9" s="13">
        <f>+'192 Public Bldgs'!J9+'422 Maintenance'!J9+'652 Parks'!J9</f>
        <v>876217.06</v>
      </c>
      <c r="K9" s="40">
        <f>+'192 Public Bldgs'!K9+'422 Maintenance'!K9+'652 Parks'!K9</f>
        <v>923808</v>
      </c>
      <c r="L9" s="13">
        <f>+'192 Public Bldgs'!L9+'422 Maintenance'!L9+'652 Parks'!L9</f>
        <v>891930.96000000008</v>
      </c>
      <c r="M9" s="40">
        <f>+'192 Public Bldgs'!M9+'422 Maintenance'!M9+'652 Parks'!M9</f>
        <v>949883</v>
      </c>
      <c r="N9" s="13">
        <f>+'192 Public Bldgs'!N9+'422 Maintenance'!N9+'652 Parks'!N9</f>
        <v>889472.04</v>
      </c>
      <c r="O9" s="40">
        <f>+'192 Public Bldgs'!O9+'422 Maintenance'!O9+'652 Parks'!O9</f>
        <v>973039</v>
      </c>
      <c r="P9" s="13">
        <f>+'192 Public Bldgs'!P9+'422 Maintenance'!P9+'652 Parks'!P9</f>
        <v>897487.78</v>
      </c>
      <c r="Q9" s="40">
        <f>+'192 Public Bldgs'!Q9+'422 Maintenance'!Q9+'652 Parks'!Q9</f>
        <v>1086741</v>
      </c>
      <c r="R9" s="13">
        <f>+'192 Public Bldgs'!R9+'422 Maintenance'!R9+'652 Parks'!R9</f>
        <v>431915.24000000005</v>
      </c>
      <c r="S9" s="40">
        <f>+'192 Public Bldgs'!S9+'422 Maintenance'!S9+'652 Parks'!S9</f>
        <v>1112514.5</v>
      </c>
      <c r="T9" s="40">
        <f>+'192 Public Bldgs'!T9+'422 Maintenance'!T9+'652 Parks'!T9</f>
        <v>0</v>
      </c>
      <c r="U9" s="40">
        <f>+'192 Public Bldgs'!U9+'422 Maintenance'!U9+'652 Parks'!U9</f>
        <v>0</v>
      </c>
      <c r="Z9" s="202"/>
    </row>
    <row r="10" spans="1:27" x14ac:dyDescent="0.25">
      <c r="A10" s="708">
        <v>5124</v>
      </c>
      <c r="B10" s="60" t="s">
        <v>1146</v>
      </c>
      <c r="C10" s="115">
        <f>+'652 Parks'!C10</f>
        <v>4630</v>
      </c>
      <c r="D10" s="13">
        <f>+'652 Parks'!D10</f>
        <v>4240.57</v>
      </c>
      <c r="E10" s="13">
        <f>+'652 Parks'!E10</f>
        <v>3855</v>
      </c>
      <c r="F10" s="13">
        <f>+'652 Parks'!F10</f>
        <v>5060</v>
      </c>
      <c r="G10" s="13">
        <f>+'652 Parks'!G10</f>
        <v>3335</v>
      </c>
      <c r="H10" s="13">
        <f>+'652 Parks'!H10</f>
        <v>4303.75</v>
      </c>
      <c r="I10" s="13">
        <f>+'652 Parks'!I10</f>
        <v>3720</v>
      </c>
      <c r="J10" s="13">
        <f>+'652 Parks'!J10</f>
        <v>9017.6299999999992</v>
      </c>
      <c r="K10" s="40">
        <f>+'652 Parks'!K10</f>
        <v>6000</v>
      </c>
      <c r="L10" s="13">
        <f>+'652 Parks'!L10</f>
        <v>9774.94</v>
      </c>
      <c r="M10" s="40">
        <f>+'652 Parks'!M10</f>
        <v>12000</v>
      </c>
      <c r="N10" s="13">
        <f>+'652 Parks'!N10</f>
        <v>9792.3799999999992</v>
      </c>
      <c r="O10" s="40">
        <f>+'652 Parks'!O10</f>
        <v>19000</v>
      </c>
      <c r="P10" s="13">
        <f>+'652 Parks'!P10</f>
        <v>6112.5</v>
      </c>
      <c r="Q10" s="40">
        <v>39700</v>
      </c>
      <c r="R10" s="13">
        <f>+'652 Parks'!R10</f>
        <v>3637.5</v>
      </c>
      <c r="S10" s="40">
        <f>+'652 Parks'!S10</f>
        <v>21600</v>
      </c>
      <c r="T10" s="40">
        <f>+'652 Parks'!T10</f>
        <v>0</v>
      </c>
      <c r="U10" s="40">
        <f>+'652 Parks'!U10</f>
        <v>0</v>
      </c>
      <c r="Z10" s="202"/>
    </row>
    <row r="11" spans="1:27" x14ac:dyDescent="0.25">
      <c r="A11" s="708">
        <v>5132</v>
      </c>
      <c r="B11" s="60" t="s">
        <v>1147</v>
      </c>
      <c r="C11" s="115">
        <f>+'192 Public Bldgs'!C10+'422 Maintenance'!C10+'652 Parks'!C11</f>
        <v>12576.779999999999</v>
      </c>
      <c r="D11" s="13">
        <f>+'192 Public Bldgs'!D10+'422 Maintenance'!D10+'652 Parks'!D11</f>
        <v>11853.079999999998</v>
      </c>
      <c r="E11" s="13">
        <f>+'192 Public Bldgs'!E10+'422 Maintenance'!E10+'652 Parks'!E11</f>
        <v>7958.420000000001</v>
      </c>
      <c r="F11" s="13">
        <f>+'192 Public Bldgs'!F10+'422 Maintenance'!F10+'652 Parks'!F11</f>
        <v>7922.45</v>
      </c>
      <c r="G11" s="13">
        <f>+'192 Public Bldgs'!G10+'422 Maintenance'!G10+'652 Parks'!G11</f>
        <v>9747.4700000000012</v>
      </c>
      <c r="H11" s="13">
        <f>+'192 Public Bldgs'!H10+'422 Maintenance'!H10+'652 Parks'!H11</f>
        <v>8182.2099999999991</v>
      </c>
      <c r="I11" s="13">
        <f>+'192 Public Bldgs'!I10+'422 Maintenance'!I10+'652 Parks'!I11</f>
        <v>14364.1</v>
      </c>
      <c r="J11" s="13">
        <f>+'192 Public Bldgs'!J10+'422 Maintenance'!J10+'652 Parks'!J11</f>
        <v>14736.5</v>
      </c>
      <c r="K11" s="40">
        <f>+'192 Public Bldgs'!K10+'422 Maintenance'!K10+'652 Parks'!K11</f>
        <v>18000</v>
      </c>
      <c r="L11" s="13">
        <f>+'192 Public Bldgs'!L10+'422 Maintenance'!L10+'652 Parks'!L11</f>
        <v>25531.620000000003</v>
      </c>
      <c r="M11" s="40">
        <f>+'192 Public Bldgs'!M10+'422 Maintenance'!M10+'652 Parks'!M11</f>
        <v>22000</v>
      </c>
      <c r="N11" s="13">
        <f>+'192 Public Bldgs'!N10+'422 Maintenance'!N10+'652 Parks'!N11</f>
        <v>23580.43</v>
      </c>
      <c r="O11" s="40">
        <f>+'192 Public Bldgs'!O10+'422 Maintenance'!O10+'652 Parks'!O11</f>
        <v>22500</v>
      </c>
      <c r="P11" s="13">
        <f>+'192 Public Bldgs'!P10+'422 Maintenance'!P10+'652 Parks'!P11</f>
        <v>17451.580000000002</v>
      </c>
      <c r="Q11" s="40">
        <f>+'192 Public Bldgs'!Q10+'422 Maintenance'!Q10+'652 Parks'!Q11</f>
        <v>25000</v>
      </c>
      <c r="R11" s="13">
        <f>+'192 Public Bldgs'!R10+'422 Maintenance'!R10+'652 Parks'!R11</f>
        <v>14744.220000000001</v>
      </c>
      <c r="S11" s="40">
        <f>+'192 Public Bldgs'!S10+'422 Maintenance'!S10+'652 Parks'!S11</f>
        <v>25000</v>
      </c>
      <c r="T11" s="40">
        <f>+'192 Public Bldgs'!T10+'422 Maintenance'!T10+'652 Parks'!T11</f>
        <v>0</v>
      </c>
      <c r="U11" s="40">
        <f>+'192 Public Bldgs'!U10+'422 Maintenance'!U10+'652 Parks'!U11</f>
        <v>0</v>
      </c>
      <c r="Z11" s="202"/>
    </row>
    <row r="12" spans="1:27" x14ac:dyDescent="0.25">
      <c r="A12" s="708">
        <v>5142</v>
      </c>
      <c r="B12" s="60" t="s">
        <v>1016</v>
      </c>
      <c r="C12" s="115">
        <f>+'422 Maintenance'!C11+'652 Parks'!C12+'192 Public Bldgs'!C11</f>
        <v>5871.95</v>
      </c>
      <c r="D12" s="13">
        <f>+'422 Maintenance'!D11+'652 Parks'!D12+'192 Public Bldgs'!D11</f>
        <v>6242.7900000000009</v>
      </c>
      <c r="E12" s="13">
        <f>+'422 Maintenance'!E11+'652 Parks'!E12+'192 Public Bldgs'!E11</f>
        <v>6305.43</v>
      </c>
      <c r="F12" s="13">
        <f>+'422 Maintenance'!F11+'652 Parks'!F12+'192 Public Bldgs'!F11</f>
        <v>6277.31</v>
      </c>
      <c r="G12" s="13">
        <f>+'422 Maintenance'!G11+'652 Parks'!G12+'192 Public Bldgs'!G11</f>
        <v>7745.86</v>
      </c>
      <c r="H12" s="13">
        <f>+'422 Maintenance'!H11+'652 Parks'!H12+'192 Public Bldgs'!H11</f>
        <v>10630.82</v>
      </c>
      <c r="I12" s="13">
        <f>+'422 Maintenance'!I11+'652 Parks'!I12+'192 Public Bldgs'!I11</f>
        <v>11139.42</v>
      </c>
      <c r="J12" s="13">
        <f>+'422 Maintenance'!J11+'652 Parks'!J12+'192 Public Bldgs'!J11</f>
        <v>13959.15</v>
      </c>
      <c r="K12" s="40">
        <f>+'422 Maintenance'!K11+'652 Parks'!K12+'192 Public Bldgs'!K11</f>
        <v>15250</v>
      </c>
      <c r="L12" s="13">
        <f>+'422 Maintenance'!L11+'652 Parks'!L12+'192 Public Bldgs'!L11</f>
        <v>14013.01</v>
      </c>
      <c r="M12" s="40">
        <f>+'422 Maintenance'!M11+'652 Parks'!M12+'192 Public Bldgs'!M11</f>
        <v>18250</v>
      </c>
      <c r="N12" s="13">
        <f>+'422 Maintenance'!N11+'652 Parks'!N12+'192 Public Bldgs'!N11</f>
        <v>14367.25</v>
      </c>
      <c r="O12" s="40">
        <f>+'422 Maintenance'!O11+'652 Parks'!O12+'192 Public Bldgs'!O11</f>
        <v>20490</v>
      </c>
      <c r="P12" s="13">
        <f>+'422 Maintenance'!P11+'652 Parks'!P12+'192 Public Bldgs'!P11</f>
        <v>18133.280000000002</v>
      </c>
      <c r="Q12" s="40">
        <f>+'422 Maintenance'!Q11+'652 Parks'!Q12+'192 Public Bldgs'!Q11</f>
        <v>16975</v>
      </c>
      <c r="R12" s="13">
        <f>+'422 Maintenance'!R11+'652 Parks'!R12+'192 Public Bldgs'!R11</f>
        <v>11226.99</v>
      </c>
      <c r="S12" s="40">
        <f>+'422 Maintenance'!S11+'652 Parks'!S12+'192 Public Bldgs'!S11</f>
        <v>16975</v>
      </c>
      <c r="T12" s="40">
        <f>+'422 Maintenance'!T11+'652 Parks'!T12+'192 Public Bldgs'!T11</f>
        <v>0</v>
      </c>
      <c r="U12" s="40">
        <f>+'422 Maintenance'!U11+'652 Parks'!U12+'192 Public Bldgs'!U11</f>
        <v>0</v>
      </c>
      <c r="Z12" s="202"/>
    </row>
    <row r="13" spans="1:27" x14ac:dyDescent="0.25">
      <c r="A13" s="708">
        <v>5144</v>
      </c>
      <c r="B13" s="60" t="s">
        <v>27</v>
      </c>
      <c r="C13" s="115">
        <f>+'422 Maintenance'!C12</f>
        <v>2600</v>
      </c>
      <c r="D13" s="13">
        <f>+'422 Maintenance'!D12</f>
        <v>3750</v>
      </c>
      <c r="E13" s="13">
        <f>+'422 Maintenance'!E12</f>
        <v>3000</v>
      </c>
      <c r="F13" s="13">
        <f>+'422 Maintenance'!F12</f>
        <v>2200</v>
      </c>
      <c r="G13" s="13">
        <f>+'422 Maintenance'!G12</f>
        <v>4140</v>
      </c>
      <c r="H13" s="13">
        <f>+'422 Maintenance'!H12</f>
        <v>3620</v>
      </c>
      <c r="I13" s="13">
        <f>+'422 Maintenance'!I12</f>
        <v>3640</v>
      </c>
      <c r="J13" s="13">
        <f>+'422 Maintenance'!J12</f>
        <v>3400</v>
      </c>
      <c r="K13" s="40">
        <f>+'422 Maintenance'!K12</f>
        <v>3000</v>
      </c>
      <c r="L13" s="13">
        <f>+'422 Maintenance'!L12</f>
        <v>2000</v>
      </c>
      <c r="M13" s="40">
        <f>+'422 Maintenance'!M12</f>
        <v>3600</v>
      </c>
      <c r="N13" s="13">
        <f>+'422 Maintenance'!N12</f>
        <v>1700</v>
      </c>
      <c r="O13" s="40">
        <f>+'422 Maintenance'!O12</f>
        <v>2100</v>
      </c>
      <c r="P13" s="13">
        <f>+'422 Maintenance'!P12</f>
        <v>2900</v>
      </c>
      <c r="Q13" s="40">
        <f>+'422 Maintenance'!Q12</f>
        <v>4700</v>
      </c>
      <c r="R13" s="13">
        <f>+'422 Maintenance'!R12</f>
        <v>900</v>
      </c>
      <c r="S13" s="40">
        <f>+'422 Maintenance'!S12</f>
        <v>4700</v>
      </c>
      <c r="T13" s="40">
        <f>+'422 Maintenance'!T12</f>
        <v>0</v>
      </c>
      <c r="U13" s="40">
        <f>+'422 Maintenance'!U12</f>
        <v>0</v>
      </c>
      <c r="Z13" s="202"/>
    </row>
    <row r="14" spans="1:27" x14ac:dyDescent="0.25">
      <c r="A14" s="708">
        <v>5144</v>
      </c>
      <c r="B14" s="60" t="s">
        <v>1018</v>
      </c>
      <c r="C14" s="115">
        <f>+'422 Maintenance'!C13</f>
        <v>600.08000000000004</v>
      </c>
      <c r="D14" s="13">
        <f>+'422 Maintenance'!D13</f>
        <v>842.42</v>
      </c>
      <c r="E14" s="13">
        <f>+'422 Maintenance'!E13</f>
        <v>1200.1600000000001</v>
      </c>
      <c r="F14" s="13">
        <f>+'422 Maintenance'!F13</f>
        <v>1223.24</v>
      </c>
      <c r="G14" s="13">
        <f>+'422 Maintenance'!G13</f>
        <v>1119.3800000000001</v>
      </c>
      <c r="H14" s="13">
        <f>+'422 Maintenance'!H13</f>
        <v>946.28</v>
      </c>
      <c r="I14" s="13">
        <f>+'422 Maintenance'!I13</f>
        <v>1488.66</v>
      </c>
      <c r="J14" s="13">
        <f>+'422 Maintenance'!J13</f>
        <v>1500.2</v>
      </c>
      <c r="K14" s="40">
        <f>+'422 Maintenance'!K13</f>
        <v>1525</v>
      </c>
      <c r="L14" s="13">
        <f>+'422 Maintenance'!L13</f>
        <v>1529.05</v>
      </c>
      <c r="M14" s="40">
        <f>+'422 Maintenance'!M13</f>
        <v>1525</v>
      </c>
      <c r="N14" s="13">
        <f>+'422 Maintenance'!N13</f>
        <v>1217.47</v>
      </c>
      <c r="O14" s="40">
        <f>+'422 Maintenance'!O13</f>
        <v>1525</v>
      </c>
      <c r="P14" s="13">
        <f>+'422 Maintenance'!P13</f>
        <v>796.26</v>
      </c>
      <c r="Q14" s="40">
        <f>+'422 Maintenance'!Q13</f>
        <v>1525</v>
      </c>
      <c r="R14" s="13">
        <f>+'422 Maintenance'!R13</f>
        <v>577</v>
      </c>
      <c r="S14" s="40">
        <f>+'422 Maintenance'!S13</f>
        <v>1801</v>
      </c>
      <c r="T14" s="40">
        <f>+'422 Maintenance'!T13</f>
        <v>0</v>
      </c>
      <c r="U14" s="40">
        <f>+'422 Maintenance'!U13</f>
        <v>0</v>
      </c>
      <c r="Z14" s="202"/>
    </row>
    <row r="15" spans="1:27" x14ac:dyDescent="0.25">
      <c r="A15" s="708">
        <v>5193</v>
      </c>
      <c r="B15" s="60" t="s">
        <v>819</v>
      </c>
      <c r="C15" s="115"/>
      <c r="D15" s="13">
        <f>+'422 Maintenance'!D14</f>
        <v>0</v>
      </c>
      <c r="E15" s="13">
        <f>+'422 Maintenance'!E14</f>
        <v>9799.56</v>
      </c>
      <c r="F15" s="13">
        <f>+'422 Maintenance'!F14</f>
        <v>0</v>
      </c>
      <c r="G15" s="13">
        <f>+'422 Maintenance'!G14</f>
        <v>2150.5</v>
      </c>
      <c r="H15" s="13">
        <f>+'422 Maintenance'!H14</f>
        <v>4111.34</v>
      </c>
      <c r="I15" s="13">
        <f>+'422 Maintenance'!I14</f>
        <v>8358</v>
      </c>
      <c r="J15" s="13">
        <f>+'422 Maintenance'!J14</f>
        <v>5172.6400000000003</v>
      </c>
      <c r="K15" s="40">
        <f>+'422 Maintenance'!K14</f>
        <v>0</v>
      </c>
      <c r="L15" s="13">
        <f>+'422 Maintenance'!L14</f>
        <v>1303.8</v>
      </c>
      <c r="M15" s="40">
        <f>+'422 Maintenance'!M14</f>
        <v>11292</v>
      </c>
      <c r="N15" s="13">
        <f>+'422 Maintenance'!N14</f>
        <v>21174.18</v>
      </c>
      <c r="O15" s="40">
        <f>+'422 Maintenance'!O14</f>
        <v>0</v>
      </c>
      <c r="P15" s="13">
        <f>+'422 Maintenance'!P14</f>
        <v>2169.06</v>
      </c>
      <c r="Q15" s="40">
        <f>+'422 Maintenance'!Q14</f>
        <v>0</v>
      </c>
      <c r="R15" s="13">
        <f>+'422 Maintenance'!R14</f>
        <v>0</v>
      </c>
      <c r="S15" s="40">
        <f>+'422 Maintenance'!S14</f>
        <v>0</v>
      </c>
      <c r="T15" s="40">
        <f>+'422 Maintenance'!T14</f>
        <v>0</v>
      </c>
      <c r="U15" s="40">
        <f>+'422 Maintenance'!U14</f>
        <v>0</v>
      </c>
      <c r="Z15" s="202"/>
    </row>
    <row r="16" spans="1:27" ht="13.8" thickBot="1" x14ac:dyDescent="0.3">
      <c r="A16" s="708">
        <v>5194</v>
      </c>
      <c r="B16" s="60" t="s">
        <v>820</v>
      </c>
      <c r="C16" s="581">
        <f>+'422 Maintenance'!C15</f>
        <v>0</v>
      </c>
      <c r="D16" s="37">
        <f>+'422 Maintenance'!D15</f>
        <v>0</v>
      </c>
      <c r="E16" s="37">
        <f>+'422 Maintenance'!E15</f>
        <v>5134.3</v>
      </c>
      <c r="F16" s="37">
        <f>+'422 Maintenance'!F15</f>
        <v>0</v>
      </c>
      <c r="G16" s="37">
        <f>+'422 Maintenance'!G15</f>
        <v>1553.75</v>
      </c>
      <c r="H16" s="37">
        <f>+'422 Maintenance'!H15</f>
        <v>7000</v>
      </c>
      <c r="I16" s="37">
        <f>+'422 Maintenance'!I15</f>
        <v>3500</v>
      </c>
      <c r="J16" s="37">
        <f>+'422 Maintenance'!J15</f>
        <v>709.2</v>
      </c>
      <c r="K16" s="163">
        <f>+'422 Maintenance'!K15</f>
        <v>0</v>
      </c>
      <c r="L16" s="37">
        <f>+'422 Maintenance'!L15</f>
        <v>0</v>
      </c>
      <c r="M16" s="163">
        <f>+'422 Maintenance'!M15</f>
        <v>4200</v>
      </c>
      <c r="N16" s="37">
        <f>+'422 Maintenance'!N15</f>
        <v>4791.7299999999996</v>
      </c>
      <c r="O16" s="163">
        <f>+'422 Maintenance'!O15</f>
        <v>0</v>
      </c>
      <c r="P16" s="37">
        <f>+'422 Maintenance'!P15</f>
        <v>0</v>
      </c>
      <c r="Q16" s="163">
        <f>+'422 Maintenance'!Q15</f>
        <v>0</v>
      </c>
      <c r="R16" s="37">
        <f>+'422 Maintenance'!R15</f>
        <v>0</v>
      </c>
      <c r="S16" s="163">
        <f>+'422 Maintenance'!S15</f>
        <v>0</v>
      </c>
      <c r="T16" s="163">
        <f>+'422 Maintenance'!T15</f>
        <v>0</v>
      </c>
      <c r="U16" s="163">
        <f>+'422 Maintenance'!U15</f>
        <v>0</v>
      </c>
      <c r="Z16" s="202"/>
    </row>
    <row r="17" spans="1:21" x14ac:dyDescent="0.25">
      <c r="A17" s="708"/>
      <c r="B17" s="61" t="s">
        <v>718</v>
      </c>
      <c r="C17" s="117">
        <f t="shared" ref="C17:S17" si="0">SUM(C9:C16)</f>
        <v>676710.89</v>
      </c>
      <c r="D17" s="18">
        <f t="shared" si="0"/>
        <v>726866.31999999983</v>
      </c>
      <c r="E17" s="18">
        <f t="shared" ref="E17:K17" si="1">SUM(E9:E16)</f>
        <v>732045.94000000029</v>
      </c>
      <c r="F17" s="18">
        <f t="shared" si="1"/>
        <v>744500.33</v>
      </c>
      <c r="G17" s="18">
        <f t="shared" si="1"/>
        <v>803464.39</v>
      </c>
      <c r="H17" s="18">
        <f t="shared" si="1"/>
        <v>847311.35999999987</v>
      </c>
      <c r="I17" s="18">
        <f t="shared" si="1"/>
        <v>865566.70000000007</v>
      </c>
      <c r="J17" s="18">
        <f t="shared" ref="J17" si="2">SUM(J9:J16)</f>
        <v>924712.38</v>
      </c>
      <c r="K17" s="34">
        <f t="shared" si="1"/>
        <v>967583</v>
      </c>
      <c r="L17" s="18">
        <f t="shared" ref="L17:P17" si="3">SUM(L9:L16)</f>
        <v>946083.38000000012</v>
      </c>
      <c r="M17" s="34">
        <f t="shared" si="3"/>
        <v>1022750</v>
      </c>
      <c r="N17" s="18">
        <f t="shared" ref="N17" si="4">SUM(N9:N16)</f>
        <v>966095.4800000001</v>
      </c>
      <c r="O17" s="34">
        <f t="shared" si="3"/>
        <v>1038654</v>
      </c>
      <c r="P17" s="18">
        <f t="shared" si="3"/>
        <v>945050.46000000008</v>
      </c>
      <c r="Q17" s="34">
        <f t="shared" ref="Q17" si="5">SUM(Q9:Q16)</f>
        <v>1174641</v>
      </c>
      <c r="R17" s="18">
        <f t="shared" si="0"/>
        <v>463000.95000000007</v>
      </c>
      <c r="S17" s="34">
        <f t="shared" si="0"/>
        <v>1182590.5</v>
      </c>
      <c r="T17" s="34">
        <f>+S17</f>
        <v>1182590.5</v>
      </c>
      <c r="U17" s="34">
        <f>+S17</f>
        <v>1182590.5</v>
      </c>
    </row>
    <row r="18" spans="1:21" x14ac:dyDescent="0.25">
      <c r="A18" s="708"/>
      <c r="B18" s="60"/>
      <c r="C18" s="115"/>
      <c r="D18" s="13"/>
      <c r="E18" s="13"/>
      <c r="F18" s="13"/>
      <c r="G18" s="13"/>
      <c r="H18" s="13"/>
      <c r="I18" s="13"/>
      <c r="J18" s="13"/>
      <c r="K18" s="40"/>
      <c r="L18" s="13"/>
      <c r="M18" s="40"/>
      <c r="N18" s="13"/>
      <c r="O18" s="40"/>
      <c r="P18" s="13"/>
      <c r="Q18" s="40"/>
      <c r="R18" s="13"/>
      <c r="S18" s="40"/>
      <c r="T18" s="40"/>
      <c r="U18" s="40"/>
    </row>
    <row r="19" spans="1:21" x14ac:dyDescent="0.25">
      <c r="A19" s="708">
        <v>5241</v>
      </c>
      <c r="B19" s="12" t="s">
        <v>1148</v>
      </c>
      <c r="C19" s="94">
        <f>+'192 Public Bldgs'!C14</f>
        <v>0</v>
      </c>
      <c r="D19" s="94">
        <f>+'192 Public Bldgs'!D14</f>
        <v>0</v>
      </c>
      <c r="E19" s="94">
        <f>+'192 Public Bldgs'!E14</f>
        <v>2228</v>
      </c>
      <c r="F19" s="94">
        <f>+'192 Public Bldgs'!F14</f>
        <v>2295</v>
      </c>
      <c r="G19" s="94">
        <f>+'192 Public Bldgs'!G14</f>
        <v>2364</v>
      </c>
      <c r="H19" s="94">
        <f>+'192 Public Bldgs'!H14</f>
        <v>2434</v>
      </c>
      <c r="I19" s="94">
        <f>+'192 Public Bldgs'!I14</f>
        <v>2508</v>
      </c>
      <c r="J19" s="94">
        <f>+'192 Public Bldgs'!J14</f>
        <v>2583</v>
      </c>
      <c r="K19" s="42">
        <f>+'192 Public Bldgs'!K14</f>
        <v>3000</v>
      </c>
      <c r="L19" s="94">
        <f>+'192 Public Bldgs'!L14</f>
        <v>2660</v>
      </c>
      <c r="M19" s="42">
        <f>+'192 Public Bldgs'!M14</f>
        <v>3000</v>
      </c>
      <c r="N19" s="94">
        <f>+'192 Public Bldgs'!N14</f>
        <v>2740</v>
      </c>
      <c r="O19" s="42">
        <f>+'192 Public Bldgs'!O14</f>
        <v>3000</v>
      </c>
      <c r="P19" s="94">
        <f>+'192 Public Bldgs'!P14</f>
        <v>2822</v>
      </c>
      <c r="Q19" s="42">
        <f>+'192 Public Bldgs'!Q14</f>
        <v>3000</v>
      </c>
      <c r="R19" s="42">
        <f>+'192 Public Bldgs'!R14</f>
        <v>2907</v>
      </c>
      <c r="S19" s="42">
        <f>+'192 Public Bldgs'!S14</f>
        <v>3000</v>
      </c>
      <c r="T19" s="42">
        <f>+'192 Public Bldgs'!T14</f>
        <v>0</v>
      </c>
      <c r="U19" s="40">
        <f>+'192 Public Bldgs'!U14</f>
        <v>0</v>
      </c>
    </row>
    <row r="20" spans="1:21" x14ac:dyDescent="0.25">
      <c r="A20" s="708">
        <v>5242</v>
      </c>
      <c r="B20" s="12" t="s">
        <v>1149</v>
      </c>
      <c r="C20" s="94">
        <f>+'192 Public Bldgs'!C15+'422 Maintenance'!C18</f>
        <v>12678.44</v>
      </c>
      <c r="D20" s="94">
        <f>+'192 Public Bldgs'!D15+'422 Maintenance'!D18</f>
        <v>15899.46</v>
      </c>
      <c r="E20" s="94">
        <f>+'192 Public Bldgs'!E15+'422 Maintenance'!E18</f>
        <v>22272.13</v>
      </c>
      <c r="F20" s="94">
        <f>+'192 Public Bldgs'!F15+'422 Maintenance'!F18</f>
        <v>13187.52</v>
      </c>
      <c r="G20" s="94">
        <f>+'192 Public Bldgs'!G15+'422 Maintenance'!G18</f>
        <v>14585.18</v>
      </c>
      <c r="H20" s="94">
        <f>+'192 Public Bldgs'!H15+'422 Maintenance'!H18</f>
        <v>14071.66</v>
      </c>
      <c r="I20" s="94">
        <f>+'192 Public Bldgs'!I15+'422 Maintenance'!I18</f>
        <v>16599.11</v>
      </c>
      <c r="J20" s="94">
        <f>+'192 Public Bldgs'!J15+'422 Maintenance'!J18</f>
        <v>18229.580000000002</v>
      </c>
      <c r="K20" s="42">
        <f>+'192 Public Bldgs'!K15+'422 Maintenance'!K18</f>
        <v>19500</v>
      </c>
      <c r="L20" s="94">
        <f>+'192 Public Bldgs'!L15+'422 Maintenance'!L18</f>
        <v>23649.11</v>
      </c>
      <c r="M20" s="42">
        <f>+'192 Public Bldgs'!M15+'422 Maintenance'!M18</f>
        <v>21500</v>
      </c>
      <c r="N20" s="94">
        <f>+'192 Public Bldgs'!N15+'422 Maintenance'!N18</f>
        <v>25826.159999999996</v>
      </c>
      <c r="O20" s="42">
        <f>+'192 Public Bldgs'!O15+'422 Maintenance'!O18</f>
        <v>25100</v>
      </c>
      <c r="P20" s="94">
        <f>+'192 Public Bldgs'!P15+'422 Maintenance'!P18</f>
        <v>23446.41</v>
      </c>
      <c r="Q20" s="42">
        <f>+'192 Public Bldgs'!Q15+'422 Maintenance'!Q18</f>
        <v>25100</v>
      </c>
      <c r="R20" s="94">
        <f>+'192 Public Bldgs'!R15+'422 Maintenance'!R18</f>
        <v>10331.950000000001</v>
      </c>
      <c r="S20" s="42">
        <f>+'192 Public Bldgs'!S15+'422 Maintenance'!S18</f>
        <v>25100</v>
      </c>
      <c r="T20" s="42">
        <f>+'192 Public Bldgs'!T15+'422 Maintenance'!T18</f>
        <v>0</v>
      </c>
      <c r="U20" s="40">
        <f>+'192 Public Bldgs'!U15+'422 Maintenance'!U18</f>
        <v>0</v>
      </c>
    </row>
    <row r="21" spans="1:21" x14ac:dyDescent="0.25">
      <c r="A21" s="708">
        <v>5243</v>
      </c>
      <c r="B21" s="12" t="s">
        <v>1150</v>
      </c>
      <c r="C21" s="13">
        <f>+'192 Public Bldgs'!C16</f>
        <v>15167.36</v>
      </c>
      <c r="D21" s="13">
        <f>+'192 Public Bldgs'!D16</f>
        <v>12103.44</v>
      </c>
      <c r="E21" s="13">
        <f>+'192 Public Bldgs'!E16</f>
        <v>42549.06</v>
      </c>
      <c r="F21" s="13">
        <f>+'192 Public Bldgs'!F16</f>
        <v>23614.560000000001</v>
      </c>
      <c r="G21" s="13">
        <f>+'192 Public Bldgs'!G16</f>
        <v>31462.560000000001</v>
      </c>
      <c r="H21" s="13">
        <f>+'192 Public Bldgs'!H16</f>
        <v>20342.38</v>
      </c>
      <c r="I21" s="13">
        <f>+'192 Public Bldgs'!I16</f>
        <v>33925.94</v>
      </c>
      <c r="J21" s="13">
        <f>+'192 Public Bldgs'!J16</f>
        <v>27147.34</v>
      </c>
      <c r="K21" s="40">
        <f>+'192 Public Bldgs'!K16</f>
        <v>25000</v>
      </c>
      <c r="L21" s="13">
        <f>+'192 Public Bldgs'!L16</f>
        <v>15937.72</v>
      </c>
      <c r="M21" s="40">
        <f>+'192 Public Bldgs'!M16</f>
        <v>25000</v>
      </c>
      <c r="N21" s="13">
        <f>+'192 Public Bldgs'!N16</f>
        <v>19355.099999999999</v>
      </c>
      <c r="O21" s="40">
        <f>+'192 Public Bldgs'!O16</f>
        <v>25000</v>
      </c>
      <c r="P21" s="13">
        <f>+'192 Public Bldgs'!P16</f>
        <v>36428.85</v>
      </c>
      <c r="Q21" s="40">
        <f>+'192 Public Bldgs'!Q16</f>
        <v>25000</v>
      </c>
      <c r="R21" s="13">
        <f>+'192 Public Bldgs'!R16</f>
        <v>13173.3</v>
      </c>
      <c r="S21" s="40">
        <f>+'192 Public Bldgs'!S16</f>
        <v>25000</v>
      </c>
      <c r="T21" s="40">
        <f>+'192 Public Bldgs'!T16</f>
        <v>0</v>
      </c>
      <c r="U21" s="40">
        <f>+'192 Public Bldgs'!U16</f>
        <v>0</v>
      </c>
    </row>
    <row r="22" spans="1:21" x14ac:dyDescent="0.25">
      <c r="A22" s="708">
        <v>5245</v>
      </c>
      <c r="B22" s="12" t="s">
        <v>1151</v>
      </c>
      <c r="C22" s="13">
        <f>+'422 Maintenance'!C19</f>
        <v>15640.85</v>
      </c>
      <c r="D22" s="13">
        <f>+'422 Maintenance'!D19</f>
        <v>20923.13</v>
      </c>
      <c r="E22" s="13">
        <f>+'422 Maintenance'!E19</f>
        <v>22296.94</v>
      </c>
      <c r="F22" s="13">
        <f>+'422 Maintenance'!F19</f>
        <v>34754.76</v>
      </c>
      <c r="G22" s="13">
        <f>+'422 Maintenance'!G19</f>
        <v>23394.59</v>
      </c>
      <c r="H22" s="13">
        <f>+'422 Maintenance'!H19</f>
        <v>24713.51</v>
      </c>
      <c r="I22" s="13">
        <f>+'422 Maintenance'!I19</f>
        <v>17661.330000000002</v>
      </c>
      <c r="J22" s="13">
        <f>+'422 Maintenance'!J19</f>
        <v>27018.75</v>
      </c>
      <c r="K22" s="40">
        <f>+'422 Maintenance'!K19</f>
        <v>30000</v>
      </c>
      <c r="L22" s="13">
        <f>+'422 Maintenance'!L19</f>
        <v>28032.21</v>
      </c>
      <c r="M22" s="40">
        <f>+'422 Maintenance'!M19</f>
        <v>35000</v>
      </c>
      <c r="N22" s="13">
        <f>+'422 Maintenance'!N19</f>
        <v>20669.34</v>
      </c>
      <c r="O22" s="40">
        <f>+'422 Maintenance'!O19</f>
        <v>35000</v>
      </c>
      <c r="P22" s="13">
        <f>+'422 Maintenance'!P19</f>
        <v>18413.400000000001</v>
      </c>
      <c r="Q22" s="40">
        <f>+'422 Maintenance'!Q19</f>
        <v>35000</v>
      </c>
      <c r="R22" s="13">
        <f>+'422 Maintenance'!R19</f>
        <v>17667.73</v>
      </c>
      <c r="S22" s="40">
        <f>+'422 Maintenance'!S19</f>
        <v>35000</v>
      </c>
      <c r="T22" s="40">
        <f>+'422 Maintenance'!T19</f>
        <v>0</v>
      </c>
      <c r="U22" s="40">
        <f>+'422 Maintenance'!U19</f>
        <v>0</v>
      </c>
    </row>
    <row r="23" spans="1:21" x14ac:dyDescent="0.25">
      <c r="A23" s="708">
        <v>5247</v>
      </c>
      <c r="B23" s="12" t="s">
        <v>1152</v>
      </c>
      <c r="C23" s="13">
        <f>+'422 Maintenance'!C20</f>
        <v>0</v>
      </c>
      <c r="D23" s="13">
        <f>+'422 Maintenance'!D20</f>
        <v>0</v>
      </c>
      <c r="E23" s="13">
        <f>+'422 Maintenance'!E20</f>
        <v>503.29</v>
      </c>
      <c r="F23" s="13">
        <f>+'422 Maintenance'!F20</f>
        <v>88</v>
      </c>
      <c r="G23" s="13">
        <f>+'422 Maintenance'!G20</f>
        <v>0</v>
      </c>
      <c r="H23" s="13">
        <f>+'422 Maintenance'!H20</f>
        <v>264</v>
      </c>
      <c r="I23" s="13">
        <f>+'422 Maintenance'!I20</f>
        <v>0</v>
      </c>
      <c r="J23" s="13">
        <f>+'422 Maintenance'!J20</f>
        <v>88</v>
      </c>
      <c r="K23" s="40">
        <f>+'422 Maintenance'!K20</f>
        <v>4200</v>
      </c>
      <c r="L23" s="13">
        <f>+'422 Maintenance'!L20</f>
        <v>0</v>
      </c>
      <c r="M23" s="40">
        <f>+'422 Maintenance'!M20</f>
        <v>4200</v>
      </c>
      <c r="N23" s="13">
        <f>+'422 Maintenance'!N20</f>
        <v>608.99</v>
      </c>
      <c r="O23" s="40">
        <f>+'422 Maintenance'!O20</f>
        <v>2000</v>
      </c>
      <c r="P23" s="13">
        <f>+'422 Maintenance'!P20</f>
        <v>0</v>
      </c>
      <c r="Q23" s="40">
        <f>+'422 Maintenance'!Q20</f>
        <v>2000</v>
      </c>
      <c r="R23" s="13">
        <f>+'422 Maintenance'!R20</f>
        <v>0</v>
      </c>
      <c r="S23" s="40">
        <f>+'422 Maintenance'!S20</f>
        <v>2000</v>
      </c>
      <c r="T23" s="40">
        <f>+'422 Maintenance'!T20</f>
        <v>0</v>
      </c>
      <c r="U23" s="40">
        <f>+'422 Maintenance'!U20</f>
        <v>0</v>
      </c>
    </row>
    <row r="24" spans="1:21" x14ac:dyDescent="0.25">
      <c r="A24" s="708">
        <v>5251</v>
      </c>
      <c r="B24" s="12" t="s">
        <v>1153</v>
      </c>
      <c r="C24" s="13">
        <f>+'192 Public Bldgs'!C17+'422 Maintenance'!C21</f>
        <v>2981.07</v>
      </c>
      <c r="D24" s="13">
        <f>+'192 Public Bldgs'!D17+'422 Maintenance'!D21</f>
        <v>3552.43</v>
      </c>
      <c r="E24" s="13">
        <f>+'192 Public Bldgs'!E17+'422 Maintenance'!E21</f>
        <v>5595.84</v>
      </c>
      <c r="F24" s="13">
        <f>+'192 Public Bldgs'!F17+'422 Maintenance'!F21</f>
        <v>5335.59</v>
      </c>
      <c r="G24" s="13">
        <f>+'192 Public Bldgs'!G17+'422 Maintenance'!G21</f>
        <v>8776.69</v>
      </c>
      <c r="H24" s="13">
        <f>+'192 Public Bldgs'!H17+'422 Maintenance'!H21</f>
        <v>6110.8</v>
      </c>
      <c r="I24" s="13">
        <f>+'192 Public Bldgs'!I17+'422 Maintenance'!I21</f>
        <v>7246.8899999999994</v>
      </c>
      <c r="J24" s="13">
        <f>+'192 Public Bldgs'!J17+'422 Maintenance'!J21</f>
        <v>6657.27</v>
      </c>
      <c r="K24" s="40">
        <f>+'192 Public Bldgs'!K17+'422 Maintenance'!K21</f>
        <v>5300</v>
      </c>
      <c r="L24" s="13">
        <f>+'192 Public Bldgs'!L17+'422 Maintenance'!L21</f>
        <v>7949.81</v>
      </c>
      <c r="M24" s="40">
        <f>+'192 Public Bldgs'!M17+'422 Maintenance'!M21</f>
        <v>7800</v>
      </c>
      <c r="N24" s="13">
        <f>+'192 Public Bldgs'!N17+'422 Maintenance'!N21</f>
        <v>12281.22</v>
      </c>
      <c r="O24" s="40">
        <f>+'192 Public Bldgs'!O17+'422 Maintenance'!O21</f>
        <v>10000</v>
      </c>
      <c r="P24" s="13">
        <f>+'192 Public Bldgs'!P17+'422 Maintenance'!P21</f>
        <v>15726.69</v>
      </c>
      <c r="Q24" s="40">
        <f>+'192 Public Bldgs'!Q17+'422 Maintenance'!Q21</f>
        <v>10000</v>
      </c>
      <c r="R24" s="13">
        <f>+'192 Public Bldgs'!R17+'422 Maintenance'!R21</f>
        <v>4074.3100000000004</v>
      </c>
      <c r="S24" s="40">
        <f>+'192 Public Bldgs'!S17+'422 Maintenance'!S21</f>
        <v>10000</v>
      </c>
      <c r="T24" s="40">
        <f>+'192 Public Bldgs'!T17+'422 Maintenance'!T21</f>
        <v>0</v>
      </c>
      <c r="U24" s="40">
        <f>+'192 Public Bldgs'!U17+'422 Maintenance'!U21</f>
        <v>0</v>
      </c>
    </row>
    <row r="25" spans="1:21" x14ac:dyDescent="0.25">
      <c r="A25" s="708">
        <v>5277</v>
      </c>
      <c r="B25" s="12" t="s">
        <v>1154</v>
      </c>
      <c r="C25" s="13">
        <f>+'422 Maintenance'!C22</f>
        <v>0</v>
      </c>
      <c r="D25" s="13">
        <f>+'422 Maintenance'!D22</f>
        <v>0</v>
      </c>
      <c r="E25" s="13">
        <f>+'422 Maintenance'!E22</f>
        <v>0</v>
      </c>
      <c r="F25" s="13">
        <f>+'422 Maintenance'!F22</f>
        <v>0</v>
      </c>
      <c r="G25" s="13">
        <f>+'422 Maintenance'!G22</f>
        <v>0</v>
      </c>
      <c r="H25" s="13">
        <f>+'422 Maintenance'!H22</f>
        <v>0</v>
      </c>
      <c r="I25" s="13">
        <f>+'422 Maintenance'!I22</f>
        <v>0</v>
      </c>
      <c r="J25" s="13">
        <f>+'422 Maintenance'!J22</f>
        <v>0</v>
      </c>
      <c r="K25" s="40">
        <f>+'422 Maintenance'!K22</f>
        <v>0</v>
      </c>
      <c r="L25" s="13">
        <f>+'422 Maintenance'!L22</f>
        <v>0</v>
      </c>
      <c r="M25" s="40">
        <f>+'422 Maintenance'!M22</f>
        <v>0</v>
      </c>
      <c r="N25" s="13">
        <f>+'422 Maintenance'!N22</f>
        <v>0</v>
      </c>
      <c r="O25" s="40">
        <f>+'422 Maintenance'!O22</f>
        <v>0</v>
      </c>
      <c r="P25" s="13">
        <f>+'422 Maintenance'!P22</f>
        <v>0</v>
      </c>
      <c r="Q25" s="40">
        <f>+'422 Maintenance'!Q22</f>
        <v>0</v>
      </c>
      <c r="R25" s="13">
        <f>+'422 Maintenance'!R22</f>
        <v>0</v>
      </c>
      <c r="S25" s="40">
        <f>+'422 Maintenance'!S22</f>
        <v>0</v>
      </c>
      <c r="T25" s="40">
        <f>+'422 Maintenance'!T22</f>
        <v>0</v>
      </c>
      <c r="U25" s="40">
        <f>+'422 Maintenance'!U22</f>
        <v>0</v>
      </c>
    </row>
    <row r="26" spans="1:21" x14ac:dyDescent="0.25">
      <c r="A26" s="708">
        <v>5278</v>
      </c>
      <c r="B26" s="12" t="s">
        <v>1155</v>
      </c>
      <c r="C26" s="13">
        <f>+'422 Maintenance'!C23</f>
        <v>6254.36</v>
      </c>
      <c r="D26" s="13">
        <f>+'422 Maintenance'!D23</f>
        <v>7210.2</v>
      </c>
      <c r="E26" s="13">
        <f>+'422 Maintenance'!E23</f>
        <v>7337.82</v>
      </c>
      <c r="F26" s="13">
        <f>+'422 Maintenance'!F23</f>
        <v>9576.67</v>
      </c>
      <c r="G26" s="13">
        <f>+'422 Maintenance'!G23</f>
        <v>11297.29</v>
      </c>
      <c r="H26" s="13">
        <f>+'422 Maintenance'!H23</f>
        <v>10913.81</v>
      </c>
      <c r="I26" s="13">
        <f>+'422 Maintenance'!I23</f>
        <v>12262.49</v>
      </c>
      <c r="J26" s="13">
        <f>+'422 Maintenance'!J23</f>
        <v>9959.7000000000007</v>
      </c>
      <c r="K26" s="40">
        <f>+'422 Maintenance'!K23</f>
        <v>0</v>
      </c>
      <c r="L26" s="13">
        <f>+'422 Maintenance'!L23</f>
        <v>0</v>
      </c>
      <c r="M26" s="40">
        <f>+'422 Maintenance'!M23</f>
        <v>0</v>
      </c>
      <c r="N26" s="13">
        <f>+'422 Maintenance'!N23</f>
        <v>0</v>
      </c>
      <c r="O26" s="40">
        <f>+'422 Maintenance'!O23</f>
        <v>0</v>
      </c>
      <c r="P26" s="13">
        <f>+'422 Maintenance'!P23</f>
        <v>0</v>
      </c>
      <c r="Q26" s="40">
        <f>+'422 Maintenance'!Q23</f>
        <v>0</v>
      </c>
      <c r="R26" s="13">
        <f>+'422 Maintenance'!R23</f>
        <v>0</v>
      </c>
      <c r="S26" s="40">
        <f>+'422 Maintenance'!S23</f>
        <v>0</v>
      </c>
      <c r="T26" s="40">
        <f>+'422 Maintenance'!T23</f>
        <v>0</v>
      </c>
      <c r="U26" s="40">
        <f>+'422 Maintenance'!U23</f>
        <v>0</v>
      </c>
    </row>
    <row r="27" spans="1:21" x14ac:dyDescent="0.25">
      <c r="A27" s="708">
        <v>5310</v>
      </c>
      <c r="B27" s="12" t="s">
        <v>1156</v>
      </c>
      <c r="C27" s="13">
        <f>+'422 Maintenance'!C24</f>
        <v>1659.5</v>
      </c>
      <c r="D27" s="13">
        <f>+'422 Maintenance'!D24</f>
        <v>1863</v>
      </c>
      <c r="E27" s="13">
        <f>+'422 Maintenance'!E24</f>
        <v>1535</v>
      </c>
      <c r="F27" s="13">
        <f>+'422 Maintenance'!F24</f>
        <v>1775.1</v>
      </c>
      <c r="G27" s="13">
        <f>+'422 Maintenance'!G24</f>
        <v>2491</v>
      </c>
      <c r="H27" s="13">
        <f>+'422 Maintenance'!H24</f>
        <v>10389.34</v>
      </c>
      <c r="I27" s="13">
        <f>+'422 Maintenance'!I24</f>
        <v>5775</v>
      </c>
      <c r="J27" s="13">
        <f>+'422 Maintenance'!J24</f>
        <v>4765</v>
      </c>
      <c r="K27" s="40">
        <f>+'422 Maintenance'!K24</f>
        <v>5000</v>
      </c>
      <c r="L27" s="13">
        <f>+'422 Maintenance'!L24</f>
        <v>3778</v>
      </c>
      <c r="M27" s="40">
        <f>+'422 Maintenance'!M24</f>
        <v>5000</v>
      </c>
      <c r="N27" s="13">
        <f>+'422 Maintenance'!N24</f>
        <v>3767.59</v>
      </c>
      <c r="O27" s="40">
        <f>+'422 Maintenance'!O24</f>
        <v>5000</v>
      </c>
      <c r="P27" s="13">
        <f>+'422 Maintenance'!P24</f>
        <v>3086.59</v>
      </c>
      <c r="Q27" s="40">
        <f>+'422 Maintenance'!Q24</f>
        <v>5000</v>
      </c>
      <c r="R27" s="13">
        <f>+'422 Maintenance'!R24</f>
        <v>1473</v>
      </c>
      <c r="S27" s="40">
        <f>+'422 Maintenance'!S24</f>
        <v>5000</v>
      </c>
      <c r="T27" s="40">
        <f>+'422 Maintenance'!T24</f>
        <v>0</v>
      </c>
      <c r="U27" s="40">
        <f>+'422 Maintenance'!U24</f>
        <v>0</v>
      </c>
    </row>
    <row r="28" spans="1:21" x14ac:dyDescent="0.25">
      <c r="A28" s="708">
        <v>5314</v>
      </c>
      <c r="B28" s="12" t="s">
        <v>749</v>
      </c>
      <c r="C28" s="13">
        <f>+'422 Maintenance'!C25</f>
        <v>35</v>
      </c>
      <c r="D28" s="13">
        <f>+'422 Maintenance'!D25</f>
        <v>65</v>
      </c>
      <c r="E28" s="13">
        <f>+'422 Maintenance'!E25</f>
        <v>80</v>
      </c>
      <c r="F28" s="13">
        <f>+'422 Maintenance'!F25</f>
        <v>100</v>
      </c>
      <c r="G28" s="13">
        <f>+'422 Maintenance'!G25</f>
        <v>2040</v>
      </c>
      <c r="H28" s="13">
        <f>+'422 Maintenance'!H25</f>
        <v>40</v>
      </c>
      <c r="I28" s="13">
        <f>+'422 Maintenance'!I25</f>
        <v>210</v>
      </c>
      <c r="J28" s="13">
        <f>+'422 Maintenance'!J25</f>
        <v>100</v>
      </c>
      <c r="K28" s="40">
        <f>+'422 Maintenance'!K25</f>
        <v>200</v>
      </c>
      <c r="L28" s="13">
        <f>+'422 Maintenance'!L25</f>
        <v>0</v>
      </c>
      <c r="M28" s="40">
        <f>+'422 Maintenance'!M25</f>
        <v>200</v>
      </c>
      <c r="N28" s="13">
        <f>+'422 Maintenance'!N25</f>
        <v>1330</v>
      </c>
      <c r="O28" s="40">
        <f>+'422 Maintenance'!O25</f>
        <v>200</v>
      </c>
      <c r="P28" s="13">
        <f>+'422 Maintenance'!P25</f>
        <v>500</v>
      </c>
      <c r="Q28" s="40">
        <f>+'422 Maintenance'!Q25</f>
        <v>1000</v>
      </c>
      <c r="R28" s="13">
        <f>+'422 Maintenance'!R25</f>
        <v>225</v>
      </c>
      <c r="S28" s="40">
        <f>+'422 Maintenance'!S25</f>
        <v>1000</v>
      </c>
      <c r="T28" s="40">
        <f>+'422 Maintenance'!T25</f>
        <v>0</v>
      </c>
      <c r="U28" s="40">
        <f>+'422 Maintenance'!U25</f>
        <v>0</v>
      </c>
    </row>
    <row r="29" spans="1:21" x14ac:dyDescent="0.25">
      <c r="A29" s="708">
        <v>5315</v>
      </c>
      <c r="B29" s="12" t="s">
        <v>1157</v>
      </c>
      <c r="C29" s="13">
        <f>+'422 Maintenance'!C26</f>
        <v>24208.71</v>
      </c>
      <c r="D29" s="13">
        <f>+'422 Maintenance'!D26</f>
        <v>21600.63</v>
      </c>
      <c r="E29" s="13">
        <f>+'422 Maintenance'!E26</f>
        <v>27572.84</v>
      </c>
      <c r="F29" s="13">
        <f>+'422 Maintenance'!F26</f>
        <v>29246.78</v>
      </c>
      <c r="G29" s="13">
        <f>+'422 Maintenance'!G26</f>
        <v>20041.039999999997</v>
      </c>
      <c r="H29" s="13">
        <f>+'422 Maintenance'!H26</f>
        <v>14179.400000000001</v>
      </c>
      <c r="I29" s="13">
        <f>+'422 Maintenance'!I26</f>
        <v>22930.35</v>
      </c>
      <c r="J29" s="13">
        <f>+'422 Maintenance'!J26</f>
        <v>10841.6</v>
      </c>
      <c r="K29" s="40">
        <f>+'422 Maintenance'!K26</f>
        <v>18000</v>
      </c>
      <c r="L29" s="13">
        <f>+'422 Maintenance'!L26</f>
        <v>29457.1</v>
      </c>
      <c r="M29" s="40">
        <f>+'422 Maintenance'!M26</f>
        <v>18000</v>
      </c>
      <c r="N29" s="13">
        <f>+'422 Maintenance'!N26</f>
        <v>15340.91</v>
      </c>
      <c r="O29" s="40">
        <f>+'422 Maintenance'!O26</f>
        <v>18500</v>
      </c>
      <c r="P29" s="13">
        <f>+'422 Maintenance'!P26+'652 Parks'!P15</f>
        <v>7770.59</v>
      </c>
      <c r="Q29" s="40">
        <f>+'422 Maintenance'!Q26+'652 Parks'!Q15</f>
        <v>22000</v>
      </c>
      <c r="R29" s="13">
        <f>+'422 Maintenance'!R26+'652 Parks'!R15</f>
        <v>16299.59</v>
      </c>
      <c r="S29" s="40">
        <f>+'422 Maintenance'!S26+'652 Parks'!S15</f>
        <v>22000</v>
      </c>
      <c r="T29" s="40">
        <f>+'422 Maintenance'!T26</f>
        <v>0</v>
      </c>
      <c r="U29" s="40">
        <f>+'422 Maintenance'!U26</f>
        <v>0</v>
      </c>
    </row>
    <row r="30" spans="1:21" x14ac:dyDescent="0.25">
      <c r="A30" s="708">
        <v>5320</v>
      </c>
      <c r="B30" s="12" t="s">
        <v>1158</v>
      </c>
      <c r="C30" s="13"/>
      <c r="D30" s="13"/>
      <c r="E30" s="13"/>
      <c r="F30" s="13"/>
      <c r="G30" s="13"/>
      <c r="H30" s="13"/>
      <c r="I30" s="13">
        <f>+'422 Maintenance'!I27</f>
        <v>19083.580000000002</v>
      </c>
      <c r="J30" s="13">
        <f>+'422 Maintenance'!J27</f>
        <v>27622.11</v>
      </c>
      <c r="K30" s="40">
        <f>+'422 Maintenance'!K27</f>
        <v>22000</v>
      </c>
      <c r="L30" s="13">
        <f>+'422 Maintenance'!L27</f>
        <v>25903.26</v>
      </c>
      <c r="M30" s="40">
        <f>+'422 Maintenance'!M27</f>
        <v>28000</v>
      </c>
      <c r="N30" s="13">
        <f>+'422 Maintenance'!N27</f>
        <v>23797.75</v>
      </c>
      <c r="O30" s="40">
        <f>+'422 Maintenance'!O27</f>
        <v>28000</v>
      </c>
      <c r="P30" s="13">
        <f>+'422 Maintenance'!P27</f>
        <v>25322.03</v>
      </c>
      <c r="Q30" s="40">
        <f>+'422 Maintenance'!Q27</f>
        <v>28000</v>
      </c>
      <c r="R30" s="40">
        <f>+'422 Maintenance'!R27</f>
        <v>40690.82</v>
      </c>
      <c r="S30" s="40">
        <f>+'422 Maintenance'!S27</f>
        <v>40000</v>
      </c>
      <c r="T30" s="40">
        <f>+'422 Maintenance'!T27</f>
        <v>0</v>
      </c>
      <c r="U30" s="40"/>
    </row>
    <row r="31" spans="1:21" x14ac:dyDescent="0.25">
      <c r="A31" s="708">
        <v>5341</v>
      </c>
      <c r="B31" s="12" t="s">
        <v>1159</v>
      </c>
      <c r="C31" s="13">
        <f>+'422 Maintenance'!C28</f>
        <v>3078.49</v>
      </c>
      <c r="D31" s="13">
        <f>+'422 Maintenance'!D28</f>
        <v>3210.87</v>
      </c>
      <c r="E31" s="13">
        <f>+'422 Maintenance'!E28</f>
        <v>3419.12</v>
      </c>
      <c r="F31" s="13">
        <f>+'422 Maintenance'!F28</f>
        <v>3544.05</v>
      </c>
      <c r="G31" s="13">
        <f>+'422 Maintenance'!G28</f>
        <v>3468.11</v>
      </c>
      <c r="H31" s="13">
        <f>+'422 Maintenance'!H28</f>
        <v>1848.31</v>
      </c>
      <c r="I31" s="13">
        <f>+'422 Maintenance'!I28</f>
        <v>1750.2</v>
      </c>
      <c r="J31" s="13">
        <f>+'422 Maintenance'!J28</f>
        <v>1771.2</v>
      </c>
      <c r="K31" s="40">
        <f>+'422 Maintenance'!K28</f>
        <v>3500</v>
      </c>
      <c r="L31" s="13">
        <f>+'422 Maintenance'!L28</f>
        <v>2094.5300000000002</v>
      </c>
      <c r="M31" s="40">
        <f>+'422 Maintenance'!M28</f>
        <v>3500</v>
      </c>
      <c r="N31" s="13">
        <f>+'422 Maintenance'!N28</f>
        <v>2200.96</v>
      </c>
      <c r="O31" s="40">
        <f>+'422 Maintenance'!O28</f>
        <v>3000</v>
      </c>
      <c r="P31" s="13">
        <f>+'422 Maintenance'!P28</f>
        <v>3356.63</v>
      </c>
      <c r="Q31" s="40">
        <f>+'422 Maintenance'!Q28</f>
        <v>3000</v>
      </c>
      <c r="R31" s="13">
        <f>+'422 Maintenance'!R28</f>
        <v>1957.56</v>
      </c>
      <c r="S31" s="40">
        <f>+'422 Maintenance'!S28</f>
        <v>3500</v>
      </c>
      <c r="T31" s="40">
        <f>+'422 Maintenance'!T28</f>
        <v>0</v>
      </c>
      <c r="U31" s="40">
        <f>+'422 Maintenance'!U28</f>
        <v>0</v>
      </c>
    </row>
    <row r="32" spans="1:21" x14ac:dyDescent="0.25">
      <c r="A32" s="708">
        <v>5344</v>
      </c>
      <c r="B32" s="12" t="s">
        <v>722</v>
      </c>
      <c r="C32" s="13">
        <f>+'422 Maintenance'!C29</f>
        <v>60.4</v>
      </c>
      <c r="D32" s="13">
        <f>+'422 Maintenance'!D29</f>
        <v>78.47</v>
      </c>
      <c r="E32" s="13">
        <f>+'422 Maintenance'!E29</f>
        <v>55</v>
      </c>
      <c r="F32" s="13">
        <f>+'422 Maintenance'!F29</f>
        <v>28.15</v>
      </c>
      <c r="G32" s="13">
        <f>+'422 Maintenance'!G29</f>
        <v>20.82</v>
      </c>
      <c r="H32" s="13">
        <f>+'422 Maintenance'!H29</f>
        <v>58.25</v>
      </c>
      <c r="I32" s="13">
        <f>+'422 Maintenance'!I29</f>
        <v>31.22</v>
      </c>
      <c r="J32" s="13">
        <f>+'422 Maintenance'!J29</f>
        <v>22</v>
      </c>
      <c r="K32" s="40">
        <f>+'422 Maintenance'!K29</f>
        <v>100</v>
      </c>
      <c r="L32" s="13">
        <f>+'422 Maintenance'!L29</f>
        <v>17.47</v>
      </c>
      <c r="M32" s="40">
        <f>+'422 Maintenance'!M29</f>
        <v>100</v>
      </c>
      <c r="N32" s="13">
        <f>+'422 Maintenance'!N29</f>
        <v>131.34</v>
      </c>
      <c r="O32" s="40">
        <f>+'422 Maintenance'!O29</f>
        <v>100</v>
      </c>
      <c r="P32" s="13">
        <f>+'422 Maintenance'!P29</f>
        <v>82.51</v>
      </c>
      <c r="Q32" s="40">
        <f>+'422 Maintenance'!Q29</f>
        <v>100</v>
      </c>
      <c r="R32" s="13">
        <f>+'422 Maintenance'!R29</f>
        <v>41.22</v>
      </c>
      <c r="S32" s="40">
        <f>+'422 Maintenance'!S29</f>
        <v>100</v>
      </c>
      <c r="T32" s="40">
        <f>+'422 Maintenance'!T29</f>
        <v>0</v>
      </c>
      <c r="U32" s="40">
        <f>+'422 Maintenance'!U29</f>
        <v>0</v>
      </c>
    </row>
    <row r="33" spans="1:21" x14ac:dyDescent="0.25">
      <c r="A33" s="708">
        <v>5345</v>
      </c>
      <c r="B33" s="12" t="s">
        <v>752</v>
      </c>
      <c r="C33" s="13">
        <f>+'422 Maintenance'!C30</f>
        <v>50.81</v>
      </c>
      <c r="D33" s="13">
        <f>+'422 Maintenance'!D30</f>
        <v>237.71</v>
      </c>
      <c r="E33" s="13">
        <f>+'422 Maintenance'!E30</f>
        <v>835.56</v>
      </c>
      <c r="F33" s="13">
        <f>+'422 Maintenance'!F30</f>
        <v>1284.3399999999999</v>
      </c>
      <c r="G33" s="13">
        <f>+'422 Maintenance'!G30</f>
        <v>1533.36</v>
      </c>
      <c r="H33" s="13">
        <f>+'422 Maintenance'!H30</f>
        <v>1075.22</v>
      </c>
      <c r="I33" s="13">
        <f>+'422 Maintenance'!I30</f>
        <v>3390.59</v>
      </c>
      <c r="J33" s="13">
        <f>+'422 Maintenance'!J30</f>
        <v>1518.32</v>
      </c>
      <c r="K33" s="40">
        <f>+'422 Maintenance'!K30</f>
        <v>2500</v>
      </c>
      <c r="L33" s="13">
        <f>+'422 Maintenance'!L30</f>
        <v>1531.24</v>
      </c>
      <c r="M33" s="40">
        <f>+'422 Maintenance'!M30</f>
        <v>2500</v>
      </c>
      <c r="N33" s="13">
        <f>+'422 Maintenance'!N30</f>
        <v>2514.33</v>
      </c>
      <c r="O33" s="40">
        <f>+'422 Maintenance'!O30</f>
        <v>2500</v>
      </c>
      <c r="P33" s="13">
        <f>+'422 Maintenance'!P30</f>
        <v>2351.34</v>
      </c>
      <c r="Q33" s="40">
        <f>+'422 Maintenance'!Q30</f>
        <v>2500</v>
      </c>
      <c r="R33" s="13">
        <f>+'422 Maintenance'!R30</f>
        <v>667.45</v>
      </c>
      <c r="S33" s="40">
        <f>+'422 Maintenance'!S30</f>
        <v>2500</v>
      </c>
      <c r="T33" s="40">
        <f>+'422 Maintenance'!T30</f>
        <v>0</v>
      </c>
      <c r="U33" s="40">
        <f>+'422 Maintenance'!U30</f>
        <v>0</v>
      </c>
    </row>
    <row r="34" spans="1:21" x14ac:dyDescent="0.25">
      <c r="A34" s="708">
        <v>5420</v>
      </c>
      <c r="B34" s="12" t="s">
        <v>753</v>
      </c>
      <c r="C34" s="18">
        <f>+'422 Maintenance'!C31</f>
        <v>965.81</v>
      </c>
      <c r="D34" s="18">
        <f>+'422 Maintenance'!D31</f>
        <v>694.26</v>
      </c>
      <c r="E34" s="18">
        <f>+'422 Maintenance'!E31</f>
        <v>1611.93</v>
      </c>
      <c r="F34" s="18">
        <f>+'422 Maintenance'!F31</f>
        <v>1141.1500000000001</v>
      </c>
      <c r="G34" s="18">
        <f>+'422 Maintenance'!G31</f>
        <v>953.7</v>
      </c>
      <c r="H34" s="18">
        <f>+'422 Maintenance'!H31</f>
        <v>1938.24</v>
      </c>
      <c r="I34" s="18">
        <f>+'422 Maintenance'!I31</f>
        <v>1793.4</v>
      </c>
      <c r="J34" s="18">
        <f>+'422 Maintenance'!J31</f>
        <v>861.64</v>
      </c>
      <c r="K34" s="34">
        <f>+'422 Maintenance'!K31</f>
        <v>1750</v>
      </c>
      <c r="L34" s="18">
        <f>+'422 Maintenance'!L31</f>
        <v>2708.1</v>
      </c>
      <c r="M34" s="34">
        <f>+'422 Maintenance'!M31</f>
        <v>4000</v>
      </c>
      <c r="N34" s="18">
        <f>+'422 Maintenance'!N31</f>
        <v>1700.87</v>
      </c>
      <c r="O34" s="34">
        <f>+'422 Maintenance'!O31</f>
        <v>3500</v>
      </c>
      <c r="P34" s="18">
        <f>+'422 Maintenance'!P31</f>
        <v>3081.12</v>
      </c>
      <c r="Q34" s="34">
        <f>+'422 Maintenance'!Q31</f>
        <v>3500</v>
      </c>
      <c r="R34" s="18">
        <f>+'422 Maintenance'!R31</f>
        <v>1118.78</v>
      </c>
      <c r="S34" s="34">
        <f>+'422 Maintenance'!S31</f>
        <v>3500</v>
      </c>
      <c r="T34" s="34">
        <f>+'422 Maintenance'!T31</f>
        <v>0</v>
      </c>
      <c r="U34" s="34">
        <f>+'422 Maintenance'!U31</f>
        <v>0</v>
      </c>
    </row>
    <row r="35" spans="1:21" x14ac:dyDescent="0.25">
      <c r="A35" s="708">
        <v>5430</v>
      </c>
      <c r="B35" s="12" t="s">
        <v>1160</v>
      </c>
      <c r="C35" s="13">
        <f>+'192 Public Bldgs'!C18+'422 Maintenance'!C32</f>
        <v>2626.15</v>
      </c>
      <c r="D35" s="13">
        <f>+'192 Public Bldgs'!D18+'422 Maintenance'!D32</f>
        <v>2970.4399999999996</v>
      </c>
      <c r="E35" s="13">
        <f>+'192 Public Bldgs'!E18+'422 Maintenance'!E32</f>
        <v>1967.79</v>
      </c>
      <c r="F35" s="13">
        <f>+'192 Public Bldgs'!F18+'422 Maintenance'!F32</f>
        <v>2444.42</v>
      </c>
      <c r="G35" s="13">
        <f>+'192 Public Bldgs'!G18+'422 Maintenance'!G32</f>
        <v>6742.5399999999991</v>
      </c>
      <c r="H35" s="13">
        <f>+'192 Public Bldgs'!H18+'422 Maintenance'!H32</f>
        <v>3466.7300000000005</v>
      </c>
      <c r="I35" s="13">
        <f>+'192 Public Bldgs'!I18+'422 Maintenance'!I32</f>
        <v>2579.1600000000003</v>
      </c>
      <c r="J35" s="13">
        <f>+'192 Public Bldgs'!J18+'422 Maintenance'!J32</f>
        <v>3482.2000000000003</v>
      </c>
      <c r="K35" s="40">
        <f>+'192 Public Bldgs'!K18+'422 Maintenance'!K32</f>
        <v>6500</v>
      </c>
      <c r="L35" s="13">
        <f>+'192 Public Bldgs'!L18+'422 Maintenance'!L32</f>
        <v>1496.88</v>
      </c>
      <c r="M35" s="40">
        <f>+'192 Public Bldgs'!M18+'422 Maintenance'!M32</f>
        <v>6500</v>
      </c>
      <c r="N35" s="13">
        <f>+'192 Public Bldgs'!N18+'422 Maintenance'!N32</f>
        <v>4649.29</v>
      </c>
      <c r="O35" s="40">
        <f>+'192 Public Bldgs'!O18+'422 Maintenance'!O32</f>
        <v>5500</v>
      </c>
      <c r="P35" s="13">
        <f>+'192 Public Bldgs'!P18+'422 Maintenance'!P32</f>
        <v>1677.79</v>
      </c>
      <c r="Q35" s="40">
        <f>+'192 Public Bldgs'!Q18+'422 Maintenance'!Q32</f>
        <v>5500</v>
      </c>
      <c r="R35" s="13">
        <f>+'192 Public Bldgs'!R18+'422 Maintenance'!R32</f>
        <v>162.18</v>
      </c>
      <c r="S35" s="40">
        <f>+'192 Public Bldgs'!S18+'422 Maintenance'!S32</f>
        <v>5500</v>
      </c>
      <c r="T35" s="40">
        <f>+'192 Public Bldgs'!T18+'422 Maintenance'!T32</f>
        <v>0</v>
      </c>
      <c r="U35" s="40">
        <f>+'192 Public Bldgs'!U18+'422 Maintenance'!U32</f>
        <v>0</v>
      </c>
    </row>
    <row r="36" spans="1:21" x14ac:dyDescent="0.25">
      <c r="A36" s="708">
        <v>5432</v>
      </c>
      <c r="B36" s="12" t="s">
        <v>1161</v>
      </c>
      <c r="C36" s="13">
        <f>+'422 Maintenance'!C33</f>
        <v>37.119999999999997</v>
      </c>
      <c r="D36" s="13">
        <f>+'422 Maintenance'!D33</f>
        <v>13.95</v>
      </c>
      <c r="E36" s="13">
        <f>+'422 Maintenance'!E33</f>
        <v>0</v>
      </c>
      <c r="F36" s="13">
        <f>+'422 Maintenance'!F33</f>
        <v>55.85</v>
      </c>
      <c r="G36" s="13">
        <f>+'422 Maintenance'!G33</f>
        <v>0</v>
      </c>
      <c r="H36" s="13">
        <f>+'422 Maintenance'!H33</f>
        <v>0</v>
      </c>
      <c r="I36" s="13">
        <f>+'422 Maintenance'!I33</f>
        <v>0</v>
      </c>
      <c r="J36" s="13">
        <f>+'422 Maintenance'!J33</f>
        <v>0</v>
      </c>
      <c r="K36" s="40">
        <f>+'422 Maintenance'!K33</f>
        <v>0</v>
      </c>
      <c r="L36" s="13">
        <f>+'422 Maintenance'!L33</f>
        <v>0</v>
      </c>
      <c r="M36" s="40">
        <f>+'422 Maintenance'!M33</f>
        <v>0</v>
      </c>
      <c r="N36" s="13">
        <f>+'422 Maintenance'!N33</f>
        <v>0</v>
      </c>
      <c r="O36" s="40">
        <f>+'422 Maintenance'!O33</f>
        <v>0</v>
      </c>
      <c r="P36" s="13">
        <f>+'422 Maintenance'!P33</f>
        <v>0</v>
      </c>
      <c r="Q36" s="40">
        <f>+'422 Maintenance'!Q33</f>
        <v>0</v>
      </c>
      <c r="R36" s="13">
        <f>+'422 Maintenance'!R33</f>
        <v>0</v>
      </c>
      <c r="S36" s="40">
        <f>+'422 Maintenance'!S33</f>
        <v>0</v>
      </c>
      <c r="T36" s="40">
        <f>+'422 Maintenance'!T33</f>
        <v>0</v>
      </c>
      <c r="U36" s="40">
        <f>+'422 Maintenance'!U33</f>
        <v>0</v>
      </c>
    </row>
    <row r="37" spans="1:21" x14ac:dyDescent="0.25">
      <c r="A37" s="708">
        <v>5435</v>
      </c>
      <c r="B37" s="12" t="s">
        <v>1162</v>
      </c>
      <c r="C37" s="13">
        <f>+'422 Maintenance'!C34</f>
        <v>2223.06</v>
      </c>
      <c r="D37" s="13">
        <f>+'422 Maintenance'!D34</f>
        <v>1519.3</v>
      </c>
      <c r="E37" s="13">
        <f>+'422 Maintenance'!E34</f>
        <v>2230.3200000000002</v>
      </c>
      <c r="F37" s="13">
        <f>+'422 Maintenance'!F34</f>
        <v>3011.96</v>
      </c>
      <c r="G37" s="13">
        <f>+'422 Maintenance'!G34</f>
        <v>2113.88</v>
      </c>
      <c r="H37" s="13">
        <f>+'422 Maintenance'!H34</f>
        <v>6885.49</v>
      </c>
      <c r="I37" s="13">
        <f>+'422 Maintenance'!I34</f>
        <v>3971.26</v>
      </c>
      <c r="J37" s="13">
        <f>+'422 Maintenance'!J34</f>
        <v>9171.73</v>
      </c>
      <c r="K37" s="40">
        <f>+'422 Maintenance'!K34</f>
        <v>5000</v>
      </c>
      <c r="L37" s="13">
        <f>+'422 Maintenance'!L34</f>
        <v>2848.01</v>
      </c>
      <c r="M37" s="40">
        <f>+'422 Maintenance'!M34</f>
        <v>5000</v>
      </c>
      <c r="N37" s="13">
        <f>+'422 Maintenance'!N34</f>
        <v>4877.91</v>
      </c>
      <c r="O37" s="40">
        <f>+'422 Maintenance'!O34</f>
        <v>5000</v>
      </c>
      <c r="P37" s="13">
        <f>+'422 Maintenance'!P34</f>
        <v>8864.75</v>
      </c>
      <c r="Q37" s="40">
        <f>+'422 Maintenance'!Q34</f>
        <v>5000</v>
      </c>
      <c r="R37" s="13">
        <f>+'422 Maintenance'!R34</f>
        <v>2638.62</v>
      </c>
      <c r="S37" s="40">
        <f>+'422 Maintenance'!S34</f>
        <v>5000</v>
      </c>
      <c r="T37" s="40">
        <f>+'422 Maintenance'!T34</f>
        <v>0</v>
      </c>
      <c r="U37" s="40">
        <f>+'422 Maintenance'!U34</f>
        <v>0</v>
      </c>
    </row>
    <row r="38" spans="1:21" x14ac:dyDescent="0.25">
      <c r="A38" s="708">
        <v>5440</v>
      </c>
      <c r="B38" s="12" t="s">
        <v>1163</v>
      </c>
      <c r="C38" s="13">
        <f>+'422 Maintenance'!C35</f>
        <v>4022.66</v>
      </c>
      <c r="D38" s="13">
        <f>+'422 Maintenance'!D35</f>
        <v>4443.3500000000004</v>
      </c>
      <c r="E38" s="13">
        <f>+'422 Maintenance'!E35</f>
        <v>6122.27</v>
      </c>
      <c r="F38" s="13">
        <f>+'422 Maintenance'!F35</f>
        <v>4464.0600000000004</v>
      </c>
      <c r="G38" s="13">
        <f>+'422 Maintenance'!G35</f>
        <v>2584.31</v>
      </c>
      <c r="H38" s="13">
        <f>+'422 Maintenance'!H35</f>
        <v>8262.68</v>
      </c>
      <c r="I38" s="13">
        <f>+'422 Maintenance'!I35</f>
        <v>5721.25</v>
      </c>
      <c r="J38" s="13">
        <f>+'422 Maintenance'!J35</f>
        <v>9061.2199999999993</v>
      </c>
      <c r="K38" s="40">
        <f>+'422 Maintenance'!K35</f>
        <v>7000</v>
      </c>
      <c r="L38" s="13">
        <f>+'422 Maintenance'!L35</f>
        <v>6192.19</v>
      </c>
      <c r="M38" s="40">
        <f>+'422 Maintenance'!M35</f>
        <v>8000</v>
      </c>
      <c r="N38" s="13">
        <f>+'422 Maintenance'!N35</f>
        <v>7341.42</v>
      </c>
      <c r="O38" s="40">
        <f>+'422 Maintenance'!O35</f>
        <v>8000</v>
      </c>
      <c r="P38" s="13">
        <f>+'422 Maintenance'!P35</f>
        <v>10254.44</v>
      </c>
      <c r="Q38" s="40">
        <f>+'422 Maintenance'!Q35</f>
        <v>10000</v>
      </c>
      <c r="R38" s="13">
        <f>+'422 Maintenance'!R35</f>
        <v>4458.3</v>
      </c>
      <c r="S38" s="40">
        <f>+'422 Maintenance'!S35</f>
        <v>10000</v>
      </c>
      <c r="T38" s="40">
        <f>+'422 Maintenance'!T35</f>
        <v>0</v>
      </c>
      <c r="U38" s="40">
        <f>+'422 Maintenance'!U35</f>
        <v>0</v>
      </c>
    </row>
    <row r="39" spans="1:21" x14ac:dyDescent="0.25">
      <c r="A39" s="708">
        <v>5443</v>
      </c>
      <c r="B39" s="12" t="s">
        <v>1164</v>
      </c>
      <c r="C39" s="13">
        <f>+'192 Public Bldgs'!C19+'422 Maintenance'!C36+'652 Parks'!C16</f>
        <v>21800.489999999998</v>
      </c>
      <c r="D39" s="13">
        <f>+'192 Public Bldgs'!D19+'422 Maintenance'!D36+'652 Parks'!D16</f>
        <v>26072.620000000003</v>
      </c>
      <c r="E39" s="13">
        <f>+'192 Public Bldgs'!E19+'422 Maintenance'!E36+'652 Parks'!E16</f>
        <v>25671.309999999998</v>
      </c>
      <c r="F39" s="13">
        <f>+'192 Public Bldgs'!F19+'422 Maintenance'!F36+'652 Parks'!F16</f>
        <v>53738</v>
      </c>
      <c r="G39" s="13">
        <f>+'192 Public Bldgs'!G19+'422 Maintenance'!G36+'652 Parks'!G16</f>
        <v>31883.269999999997</v>
      </c>
      <c r="H39" s="13">
        <f>+'192 Public Bldgs'!H19+'422 Maintenance'!H36+'652 Parks'!H16</f>
        <v>44588.79</v>
      </c>
      <c r="I39" s="13">
        <f>+'192 Public Bldgs'!I19+'422 Maintenance'!I36+'652 Parks'!I16</f>
        <v>38715.33</v>
      </c>
      <c r="J39" s="13">
        <f>+'192 Public Bldgs'!J19+'422 Maintenance'!J36+'652 Parks'!J16</f>
        <v>56626.25</v>
      </c>
      <c r="K39" s="40">
        <f>+'192 Public Bldgs'!K19+'422 Maintenance'!K36+'652 Parks'!K16</f>
        <v>48000</v>
      </c>
      <c r="L39" s="13">
        <f>+'192 Public Bldgs'!L19+'422 Maintenance'!L36+'652 Parks'!L16</f>
        <v>60340.03</v>
      </c>
      <c r="M39" s="40">
        <f>+'192 Public Bldgs'!M19+'422 Maintenance'!M36+'652 Parks'!M16</f>
        <v>52500</v>
      </c>
      <c r="N39" s="13">
        <f>+'192 Public Bldgs'!N19+'422 Maintenance'!N36+'652 Parks'!N16</f>
        <v>39658.479999999996</v>
      </c>
      <c r="O39" s="40">
        <f>+'192 Public Bldgs'!O19+'422 Maintenance'!O36+'652 Parks'!O16</f>
        <v>70500</v>
      </c>
      <c r="P39" s="13">
        <f>+'192 Public Bldgs'!P19+'422 Maintenance'!P36+'652 Parks'!P16</f>
        <v>69128.930000000008</v>
      </c>
      <c r="Q39" s="40">
        <f>+'192 Public Bldgs'!Q19+'422 Maintenance'!Q36+'652 Parks'!Q16</f>
        <v>70500</v>
      </c>
      <c r="R39" s="13">
        <f>+'192 Public Bldgs'!R19+'422 Maintenance'!R36+'652 Parks'!R16</f>
        <v>28637.579999999998</v>
      </c>
      <c r="S39" s="40">
        <f>+'192 Public Bldgs'!S19+'422 Maintenance'!S36+'652 Parks'!S16</f>
        <v>70500</v>
      </c>
      <c r="T39" s="40">
        <f>+'192 Public Bldgs'!T19+'422 Maintenance'!T36+'652 Parks'!T16</f>
        <v>0</v>
      </c>
      <c r="U39" s="40">
        <f>+'192 Public Bldgs'!U19+'422 Maintenance'!U36+'652 Parks'!U16</f>
        <v>0</v>
      </c>
    </row>
    <row r="40" spans="1:21" x14ac:dyDescent="0.25">
      <c r="A40" s="708">
        <v>5450</v>
      </c>
      <c r="B40" s="60" t="s">
        <v>754</v>
      </c>
      <c r="C40" s="13"/>
      <c r="D40" s="13"/>
      <c r="E40" s="13"/>
      <c r="F40" s="13"/>
      <c r="G40" s="13"/>
      <c r="H40" s="13"/>
      <c r="I40" s="13"/>
      <c r="J40" s="13"/>
      <c r="K40" s="40"/>
      <c r="L40" s="13"/>
      <c r="M40" s="40"/>
      <c r="N40" s="13"/>
      <c r="O40" s="40"/>
      <c r="P40" s="13"/>
      <c r="Q40" s="40"/>
      <c r="R40" s="13"/>
      <c r="S40" s="40">
        <f>+'652 Parks'!S17</f>
        <v>4000</v>
      </c>
      <c r="T40" s="40"/>
      <c r="U40" s="40"/>
    </row>
    <row r="41" spans="1:21" x14ac:dyDescent="0.25">
      <c r="A41" s="708">
        <v>5451</v>
      </c>
      <c r="B41" s="12" t="s">
        <v>1035</v>
      </c>
      <c r="C41" s="13">
        <f>+'192 Public Bldgs'!C21</f>
        <v>5018.82</v>
      </c>
      <c r="D41" s="13">
        <f>+'192 Public Bldgs'!D21</f>
        <v>5254.01</v>
      </c>
      <c r="E41" s="13">
        <f>+'192 Public Bldgs'!E21</f>
        <v>5220.07</v>
      </c>
      <c r="F41" s="13">
        <f>+'192 Public Bldgs'!F21</f>
        <v>4714.6000000000004</v>
      </c>
      <c r="G41" s="13">
        <f>+'192 Public Bldgs'!G21</f>
        <v>7479.13</v>
      </c>
      <c r="H41" s="13">
        <f>+'192 Public Bldgs'!H21</f>
        <v>7438.02</v>
      </c>
      <c r="I41" s="13">
        <f>+'192 Public Bldgs'!I21</f>
        <v>7961.22</v>
      </c>
      <c r="J41" s="13">
        <f>+'192 Public Bldgs'!J21</f>
        <v>7547.15</v>
      </c>
      <c r="K41" s="40">
        <f>+'192 Public Bldgs'!K21</f>
        <v>8000</v>
      </c>
      <c r="L41" s="13">
        <f>+'192 Public Bldgs'!L21</f>
        <v>5319.19</v>
      </c>
      <c r="M41" s="40">
        <f>+'192 Public Bldgs'!M21</f>
        <v>9000</v>
      </c>
      <c r="N41" s="13">
        <f>+'192 Public Bldgs'!N21</f>
        <v>5820.13</v>
      </c>
      <c r="O41" s="40">
        <f>+'192 Public Bldgs'!O21</f>
        <v>8500</v>
      </c>
      <c r="P41" s="13">
        <f>+'192 Public Bldgs'!P21</f>
        <v>7444.74</v>
      </c>
      <c r="Q41" s="40">
        <f>+'192 Public Bldgs'!Q21</f>
        <v>8500</v>
      </c>
      <c r="R41" s="13">
        <f>+'192 Public Bldgs'!R21</f>
        <v>3586.16</v>
      </c>
      <c r="S41" s="40">
        <f>+'192 Public Bldgs'!S21</f>
        <v>8500</v>
      </c>
      <c r="T41" s="40">
        <f>+'192 Public Bldgs'!T21</f>
        <v>0</v>
      </c>
      <c r="U41" s="40">
        <f>+'192 Public Bldgs'!U21</f>
        <v>0</v>
      </c>
    </row>
    <row r="42" spans="1:21" x14ac:dyDescent="0.25">
      <c r="A42" s="708">
        <v>5460</v>
      </c>
      <c r="B42" s="12" t="s">
        <v>1165</v>
      </c>
      <c r="C42" s="13">
        <f>+'652 Parks'!C18</f>
        <v>512</v>
      </c>
      <c r="D42" s="13">
        <f>+'652 Parks'!D18</f>
        <v>2052.3200000000002</v>
      </c>
      <c r="E42" s="13">
        <f>+'652 Parks'!E18</f>
        <v>0</v>
      </c>
      <c r="F42" s="13">
        <f>+'652 Parks'!F18</f>
        <v>40</v>
      </c>
      <c r="G42" s="13">
        <f>+'652 Parks'!G18</f>
        <v>0</v>
      </c>
      <c r="H42" s="13">
        <f>+'652 Parks'!H18</f>
        <v>0</v>
      </c>
      <c r="I42" s="13">
        <f>+'652 Parks'!I18</f>
        <v>0</v>
      </c>
      <c r="J42" s="13">
        <f>+'652 Parks'!J18</f>
        <v>0</v>
      </c>
      <c r="K42" s="40">
        <f>+'652 Parks'!K18</f>
        <v>2000</v>
      </c>
      <c r="L42" s="13">
        <f>+'652 Parks'!L18</f>
        <v>0</v>
      </c>
      <c r="M42" s="40">
        <f>+'652 Parks'!M18</f>
        <v>2000</v>
      </c>
      <c r="N42" s="13">
        <f>+'652 Parks'!N18</f>
        <v>3694.08</v>
      </c>
      <c r="O42" s="40">
        <f>+'652 Parks'!O18</f>
        <v>2000</v>
      </c>
      <c r="P42" s="13">
        <f>+'652 Parks'!P18</f>
        <v>4022.07</v>
      </c>
      <c r="Q42" s="40">
        <f>+'652 Parks'!Q18</f>
        <v>3000</v>
      </c>
      <c r="R42" s="13">
        <f>+'652 Parks'!R18</f>
        <v>421</v>
      </c>
      <c r="S42" s="40">
        <f>+'652 Parks'!S18</f>
        <v>3000</v>
      </c>
      <c r="T42" s="40">
        <f>+'652 Parks'!T18</f>
        <v>0</v>
      </c>
      <c r="U42" s="40">
        <f>+'652 Parks'!U18</f>
        <v>0</v>
      </c>
    </row>
    <row r="43" spans="1:21" x14ac:dyDescent="0.25">
      <c r="A43" s="708">
        <v>5481</v>
      </c>
      <c r="B43" s="12" t="s">
        <v>1037</v>
      </c>
      <c r="C43" s="13">
        <f>+'422 Maintenance'!C37</f>
        <v>23072.400000000001</v>
      </c>
      <c r="D43" s="13">
        <f>+'422 Maintenance'!D37</f>
        <v>32924.959999999999</v>
      </c>
      <c r="E43" s="13">
        <f>+'422 Maintenance'!E37</f>
        <v>27697.48</v>
      </c>
      <c r="F43" s="13">
        <f>+'422 Maintenance'!F37</f>
        <v>18370.16</v>
      </c>
      <c r="G43" s="13">
        <f>+'422 Maintenance'!G37</f>
        <v>11746.54</v>
      </c>
      <c r="H43" s="13">
        <f>+'422 Maintenance'!H37</f>
        <v>27057.85</v>
      </c>
      <c r="I43" s="13">
        <f>+'422 Maintenance'!I37</f>
        <v>32961.730000000003</v>
      </c>
      <c r="J43" s="13">
        <f>+'422 Maintenance'!J37</f>
        <v>24671.91</v>
      </c>
      <c r="K43" s="40">
        <f>+'422 Maintenance'!K37</f>
        <v>45000</v>
      </c>
      <c r="L43" s="13">
        <f>+'422 Maintenance'!L37</f>
        <v>18138.169999999998</v>
      </c>
      <c r="M43" s="40">
        <f>+'422 Maintenance'!M37</f>
        <v>45000</v>
      </c>
      <c r="N43" s="13">
        <f>+'422 Maintenance'!N37</f>
        <v>20371.330000000002</v>
      </c>
      <c r="O43" s="40">
        <f>+'422 Maintenance'!O37</f>
        <v>45000</v>
      </c>
      <c r="P43" s="13">
        <f>+'422 Maintenance'!P37</f>
        <v>46009.54</v>
      </c>
      <c r="Q43" s="40">
        <f>+'422 Maintenance'!Q37</f>
        <v>63140</v>
      </c>
      <c r="R43" s="13">
        <f>+'422 Maintenance'!R37</f>
        <v>10806.67</v>
      </c>
      <c r="S43" s="40">
        <f>+'422 Maintenance'!S37</f>
        <v>63140</v>
      </c>
      <c r="T43" s="40">
        <f>+'422 Maintenance'!T37</f>
        <v>0</v>
      </c>
      <c r="U43" s="40">
        <f>+'422 Maintenance'!U37</f>
        <v>0</v>
      </c>
    </row>
    <row r="44" spans="1:21" x14ac:dyDescent="0.25">
      <c r="A44" s="708">
        <v>5482</v>
      </c>
      <c r="B44" s="12" t="s">
        <v>1166</v>
      </c>
      <c r="C44" s="13">
        <f>+'422 Maintenance'!C38</f>
        <v>55086.99</v>
      </c>
      <c r="D44" s="13">
        <f>+'422 Maintenance'!D38</f>
        <v>73803.73</v>
      </c>
      <c r="E44" s="13">
        <f>+'422 Maintenance'!E38</f>
        <v>75053.789999999994</v>
      </c>
      <c r="F44" s="13">
        <f>+'422 Maintenance'!F38</f>
        <v>49247.73</v>
      </c>
      <c r="G44" s="13">
        <f>+'422 Maintenance'!G38</f>
        <v>30907.05</v>
      </c>
      <c r="H44" s="13">
        <f>+'422 Maintenance'!H38</f>
        <v>32653.5</v>
      </c>
      <c r="I44" s="13">
        <f>+'422 Maintenance'!I38</f>
        <v>50089.25</v>
      </c>
      <c r="J44" s="13">
        <f>+'422 Maintenance'!J38</f>
        <v>42648.88</v>
      </c>
      <c r="K44" s="40">
        <f>+'422 Maintenance'!K38</f>
        <v>60000</v>
      </c>
      <c r="L44" s="13">
        <f>+'422 Maintenance'!L38</f>
        <v>20446</v>
      </c>
      <c r="M44" s="40">
        <f>+'422 Maintenance'!M38</f>
        <v>53000</v>
      </c>
      <c r="N44" s="13">
        <f>+'422 Maintenance'!N38</f>
        <v>34760.06</v>
      </c>
      <c r="O44" s="40">
        <f>+'422 Maintenance'!O38</f>
        <v>53000</v>
      </c>
      <c r="P44" s="13">
        <f>+'422 Maintenance'!P38</f>
        <v>85470.28</v>
      </c>
      <c r="Q44" s="40">
        <f>+'422 Maintenance'!Q38</f>
        <v>67200</v>
      </c>
      <c r="R44" s="13">
        <f>+'422 Maintenance'!R38</f>
        <v>14985</v>
      </c>
      <c r="S44" s="40">
        <f>+'422 Maintenance'!S38</f>
        <v>67200</v>
      </c>
      <c r="T44" s="40">
        <f>+'422 Maintenance'!T38</f>
        <v>0</v>
      </c>
      <c r="U44" s="40">
        <f>+'422 Maintenance'!U38</f>
        <v>0</v>
      </c>
    </row>
    <row r="45" spans="1:21" x14ac:dyDescent="0.25">
      <c r="A45" s="708">
        <v>5484</v>
      </c>
      <c r="B45" s="12" t="s">
        <v>1167</v>
      </c>
      <c r="C45" s="13">
        <f>+'422 Maintenance'!C39</f>
        <v>41019.53</v>
      </c>
      <c r="D45" s="13">
        <f>+'422 Maintenance'!D39</f>
        <v>46732</v>
      </c>
      <c r="E45" s="13">
        <f>+'422 Maintenance'!E39</f>
        <v>75705.59</v>
      </c>
      <c r="F45" s="13">
        <f>+'422 Maintenance'!F39</f>
        <v>71319.490000000005</v>
      </c>
      <c r="G45" s="13">
        <f>+'422 Maintenance'!G39</f>
        <v>70335.48</v>
      </c>
      <c r="H45" s="13">
        <f>+'422 Maintenance'!H39</f>
        <v>78729.27</v>
      </c>
      <c r="I45" s="13">
        <f>+'422 Maintenance'!I39</f>
        <v>89573.71</v>
      </c>
      <c r="J45" s="13">
        <f>+'422 Maintenance'!J39</f>
        <v>93738.67</v>
      </c>
      <c r="K45" s="40">
        <f>+'422 Maintenance'!K39</f>
        <v>80000</v>
      </c>
      <c r="L45" s="13">
        <f>+'422 Maintenance'!L39</f>
        <v>79364.2</v>
      </c>
      <c r="M45" s="40">
        <f>+'422 Maintenance'!M39</f>
        <v>85000</v>
      </c>
      <c r="N45" s="13">
        <f>+'422 Maintenance'!N39</f>
        <v>96232.29</v>
      </c>
      <c r="O45" s="40">
        <f>+'422 Maintenance'!O39</f>
        <v>85000</v>
      </c>
      <c r="P45" s="13">
        <f>+'422 Maintenance'!P39</f>
        <v>84639.39</v>
      </c>
      <c r="Q45" s="40">
        <f>+'422 Maintenance'!Q39</f>
        <v>85000</v>
      </c>
      <c r="R45" s="13">
        <f>+'422 Maintenance'!R39</f>
        <v>34862.1</v>
      </c>
      <c r="S45" s="40">
        <f>+'422 Maintenance'!S39</f>
        <v>85000</v>
      </c>
      <c r="T45" s="40">
        <f>+'422 Maintenance'!T39</f>
        <v>0</v>
      </c>
      <c r="U45" s="40">
        <f>+'422 Maintenance'!U39</f>
        <v>0</v>
      </c>
    </row>
    <row r="46" spans="1:21" x14ac:dyDescent="0.25">
      <c r="A46" s="708">
        <v>5500</v>
      </c>
      <c r="B46" s="12" t="s">
        <v>1168</v>
      </c>
      <c r="C46" s="13">
        <f>+'422 Maintenance'!C40</f>
        <v>0</v>
      </c>
      <c r="D46" s="13">
        <f>+'422 Maintenance'!D40</f>
        <v>0</v>
      </c>
      <c r="E46" s="13">
        <f>+'422 Maintenance'!E40</f>
        <v>11.94</v>
      </c>
      <c r="F46" s="13">
        <f>+'422 Maintenance'!F40</f>
        <v>0</v>
      </c>
      <c r="G46" s="13">
        <f>+'422 Maintenance'!G40</f>
        <v>0</v>
      </c>
      <c r="H46" s="13">
        <f>+'422 Maintenance'!H40</f>
        <v>0</v>
      </c>
      <c r="I46" s="13">
        <f>+'422 Maintenance'!I40</f>
        <v>127.13</v>
      </c>
      <c r="J46" s="13">
        <f>+'422 Maintenance'!J40</f>
        <v>947.82</v>
      </c>
      <c r="K46" s="40">
        <f>+'422 Maintenance'!K40</f>
        <v>150</v>
      </c>
      <c r="L46" s="13">
        <f>+'422 Maintenance'!L40</f>
        <v>381.74</v>
      </c>
      <c r="M46" s="40">
        <f>+'422 Maintenance'!M40</f>
        <v>150</v>
      </c>
      <c r="N46" s="13">
        <f>+'422 Maintenance'!N40</f>
        <v>219.17</v>
      </c>
      <c r="O46" s="40">
        <f>+'422 Maintenance'!O40</f>
        <v>150</v>
      </c>
      <c r="P46" s="13">
        <f>+'422 Maintenance'!P40</f>
        <v>314.41000000000003</v>
      </c>
      <c r="Q46" s="40">
        <f>+'422 Maintenance'!Q40</f>
        <v>200</v>
      </c>
      <c r="R46" s="13">
        <f>+'422 Maintenance'!R40</f>
        <v>298.38</v>
      </c>
      <c r="S46" s="40">
        <f>+'422 Maintenance'!S40</f>
        <v>250</v>
      </c>
      <c r="T46" s="40">
        <f>+'422 Maintenance'!T40</f>
        <v>0</v>
      </c>
      <c r="U46" s="40">
        <f>+'422 Maintenance'!U40</f>
        <v>0</v>
      </c>
    </row>
    <row r="47" spans="1:21" x14ac:dyDescent="0.25">
      <c r="A47" s="708">
        <v>5530</v>
      </c>
      <c r="B47" s="12" t="s">
        <v>1169</v>
      </c>
      <c r="C47" s="13">
        <f>+'422 Maintenance'!C41</f>
        <v>43029.4</v>
      </c>
      <c r="D47" s="13">
        <f>+'422 Maintenance'!D41</f>
        <v>45445.69</v>
      </c>
      <c r="E47" s="13">
        <f>+'422 Maintenance'!E41</f>
        <v>36322.94</v>
      </c>
      <c r="F47" s="13">
        <f>+'422 Maintenance'!F41</f>
        <v>43379.03</v>
      </c>
      <c r="G47" s="13">
        <f>+'422 Maintenance'!G41</f>
        <v>24572.81</v>
      </c>
      <c r="H47" s="13">
        <f>+'422 Maintenance'!H41</f>
        <v>31418.53</v>
      </c>
      <c r="I47" s="13">
        <f>+'422 Maintenance'!I41</f>
        <v>30491.41</v>
      </c>
      <c r="J47" s="13">
        <f>+'422 Maintenance'!J41</f>
        <v>29182.49</v>
      </c>
      <c r="K47" s="40">
        <f>+'422 Maintenance'!K41</f>
        <v>55000</v>
      </c>
      <c r="L47" s="13">
        <f>+'422 Maintenance'!L41</f>
        <v>47021.23</v>
      </c>
      <c r="M47" s="40">
        <f>+'422 Maintenance'!M41</f>
        <v>55000</v>
      </c>
      <c r="N47" s="13">
        <f>+'422 Maintenance'!N41</f>
        <v>63954.71</v>
      </c>
      <c r="O47" s="40">
        <f>+'422 Maintenance'!O41</f>
        <v>71500</v>
      </c>
      <c r="P47" s="13">
        <f>+'422 Maintenance'!P41</f>
        <v>61850.97</v>
      </c>
      <c r="Q47" s="40">
        <f>+'422 Maintenance'!Q41</f>
        <v>71500</v>
      </c>
      <c r="R47" s="13">
        <f>+'422 Maintenance'!R41</f>
        <v>37633.26</v>
      </c>
      <c r="S47" s="40">
        <f>+'422 Maintenance'!S41</f>
        <v>71500</v>
      </c>
      <c r="T47" s="40">
        <f>+'422 Maintenance'!T41</f>
        <v>0</v>
      </c>
      <c r="U47" s="208">
        <f>+'422 Maintenance'!U41</f>
        <v>0</v>
      </c>
    </row>
    <row r="48" spans="1:21" x14ac:dyDescent="0.25">
      <c r="A48" s="708">
        <v>5534</v>
      </c>
      <c r="B48" s="12" t="s">
        <v>1170</v>
      </c>
      <c r="C48" s="13">
        <f>+'422 Maintenance'!C42</f>
        <v>125</v>
      </c>
      <c r="D48" s="13">
        <f>+'422 Maintenance'!D42</f>
        <v>0</v>
      </c>
      <c r="E48" s="13">
        <f>+'422 Maintenance'!E42</f>
        <v>0</v>
      </c>
      <c r="F48" s="13">
        <f>+'422 Maintenance'!F42</f>
        <v>0</v>
      </c>
      <c r="G48" s="13">
        <f>+'422 Maintenance'!G42</f>
        <v>0</v>
      </c>
      <c r="H48" s="13">
        <f>+'422 Maintenance'!H42</f>
        <v>0</v>
      </c>
      <c r="I48" s="13">
        <f>+'422 Maintenance'!I42</f>
        <v>0</v>
      </c>
      <c r="J48" s="13">
        <f>+'422 Maintenance'!J42</f>
        <v>0</v>
      </c>
      <c r="K48" s="40">
        <f>+'422 Maintenance'!K42</f>
        <v>0</v>
      </c>
      <c r="L48" s="13">
        <f>+'422 Maintenance'!L42</f>
        <v>0</v>
      </c>
      <c r="M48" s="40">
        <f>+'422 Maintenance'!M42</f>
        <v>0</v>
      </c>
      <c r="N48" s="13">
        <f>+'422 Maintenance'!N42</f>
        <v>0</v>
      </c>
      <c r="O48" s="40">
        <f>+'422 Maintenance'!O42</f>
        <v>0</v>
      </c>
      <c r="P48" s="13">
        <f>+'422 Maintenance'!P42</f>
        <v>0</v>
      </c>
      <c r="Q48" s="40">
        <f>+'422 Maintenance'!Q42</f>
        <v>0</v>
      </c>
      <c r="R48" s="13">
        <f>+'422 Maintenance'!R42</f>
        <v>0</v>
      </c>
      <c r="S48" s="40">
        <f>+'422 Maintenance'!S42</f>
        <v>0</v>
      </c>
      <c r="T48" s="40">
        <f>+'422 Maintenance'!T42</f>
        <v>0</v>
      </c>
      <c r="U48" s="40">
        <f>+'422 Maintenance'!U42</f>
        <v>0</v>
      </c>
    </row>
    <row r="49" spans="1:27" x14ac:dyDescent="0.25">
      <c r="A49" s="708">
        <v>5580</v>
      </c>
      <c r="B49" s="12" t="s">
        <v>757</v>
      </c>
      <c r="C49" s="13"/>
      <c r="D49" s="13"/>
      <c r="E49" s="13"/>
      <c r="F49" s="13"/>
      <c r="G49" s="13"/>
      <c r="H49" s="13">
        <f>+'422 Maintenance'!H43</f>
        <v>0</v>
      </c>
      <c r="I49" s="13">
        <f>+'422 Maintenance'!I43</f>
        <v>12646.36</v>
      </c>
      <c r="J49" s="13">
        <f>+'422 Maintenance'!J43</f>
        <v>0</v>
      </c>
      <c r="K49" s="13">
        <f>+'422 Maintenance'!K43</f>
        <v>0</v>
      </c>
      <c r="L49" s="13">
        <f>+'422 Maintenance'!L43</f>
        <v>0</v>
      </c>
      <c r="M49" s="13">
        <f>+'422 Maintenance'!M43</f>
        <v>0</v>
      </c>
      <c r="N49" s="13">
        <f>+'422 Maintenance'!N43</f>
        <v>0</v>
      </c>
      <c r="O49" s="13">
        <f>+'422 Maintenance'!O43</f>
        <v>0</v>
      </c>
      <c r="P49" s="13">
        <f>+'422 Maintenance'!P43</f>
        <v>0</v>
      </c>
      <c r="Q49" s="13">
        <f>+'422 Maintenance'!Q43</f>
        <v>0</v>
      </c>
      <c r="R49" s="13">
        <f>+'422 Maintenance'!R43</f>
        <v>0</v>
      </c>
      <c r="S49" s="13">
        <f>+'422 Maintenance'!S43</f>
        <v>0</v>
      </c>
      <c r="T49" s="13">
        <f>+'422 Maintenance'!T43</f>
        <v>0</v>
      </c>
      <c r="U49" s="40"/>
    </row>
    <row r="50" spans="1:27" x14ac:dyDescent="0.25">
      <c r="A50" s="708">
        <v>5582</v>
      </c>
      <c r="B50" s="12" t="s">
        <v>1040</v>
      </c>
      <c r="C50" s="13">
        <f>+'422 Maintenance'!C44</f>
        <v>2596.34</v>
      </c>
      <c r="D50" s="13">
        <f>+'422 Maintenance'!D44</f>
        <v>2080.9699999999998</v>
      </c>
      <c r="E50" s="13">
        <f>+'422 Maintenance'!E44</f>
        <v>3880.7</v>
      </c>
      <c r="F50" s="13">
        <f>+'422 Maintenance'!F44</f>
        <v>4245.47</v>
      </c>
      <c r="G50" s="13">
        <f>+'422 Maintenance'!G44</f>
        <v>4901.04</v>
      </c>
      <c r="H50" s="13">
        <f>+'422 Maintenance'!H44</f>
        <v>5798.09</v>
      </c>
      <c r="I50" s="13">
        <f>+'422 Maintenance'!I44</f>
        <v>5887.39</v>
      </c>
      <c r="J50" s="13">
        <f>+'422 Maintenance'!J44</f>
        <v>12423.84</v>
      </c>
      <c r="K50" s="40">
        <f>+'422 Maintenance'!K44</f>
        <v>14000</v>
      </c>
      <c r="L50" s="13">
        <f>+'422 Maintenance'!L44</f>
        <v>13865.13</v>
      </c>
      <c r="M50" s="40">
        <f>+'422 Maintenance'!M44</f>
        <v>14000</v>
      </c>
      <c r="N50" s="13">
        <f>+'422 Maintenance'!N44</f>
        <v>16235.69</v>
      </c>
      <c r="O50" s="40">
        <f>+'422 Maintenance'!O44</f>
        <v>15500</v>
      </c>
      <c r="P50" s="13">
        <f>+'422 Maintenance'!P44</f>
        <v>17406.91</v>
      </c>
      <c r="Q50" s="40">
        <f>+'422 Maintenance'!Q44</f>
        <v>15500</v>
      </c>
      <c r="R50" s="13">
        <f>+'422 Maintenance'!R44</f>
        <v>6201.33</v>
      </c>
      <c r="S50" s="40">
        <f>+'422 Maintenance'!S44</f>
        <v>15500</v>
      </c>
      <c r="T50" s="40">
        <f>+'422 Maintenance'!T44</f>
        <v>0</v>
      </c>
      <c r="U50" s="40">
        <f>+'422 Maintenance'!U44</f>
        <v>0</v>
      </c>
      <c r="Z50" s="202"/>
    </row>
    <row r="51" spans="1:27" x14ac:dyDescent="0.25">
      <c r="A51" s="708">
        <v>5588</v>
      </c>
      <c r="B51" s="12" t="s">
        <v>1171</v>
      </c>
      <c r="C51" s="13">
        <f>+'422 Maintenance'!C45</f>
        <v>0</v>
      </c>
      <c r="D51" s="13">
        <f>+'422 Maintenance'!D45</f>
        <v>0</v>
      </c>
      <c r="E51" s="13">
        <f>+'422 Maintenance'!E45</f>
        <v>0</v>
      </c>
      <c r="F51" s="13">
        <f>+'422 Maintenance'!F45</f>
        <v>0</v>
      </c>
      <c r="G51" s="13">
        <f>+'422 Maintenance'!G45</f>
        <v>164</v>
      </c>
      <c r="H51" s="13">
        <f>+'422 Maintenance'!H45</f>
        <v>0</v>
      </c>
      <c r="I51" s="13">
        <f>+'422 Maintenance'!I45</f>
        <v>0</v>
      </c>
      <c r="J51" s="13">
        <f>+'422 Maintenance'!J45</f>
        <v>0</v>
      </c>
      <c r="K51" s="40">
        <f>+'422 Maintenance'!K45</f>
        <v>1000</v>
      </c>
      <c r="L51" s="13">
        <f>+'422 Maintenance'!L45</f>
        <v>0</v>
      </c>
      <c r="M51" s="40">
        <f>+'422 Maintenance'!M45</f>
        <v>1000</v>
      </c>
      <c r="N51" s="13">
        <f>+'422 Maintenance'!N45</f>
        <v>0</v>
      </c>
      <c r="O51" s="40">
        <f>+'422 Maintenance'!O45</f>
        <v>500</v>
      </c>
      <c r="P51" s="13">
        <f>+'422 Maintenance'!P45</f>
        <v>0</v>
      </c>
      <c r="Q51" s="40">
        <f>+'422 Maintenance'!Q45</f>
        <v>500</v>
      </c>
      <c r="R51" s="13">
        <f>+'422 Maintenance'!R45</f>
        <v>0</v>
      </c>
      <c r="S51" s="40">
        <f>+'422 Maintenance'!S45</f>
        <v>500</v>
      </c>
      <c r="T51" s="40">
        <f>+'422 Maintenance'!T45</f>
        <v>0</v>
      </c>
      <c r="U51" s="40">
        <f>+'422 Maintenance'!U45</f>
        <v>0</v>
      </c>
      <c r="Z51" s="202"/>
    </row>
    <row r="52" spans="1:27" x14ac:dyDescent="0.25">
      <c r="A52" s="708">
        <v>5710</v>
      </c>
      <c r="B52" s="12" t="s">
        <v>758</v>
      </c>
      <c r="C52" s="18">
        <f>+'422 Maintenance'!C46</f>
        <v>44.78</v>
      </c>
      <c r="D52" s="18">
        <f>+'422 Maintenance'!D46</f>
        <v>22.6</v>
      </c>
      <c r="E52" s="18">
        <f>+'422 Maintenance'!E46</f>
        <v>0</v>
      </c>
      <c r="F52" s="18">
        <f>+'422 Maintenance'!F46</f>
        <v>0</v>
      </c>
      <c r="G52" s="18">
        <f>+'422 Maintenance'!G46</f>
        <v>0</v>
      </c>
      <c r="H52" s="18">
        <f>+'422 Maintenance'!H46</f>
        <v>0</v>
      </c>
      <c r="I52" s="18">
        <f>+'422 Maintenance'!I46</f>
        <v>0</v>
      </c>
      <c r="J52" s="18">
        <f>+'422 Maintenance'!J46</f>
        <v>0</v>
      </c>
      <c r="K52" s="34">
        <f>+'422 Maintenance'!K46</f>
        <v>125</v>
      </c>
      <c r="L52" s="18">
        <f>+'422 Maintenance'!L46</f>
        <v>0</v>
      </c>
      <c r="M52" s="34">
        <f>+'422 Maintenance'!M46</f>
        <v>125</v>
      </c>
      <c r="N52" s="18">
        <f>+'422 Maintenance'!N46</f>
        <v>103.9</v>
      </c>
      <c r="O52" s="34">
        <f>+'422 Maintenance'!O46</f>
        <v>125</v>
      </c>
      <c r="P52" s="18">
        <f>+'422 Maintenance'!P46</f>
        <v>79.95</v>
      </c>
      <c r="Q52" s="34">
        <f>+'422 Maintenance'!Q46</f>
        <v>125</v>
      </c>
      <c r="R52" s="18">
        <f>+'422 Maintenance'!R46</f>
        <v>0</v>
      </c>
      <c r="S52" s="34">
        <f>+'422 Maintenance'!S46</f>
        <v>125</v>
      </c>
      <c r="T52" s="34">
        <f>+'422 Maintenance'!T46</f>
        <v>0</v>
      </c>
      <c r="U52" s="34">
        <f>+'422 Maintenance'!U46</f>
        <v>0</v>
      </c>
      <c r="Z52" s="202"/>
    </row>
    <row r="53" spans="1:27" x14ac:dyDescent="0.25">
      <c r="A53" s="708">
        <v>5730</v>
      </c>
      <c r="B53" s="12" t="s">
        <v>1172</v>
      </c>
      <c r="C53" s="13">
        <f>+'422 Maintenance'!C47</f>
        <v>361</v>
      </c>
      <c r="D53" s="13">
        <f>+'422 Maintenance'!D47</f>
        <v>233</v>
      </c>
      <c r="E53" s="13">
        <f>+'422 Maintenance'!E47</f>
        <v>381</v>
      </c>
      <c r="F53" s="13">
        <f>+'422 Maintenance'!F47</f>
        <v>381</v>
      </c>
      <c r="G53" s="13">
        <f>+'422 Maintenance'!G47</f>
        <v>356</v>
      </c>
      <c r="H53" s="13">
        <f>+'422 Maintenance'!H47</f>
        <v>125</v>
      </c>
      <c r="I53" s="13">
        <f>+'422 Maintenance'!I47</f>
        <v>125</v>
      </c>
      <c r="J53" s="13">
        <f>+'422 Maintenance'!J47</f>
        <v>125</v>
      </c>
      <c r="K53" s="40">
        <f>+'422 Maintenance'!K47</f>
        <v>500</v>
      </c>
      <c r="L53" s="13">
        <f>+'422 Maintenance'!L47</f>
        <v>431</v>
      </c>
      <c r="M53" s="40">
        <f>+'422 Maintenance'!M47</f>
        <v>500</v>
      </c>
      <c r="N53" s="13">
        <f>+'422 Maintenance'!N47</f>
        <v>850</v>
      </c>
      <c r="O53" s="40">
        <f>+'422 Maintenance'!O47</f>
        <v>500</v>
      </c>
      <c r="P53" s="13">
        <f>+'422 Maintenance'!P47</f>
        <v>381</v>
      </c>
      <c r="Q53" s="40">
        <f>+'422 Maintenance'!Q47</f>
        <v>500</v>
      </c>
      <c r="R53" s="13">
        <f>+'422 Maintenance'!R47</f>
        <v>256</v>
      </c>
      <c r="S53" s="40">
        <f>+'422 Maintenance'!S47</f>
        <v>500</v>
      </c>
      <c r="T53" s="40">
        <f>+'422 Maintenance'!T47</f>
        <v>0</v>
      </c>
      <c r="U53" s="40">
        <f>+'422 Maintenance'!U47</f>
        <v>0</v>
      </c>
      <c r="Z53" s="202"/>
    </row>
    <row r="54" spans="1:27" x14ac:dyDescent="0.25">
      <c r="A54" s="708">
        <v>5783</v>
      </c>
      <c r="B54" s="12" t="s">
        <v>1173</v>
      </c>
      <c r="C54" s="13">
        <f>+'422 Maintenance'!C49</f>
        <v>780</v>
      </c>
      <c r="D54" s="13">
        <f>+'422 Maintenance'!D49</f>
        <v>1710</v>
      </c>
      <c r="E54" s="13">
        <f>+'422 Maintenance'!E49</f>
        <v>1440</v>
      </c>
      <c r="F54" s="13">
        <f>+'422 Maintenance'!F49</f>
        <v>724</v>
      </c>
      <c r="G54" s="13">
        <f>+'422 Maintenance'!G49</f>
        <v>567.9</v>
      </c>
      <c r="H54" s="13">
        <f>+'422 Maintenance'!H49</f>
        <v>1328.7</v>
      </c>
      <c r="I54" s="13">
        <f>+'422 Maintenance'!I49</f>
        <v>1056</v>
      </c>
      <c r="J54" s="13">
        <f>+'422 Maintenance'!J49</f>
        <v>1204.95</v>
      </c>
      <c r="K54" s="40">
        <f>+'422 Maintenance'!K49</f>
        <v>1500</v>
      </c>
      <c r="L54" s="13">
        <f>+'422 Maintenance'!L49</f>
        <v>950</v>
      </c>
      <c r="M54" s="40">
        <f>+'422 Maintenance'!M49</f>
        <v>1500</v>
      </c>
      <c r="N54" s="13">
        <f>+'422 Maintenance'!N49</f>
        <v>1025.58</v>
      </c>
      <c r="O54" s="40">
        <f>+'422 Maintenance'!O49</f>
        <v>1500</v>
      </c>
      <c r="P54" s="13">
        <f>+'422 Maintenance'!P49</f>
        <v>1297.53</v>
      </c>
      <c r="Q54" s="40">
        <f>+'422 Maintenance'!Q49</f>
        <v>1500</v>
      </c>
      <c r="R54" s="13">
        <f>+'422 Maintenance'!R49</f>
        <v>2131.5300000000002</v>
      </c>
      <c r="S54" s="40">
        <f>+'422 Maintenance'!S49</f>
        <v>1500</v>
      </c>
      <c r="T54" s="40">
        <f>+'422 Maintenance'!T49</f>
        <v>0</v>
      </c>
      <c r="U54" s="40">
        <f>+'422 Maintenance'!U49</f>
        <v>0</v>
      </c>
      <c r="Z54" s="202"/>
    </row>
    <row r="55" spans="1:27" ht="13.8" thickBot="1" x14ac:dyDescent="0.3">
      <c r="A55" s="708"/>
      <c r="B55" s="12" t="s">
        <v>1042</v>
      </c>
      <c r="C55" s="15"/>
      <c r="D55" s="15"/>
      <c r="E55" s="15"/>
      <c r="F55" s="15"/>
      <c r="G55" s="15"/>
      <c r="H55" s="15"/>
      <c r="I55" s="15"/>
      <c r="J55" s="15"/>
      <c r="K55" s="41"/>
      <c r="L55" s="15">
        <f>+'192 Public Bldgs'!L20+'422 Maintenance'!L48+'652 Parks'!L15</f>
        <v>7263.85</v>
      </c>
      <c r="M55" s="41"/>
      <c r="N55" s="15">
        <f>+'192 Public Bldgs'!N20+'422 Maintenance'!N48+'652 Parks'!N15</f>
        <v>0</v>
      </c>
      <c r="O55" s="41"/>
      <c r="P55" s="15"/>
      <c r="Q55" s="41"/>
      <c r="R55" s="15"/>
      <c r="S55" s="41"/>
      <c r="T55" s="41"/>
      <c r="U55" s="41"/>
      <c r="Z55" s="202"/>
    </row>
    <row r="56" spans="1:27" x14ac:dyDescent="0.25">
      <c r="A56" s="708"/>
      <c r="B56" s="17" t="s">
        <v>728</v>
      </c>
      <c r="C56" s="28">
        <f t="shared" ref="C56:S56" si="6">SUM(C19:C55)</f>
        <v>285136.54000000004</v>
      </c>
      <c r="D56" s="28">
        <f t="shared" si="6"/>
        <v>332717.53999999998</v>
      </c>
      <c r="E56" s="28">
        <f t="shared" si="6"/>
        <v>399597.73000000004</v>
      </c>
      <c r="F56" s="28">
        <f t="shared" si="6"/>
        <v>382107.43999999994</v>
      </c>
      <c r="G56" s="28">
        <f t="shared" si="6"/>
        <v>316782.28999999998</v>
      </c>
      <c r="H56" s="28">
        <f t="shared" si="6"/>
        <v>356131.57000000007</v>
      </c>
      <c r="I56" s="28">
        <f t="shared" si="6"/>
        <v>427074.30000000005</v>
      </c>
      <c r="J56" s="28">
        <f t="shared" ref="J56" si="7">SUM(J19:J55)</f>
        <v>430017.62000000005</v>
      </c>
      <c r="K56" s="162">
        <f t="shared" ref="K56:O56" si="8">SUM(K19:K55)</f>
        <v>473825</v>
      </c>
      <c r="L56" s="28">
        <f t="shared" si="8"/>
        <v>407776.17</v>
      </c>
      <c r="M56" s="162">
        <f t="shared" ref="M56:N56" si="9">SUM(M19:M55)</f>
        <v>496075</v>
      </c>
      <c r="N56" s="28">
        <f t="shared" si="9"/>
        <v>432058.60000000003</v>
      </c>
      <c r="O56" s="162">
        <f t="shared" si="8"/>
        <v>533175</v>
      </c>
      <c r="P56" s="28">
        <f t="shared" ref="P56" si="10">SUM(P19:P55)</f>
        <v>541230.86</v>
      </c>
      <c r="Q56" s="162">
        <f t="shared" ref="Q56" si="11">SUM(Q19:Q55)</f>
        <v>572865</v>
      </c>
      <c r="R56" s="28">
        <f t="shared" si="6"/>
        <v>257705.81999999998</v>
      </c>
      <c r="S56" s="162">
        <f t="shared" si="6"/>
        <v>589415</v>
      </c>
      <c r="T56" s="162">
        <f>+S56</f>
        <v>589415</v>
      </c>
      <c r="U56" s="162">
        <f>+S56</f>
        <v>589415</v>
      </c>
      <c r="W56">
        <f>+S56-K56</f>
        <v>115590</v>
      </c>
      <c r="Z56" s="202"/>
    </row>
    <row r="57" spans="1:27" x14ac:dyDescent="0.25">
      <c r="A57" s="708"/>
      <c r="B57" s="17"/>
      <c r="C57" s="28"/>
      <c r="D57" s="28"/>
      <c r="E57" s="28"/>
      <c r="F57" s="13"/>
      <c r="G57" s="13"/>
      <c r="H57" s="13"/>
      <c r="I57" s="13"/>
      <c r="J57" s="13"/>
      <c r="K57" s="40"/>
      <c r="L57" s="13"/>
      <c r="M57" s="40"/>
      <c r="N57" s="13"/>
      <c r="O57" s="40"/>
      <c r="P57" s="13"/>
      <c r="Q57" s="40"/>
      <c r="R57" s="13"/>
      <c r="S57" s="40"/>
      <c r="T57" s="40"/>
      <c r="U57" s="40"/>
      <c r="Z57" s="202"/>
    </row>
    <row r="58" spans="1:27" ht="13.8" thickBot="1" x14ac:dyDescent="0.3">
      <c r="A58" s="708">
        <v>5800</v>
      </c>
      <c r="B58" s="12" t="s">
        <v>2070</v>
      </c>
      <c r="C58" s="28"/>
      <c r="D58" s="28"/>
      <c r="E58" s="28"/>
      <c r="F58" s="15"/>
      <c r="G58" s="15"/>
      <c r="H58" s="15"/>
      <c r="I58" s="15">
        <f>+'422 Maintenance'!I52</f>
        <v>21320.41</v>
      </c>
      <c r="J58" s="15">
        <f>+'422 Maintenance'!J52</f>
        <v>21320.41</v>
      </c>
      <c r="K58" s="41">
        <f>+'422 Maintenance'!K52</f>
        <v>24090</v>
      </c>
      <c r="L58" s="15">
        <f>+'422 Maintenance'!L52</f>
        <v>21320.41</v>
      </c>
      <c r="M58" s="41">
        <f>+'422 Maintenance'!M52</f>
        <v>21321</v>
      </c>
      <c r="N58" s="15">
        <f>+'422 Maintenance'!N52</f>
        <v>21320.41</v>
      </c>
      <c r="O58" s="41">
        <f>+'422 Maintenance'!O52+'192 Public Bldgs'!O24</f>
        <v>40000</v>
      </c>
      <c r="P58" s="15">
        <f>+'422 Maintenance'!P52+'192 Public Bldgs'!P24</f>
        <v>38715</v>
      </c>
      <c r="Q58" s="41">
        <f>+'422 Maintenance'!Q53</f>
        <v>0</v>
      </c>
      <c r="R58" s="41">
        <f>+'422 Maintenance'!R52</f>
        <v>0</v>
      </c>
      <c r="S58" s="41">
        <f>+'422 Maintenance'!S53</f>
        <v>0</v>
      </c>
      <c r="T58" s="41">
        <f>+S58</f>
        <v>0</v>
      </c>
      <c r="U58" s="41">
        <f>+'422 Maintenance'!U53</f>
        <v>0</v>
      </c>
      <c r="Z58" s="202"/>
    </row>
    <row r="59" spans="1:27" x14ac:dyDescent="0.25">
      <c r="A59" s="708"/>
      <c r="B59" s="17" t="s">
        <v>829</v>
      </c>
      <c r="C59" s="28"/>
      <c r="D59" s="28"/>
      <c r="E59" s="28"/>
      <c r="F59" s="18"/>
      <c r="G59" s="18"/>
      <c r="H59" s="18"/>
      <c r="I59" s="18">
        <f>+I58</f>
        <v>21320.41</v>
      </c>
      <c r="J59" s="18">
        <f>+J58</f>
        <v>21320.41</v>
      </c>
      <c r="K59" s="34">
        <f>+K58</f>
        <v>24090</v>
      </c>
      <c r="L59" s="18">
        <f t="shared" ref="L59:O59" si="12">+L58</f>
        <v>21320.41</v>
      </c>
      <c r="M59" s="34">
        <f>+M58</f>
        <v>21321</v>
      </c>
      <c r="N59" s="18">
        <f t="shared" ref="N59" si="13">+N58</f>
        <v>21320.41</v>
      </c>
      <c r="O59" s="34">
        <f t="shared" si="12"/>
        <v>40000</v>
      </c>
      <c r="P59" s="18">
        <f t="shared" ref="P59" si="14">+P58</f>
        <v>38715</v>
      </c>
      <c r="Q59" s="34">
        <f>+Q58</f>
        <v>0</v>
      </c>
      <c r="R59" s="18">
        <f>+R58</f>
        <v>0</v>
      </c>
      <c r="S59" s="34">
        <f>+S58</f>
        <v>0</v>
      </c>
      <c r="T59" s="34">
        <f>+T58</f>
        <v>0</v>
      </c>
      <c r="U59" s="34">
        <f>+S59</f>
        <v>0</v>
      </c>
      <c r="Z59" s="202"/>
    </row>
    <row r="60" spans="1:27" x14ac:dyDescent="0.25">
      <c r="A60" s="708"/>
      <c r="B60" s="12"/>
      <c r="C60" s="35"/>
      <c r="D60" s="35"/>
      <c r="E60" s="35"/>
      <c r="F60" s="35"/>
      <c r="G60" s="35"/>
      <c r="H60" s="35"/>
      <c r="I60" s="35"/>
      <c r="J60" s="35"/>
      <c r="K60" s="89"/>
      <c r="L60" s="35"/>
      <c r="M60" s="89"/>
      <c r="N60" s="35"/>
      <c r="O60" s="89"/>
      <c r="P60" s="35"/>
      <c r="Q60" s="89"/>
      <c r="R60" s="35"/>
      <c r="S60" s="89"/>
      <c r="T60" s="89"/>
      <c r="U60" s="89"/>
      <c r="Z60" s="202"/>
    </row>
    <row r="61" spans="1:27" ht="13.8" thickBot="1" x14ac:dyDescent="0.3">
      <c r="A61" s="709"/>
      <c r="B61" s="20" t="s">
        <v>887</v>
      </c>
      <c r="C61" s="21">
        <f t="shared" ref="C61:H61" si="15">+C56+C17</f>
        <v>961847.43</v>
      </c>
      <c r="D61" s="21">
        <f t="shared" si="15"/>
        <v>1059583.8599999999</v>
      </c>
      <c r="E61" s="21">
        <f t="shared" si="15"/>
        <v>1131643.6700000004</v>
      </c>
      <c r="F61" s="21">
        <f t="shared" si="15"/>
        <v>1126607.77</v>
      </c>
      <c r="G61" s="21">
        <f t="shared" si="15"/>
        <v>1120246.68</v>
      </c>
      <c r="H61" s="21">
        <f t="shared" si="15"/>
        <v>1203442.93</v>
      </c>
      <c r="I61" s="21">
        <f t="shared" ref="I61:U61" si="16">+I56+I17+I59</f>
        <v>1313961.4099999999</v>
      </c>
      <c r="J61" s="21">
        <f t="shared" si="16"/>
        <v>1376050.41</v>
      </c>
      <c r="K61" s="39">
        <f t="shared" si="16"/>
        <v>1465498</v>
      </c>
      <c r="L61" s="21">
        <f t="shared" ref="L61:O61" si="17">+L56+L17+L59</f>
        <v>1375179.96</v>
      </c>
      <c r="M61" s="39">
        <f t="shared" si="17"/>
        <v>1540146</v>
      </c>
      <c r="N61" s="21">
        <f t="shared" ref="N61" si="18">+N56+N17+N59</f>
        <v>1419474.49</v>
      </c>
      <c r="O61" s="39">
        <f t="shared" si="17"/>
        <v>1611829</v>
      </c>
      <c r="P61" s="21">
        <f t="shared" ref="P61" si="19">+P56+P17+P59</f>
        <v>1524996.32</v>
      </c>
      <c r="Q61" s="39">
        <f t="shared" ref="Q61" si="20">+Q56+Q17+Q59</f>
        <v>1747506</v>
      </c>
      <c r="R61" s="540">
        <f t="shared" si="16"/>
        <v>720706.77</v>
      </c>
      <c r="S61" s="39">
        <f t="shared" si="16"/>
        <v>1772005.5</v>
      </c>
      <c r="T61" s="39">
        <f t="shared" ref="T61" si="21">+T56+T17+T59</f>
        <v>1772005.5</v>
      </c>
      <c r="U61" s="39">
        <f t="shared" si="16"/>
        <v>1772005.5</v>
      </c>
      <c r="Z61" s="202"/>
    </row>
    <row r="62" spans="1:27" ht="16.2" thickTop="1" x14ac:dyDescent="0.3">
      <c r="A62" s="703"/>
      <c r="B62" s="4"/>
      <c r="C62" s="56"/>
      <c r="D62" s="23"/>
      <c r="E62" s="23"/>
      <c r="F62" s="23"/>
      <c r="G62" s="23"/>
      <c r="H62" s="23"/>
      <c r="I62" s="23"/>
      <c r="J62" s="23"/>
      <c r="K62" s="23"/>
      <c r="L62" s="23"/>
      <c r="M62" s="23"/>
      <c r="N62" s="23"/>
      <c r="O62" s="23"/>
      <c r="P62" s="23"/>
      <c r="Q62" s="23"/>
      <c r="R62" s="181" t="s">
        <v>732</v>
      </c>
      <c r="S62" s="1001">
        <f>+S61-Q61</f>
        <v>24499.5</v>
      </c>
      <c r="T62" s="1002">
        <f>ROUND((+S62/Q61),4)</f>
        <v>1.4E-2</v>
      </c>
      <c r="U62" s="301"/>
      <c r="V62" s="23"/>
      <c r="W62" s="25"/>
      <c r="X62" s="183"/>
      <c r="Y62" s="25"/>
      <c r="Z62" s="25"/>
      <c r="AA62" s="25"/>
    </row>
    <row r="63" spans="1:27" x14ac:dyDescent="0.25">
      <c r="A63" s="703"/>
      <c r="B63" s="4"/>
      <c r="C63" s="56"/>
      <c r="D63" s="23"/>
      <c r="E63" s="23"/>
      <c r="F63" s="23"/>
      <c r="G63" s="23"/>
      <c r="H63" s="23"/>
      <c r="I63" s="23"/>
      <c r="J63" s="23"/>
      <c r="K63" s="23"/>
      <c r="L63" s="23"/>
      <c r="M63" s="23"/>
      <c r="N63" s="23"/>
      <c r="O63" s="23"/>
      <c r="P63" s="23"/>
      <c r="Q63" s="23"/>
      <c r="R63" s="23"/>
      <c r="S63" s="259"/>
      <c r="T63" s="259"/>
      <c r="U63" s="548"/>
      <c r="V63" s="25"/>
      <c r="W63" s="25"/>
      <c r="X63" s="25"/>
      <c r="Y63" s="25"/>
      <c r="Z63" s="25"/>
      <c r="AA63" s="25"/>
    </row>
    <row r="64" spans="1:27" x14ac:dyDescent="0.25">
      <c r="A64" s="703"/>
      <c r="B64" s="4"/>
      <c r="C64" s="56"/>
      <c r="D64" s="23"/>
      <c r="E64" s="23"/>
      <c r="F64" s="23"/>
      <c r="G64" s="23"/>
      <c r="H64" s="23"/>
      <c r="I64" s="23"/>
      <c r="J64" s="23"/>
      <c r="K64" s="23"/>
      <c r="L64" s="23"/>
      <c r="M64" s="23"/>
      <c r="N64" s="23"/>
      <c r="O64" s="23"/>
      <c r="P64" s="23"/>
      <c r="Q64" s="23"/>
      <c r="R64" s="23"/>
      <c r="S64" s="23"/>
      <c r="T64" s="23"/>
      <c r="U64" s="23"/>
      <c r="V64" s="23"/>
      <c r="W64" s="25"/>
      <c r="X64" s="25"/>
      <c r="Y64" s="25"/>
      <c r="Z64" s="25"/>
      <c r="AA64" s="25"/>
    </row>
    <row r="65" spans="1:27" x14ac:dyDescent="0.25">
      <c r="A65" s="703"/>
      <c r="B65" s="4"/>
      <c r="C65" s="56"/>
      <c r="D65" s="23"/>
      <c r="E65" s="23"/>
      <c r="F65" s="23"/>
      <c r="G65" s="23"/>
      <c r="H65" s="23"/>
      <c r="I65" s="23"/>
      <c r="J65" s="23"/>
      <c r="K65" s="23"/>
      <c r="L65" s="23"/>
      <c r="M65" s="23"/>
      <c r="N65" s="23"/>
      <c r="O65" s="23"/>
      <c r="P65" s="23"/>
      <c r="Q65" s="23"/>
      <c r="R65" s="23"/>
      <c r="S65" s="23"/>
      <c r="T65" s="23"/>
      <c r="U65" s="23"/>
      <c r="V65" s="23"/>
      <c r="W65" s="25"/>
      <c r="X65" s="25"/>
      <c r="Y65" s="25"/>
      <c r="Z65" s="25"/>
      <c r="AA65" s="25"/>
    </row>
    <row r="66" spans="1:27" x14ac:dyDescent="0.25">
      <c r="A66" s="703"/>
      <c r="B66" s="4"/>
      <c r="C66" s="23"/>
      <c r="D66" s="23"/>
      <c r="E66" s="23"/>
      <c r="F66" s="23"/>
      <c r="G66" s="23"/>
      <c r="H66" s="23"/>
      <c r="I66" s="23"/>
      <c r="J66" s="23"/>
      <c r="K66" s="23"/>
      <c r="L66" s="23"/>
      <c r="M66" s="23"/>
      <c r="N66" s="23"/>
      <c r="O66" s="23"/>
      <c r="P66" s="23"/>
      <c r="Q66" s="23"/>
      <c r="R66" s="23"/>
      <c r="S66" s="23"/>
      <c r="T66" s="23"/>
      <c r="U66" s="23"/>
      <c r="V66" s="23"/>
      <c r="W66" s="25"/>
      <c r="X66" s="25"/>
      <c r="Y66" s="25"/>
      <c r="Z66" s="25"/>
      <c r="AA66" s="25"/>
    </row>
    <row r="67" spans="1:27" ht="13.8" thickBot="1" x14ac:dyDescent="0.3">
      <c r="A67" s="703" t="s">
        <v>793</v>
      </c>
      <c r="B67" s="4"/>
      <c r="C67" s="194"/>
      <c r="D67" s="1"/>
      <c r="E67" s="1"/>
      <c r="F67" s="1"/>
      <c r="G67" s="1"/>
      <c r="H67" s="1"/>
      <c r="I67" s="1"/>
      <c r="J67" s="1"/>
      <c r="K67" s="1"/>
      <c r="L67" s="1"/>
      <c r="M67" s="1"/>
      <c r="N67" s="1"/>
      <c r="O67" s="1"/>
      <c r="P67" s="1"/>
      <c r="Q67" s="1"/>
      <c r="R67"/>
      <c r="S67" t="s">
        <v>27</v>
      </c>
      <c r="T67" t="s">
        <v>770</v>
      </c>
      <c r="U67" s="202" t="s">
        <v>2117</v>
      </c>
      <c r="Z67" s="202"/>
    </row>
    <row r="68" spans="1:27" ht="13.8" thickTop="1" x14ac:dyDescent="0.25">
      <c r="A68" s="710" t="s">
        <v>760</v>
      </c>
      <c r="B68" s="1084" t="s">
        <v>2121</v>
      </c>
      <c r="D68" s="194"/>
      <c r="E68" s="194"/>
      <c r="F68" s="194"/>
      <c r="G68" s="194"/>
      <c r="H68" s="194"/>
      <c r="I68" s="194"/>
      <c r="J68" s="194"/>
      <c r="K68" s="194"/>
      <c r="L68" s="194"/>
      <c r="O68" s="251" t="s">
        <v>761</v>
      </c>
      <c r="P68" s="137" t="s">
        <v>762</v>
      </c>
      <c r="Q68" s="149" t="s">
        <v>1100</v>
      </c>
      <c r="R68" s="149" t="s">
        <v>763</v>
      </c>
      <c r="S68"/>
      <c r="T68" s="187"/>
      <c r="U68" s="25"/>
      <c r="Z68" s="202"/>
    </row>
    <row r="69" spans="1:27" ht="13.8" thickBot="1" x14ac:dyDescent="0.3">
      <c r="A69" s="711" t="s">
        <v>765</v>
      </c>
      <c r="B69" s="99" t="s">
        <v>766</v>
      </c>
      <c r="D69" s="194"/>
      <c r="E69" s="194"/>
      <c r="F69" s="194"/>
      <c r="G69" s="194"/>
      <c r="H69" s="194"/>
      <c r="I69" s="194"/>
      <c r="J69" s="194"/>
      <c r="K69" s="194"/>
      <c r="L69" s="194"/>
      <c r="O69" s="269">
        <v>45474</v>
      </c>
      <c r="P69" s="140" t="s">
        <v>767</v>
      </c>
      <c r="Q69" s="141" t="s">
        <v>831</v>
      </c>
      <c r="R69" s="141" t="s">
        <v>769</v>
      </c>
      <c r="S69"/>
      <c r="T69" s="202"/>
      <c r="U69" s="4"/>
      <c r="Z69" s="202"/>
    </row>
    <row r="70" spans="1:27" ht="13.8" thickTop="1" x14ac:dyDescent="0.25">
      <c r="A70" s="821">
        <v>38021</v>
      </c>
      <c r="B70" s="964" t="s">
        <v>1174</v>
      </c>
      <c r="D70" s="194"/>
      <c r="E70" s="194"/>
      <c r="F70" s="194"/>
      <c r="G70" s="194"/>
      <c r="H70" s="194"/>
      <c r="I70" s="194"/>
      <c r="J70" s="194"/>
      <c r="K70" s="194"/>
      <c r="L70" s="194"/>
      <c r="O70" s="97" t="s">
        <v>1175</v>
      </c>
      <c r="P70" s="148"/>
      <c r="Q70" s="23"/>
      <c r="R70" s="136">
        <f>+'NAGE &amp; Non-Union Wages'!L12</f>
        <v>105239</v>
      </c>
      <c r="S70" s="593">
        <v>1000</v>
      </c>
      <c r="T70" s="821">
        <v>38021</v>
      </c>
      <c r="U70" s="829">
        <v>21</v>
      </c>
      <c r="Z70" s="202"/>
    </row>
    <row r="71" spans="1:27" x14ac:dyDescent="0.25">
      <c r="A71" s="821">
        <v>44410</v>
      </c>
      <c r="B71" s="74" t="s">
        <v>1176</v>
      </c>
      <c r="D71" s="194"/>
      <c r="E71" s="194"/>
      <c r="F71" s="194"/>
      <c r="G71" s="194"/>
      <c r="H71" s="194"/>
      <c r="I71" s="194"/>
      <c r="J71" s="194"/>
      <c r="K71" s="194"/>
      <c r="L71" s="194"/>
      <c r="O71" s="97" t="s">
        <v>2126</v>
      </c>
      <c r="P71" s="148">
        <f>+'NAGE &amp; Non-Union Wages'!J8</f>
        <v>29.45</v>
      </c>
      <c r="Q71" s="25">
        <v>2090</v>
      </c>
      <c r="R71" s="136">
        <f t="shared" ref="R71:R91" si="22">ROUND((+P71*Q71),2)</f>
        <v>61550.5</v>
      </c>
      <c r="S71" s="851"/>
      <c r="T71" s="821">
        <v>44410</v>
      </c>
      <c r="U71" s="829">
        <v>3</v>
      </c>
      <c r="Z71" s="202"/>
    </row>
    <row r="72" spans="1:27" x14ac:dyDescent="0.25">
      <c r="A72" s="821">
        <v>43382</v>
      </c>
      <c r="B72" s="74" t="s">
        <v>1178</v>
      </c>
      <c r="D72" s="194"/>
      <c r="E72" s="194"/>
      <c r="F72" s="194"/>
      <c r="G72" s="194"/>
      <c r="H72" s="194"/>
      <c r="I72" s="194"/>
      <c r="J72" s="194"/>
      <c r="K72" s="194"/>
      <c r="L72" s="194"/>
      <c r="O72" s="97" t="s">
        <v>1288</v>
      </c>
      <c r="P72" s="148">
        <f>+'NAGE &amp; Non-Union Wages'!I19</f>
        <v>34.79</v>
      </c>
      <c r="Q72" s="25">
        <v>2090</v>
      </c>
      <c r="R72" s="136">
        <f t="shared" si="22"/>
        <v>72711.100000000006</v>
      </c>
      <c r="S72" s="851">
        <v>300</v>
      </c>
      <c r="T72" s="821">
        <v>43382</v>
      </c>
      <c r="U72" s="829">
        <v>6</v>
      </c>
      <c r="Z72" s="202"/>
    </row>
    <row r="73" spans="1:27" x14ac:dyDescent="0.25">
      <c r="A73" s="821">
        <v>44360</v>
      </c>
      <c r="B73" s="74" t="s">
        <v>1179</v>
      </c>
      <c r="D73" s="194"/>
      <c r="E73" s="194"/>
      <c r="F73" s="194"/>
      <c r="G73" s="194"/>
      <c r="H73" s="194"/>
      <c r="I73" s="194"/>
      <c r="J73" s="194"/>
      <c r="K73" s="194"/>
      <c r="L73" s="194"/>
      <c r="O73" s="97" t="s">
        <v>1177</v>
      </c>
      <c r="P73" s="148">
        <f>+'NAGE &amp; Non-Union Wages'!I8</f>
        <v>28.86</v>
      </c>
      <c r="Q73" s="25">
        <v>2090</v>
      </c>
      <c r="R73" s="136">
        <f t="shared" si="22"/>
        <v>60317.4</v>
      </c>
      <c r="S73" s="851"/>
      <c r="T73" s="821">
        <v>44360</v>
      </c>
      <c r="U73" s="829">
        <v>3</v>
      </c>
      <c r="Z73" s="202"/>
    </row>
    <row r="74" spans="1:27" x14ac:dyDescent="0.25">
      <c r="A74" s="821">
        <v>42569</v>
      </c>
      <c r="B74" s="4" t="s">
        <v>1180</v>
      </c>
      <c r="D74" s="194"/>
      <c r="E74" s="194"/>
      <c r="F74" s="194"/>
      <c r="G74" s="194"/>
      <c r="H74" s="194"/>
      <c r="I74" s="194"/>
      <c r="J74" s="194"/>
      <c r="K74" s="194"/>
      <c r="L74" s="194"/>
      <c r="O74" s="25" t="s">
        <v>939</v>
      </c>
      <c r="P74" s="148">
        <f>+'UE Wages'!H9</f>
        <v>26.35</v>
      </c>
      <c r="Q74" s="25">
        <v>2090</v>
      </c>
      <c r="R74" s="136">
        <f t="shared" si="22"/>
        <v>55071.5</v>
      </c>
      <c r="S74" s="593">
        <v>300</v>
      </c>
      <c r="T74" s="821">
        <v>42569</v>
      </c>
      <c r="U74" s="829">
        <v>8</v>
      </c>
      <c r="Z74" s="202"/>
    </row>
    <row r="75" spans="1:27" x14ac:dyDescent="0.25">
      <c r="A75" s="821">
        <v>40574</v>
      </c>
      <c r="B75" s="481" t="s">
        <v>1182</v>
      </c>
      <c r="D75" s="194"/>
      <c r="E75" s="194"/>
      <c r="F75" s="194"/>
      <c r="G75" s="194"/>
      <c r="H75" s="194"/>
      <c r="I75" s="194"/>
      <c r="J75" s="194"/>
      <c r="K75" s="194"/>
      <c r="L75" s="194"/>
      <c r="O75" s="25" t="s">
        <v>1183</v>
      </c>
      <c r="P75" s="148">
        <f>+'UE Wages'!L8</f>
        <v>26.16</v>
      </c>
      <c r="Q75" s="25">
        <v>2090</v>
      </c>
      <c r="R75" s="136">
        <f t="shared" si="22"/>
        <v>54674.400000000001</v>
      </c>
      <c r="S75" s="593">
        <v>500</v>
      </c>
      <c r="T75" s="821">
        <v>40574</v>
      </c>
      <c r="U75" s="829">
        <v>14</v>
      </c>
      <c r="Z75" s="202"/>
    </row>
    <row r="76" spans="1:27" x14ac:dyDescent="0.25">
      <c r="A76" s="821">
        <v>44886</v>
      </c>
      <c r="B76" s="481" t="s">
        <v>1923</v>
      </c>
      <c r="D76" s="194"/>
      <c r="E76" s="194"/>
      <c r="F76" s="194"/>
      <c r="G76" s="194"/>
      <c r="H76" s="194"/>
      <c r="I76" s="194"/>
      <c r="J76" s="194"/>
      <c r="K76" s="194"/>
      <c r="L76" s="194"/>
      <c r="O76" s="97" t="s">
        <v>1191</v>
      </c>
      <c r="P76" s="23">
        <f>+'UE Wages'!F8</f>
        <v>22.99</v>
      </c>
      <c r="Q76" s="25">
        <v>2090</v>
      </c>
      <c r="R76" s="136">
        <f t="shared" si="22"/>
        <v>48049.1</v>
      </c>
      <c r="S76" s="851"/>
      <c r="T76" s="821">
        <v>44886</v>
      </c>
      <c r="U76" s="829">
        <v>1</v>
      </c>
      <c r="Z76" s="202"/>
    </row>
    <row r="77" spans="1:27" x14ac:dyDescent="0.25">
      <c r="A77" s="821"/>
      <c r="B77" s="481" t="s">
        <v>2125</v>
      </c>
      <c r="D77" s="194"/>
      <c r="E77" s="194"/>
      <c r="F77" s="194"/>
      <c r="G77" s="194"/>
      <c r="H77" s="194"/>
      <c r="I77" s="194"/>
      <c r="J77" s="194"/>
      <c r="K77" s="194"/>
      <c r="L77" s="194"/>
      <c r="O77" s="25" t="s">
        <v>1184</v>
      </c>
      <c r="P77" s="148">
        <f>+'UE Wages'!L6</f>
        <v>20.62</v>
      </c>
      <c r="Q77" s="25">
        <v>2090</v>
      </c>
      <c r="R77" s="136">
        <f t="shared" si="22"/>
        <v>43095.8</v>
      </c>
      <c r="S77" s="851"/>
      <c r="T77" s="821"/>
      <c r="U77" s="829"/>
      <c r="Z77" s="202"/>
    </row>
    <row r="78" spans="1:27" x14ac:dyDescent="0.25">
      <c r="A78" s="821">
        <v>44753</v>
      </c>
      <c r="B78" s="482" t="s">
        <v>2124</v>
      </c>
      <c r="D78" s="194"/>
      <c r="E78" s="194"/>
      <c r="F78" s="194"/>
      <c r="G78" s="194"/>
      <c r="H78" s="194"/>
      <c r="I78" s="194"/>
      <c r="J78" s="194"/>
      <c r="K78" s="194"/>
      <c r="L78" s="194"/>
      <c r="O78" s="25" t="s">
        <v>1924</v>
      </c>
      <c r="P78" s="148">
        <f>+'UE Wages'!E8</f>
        <v>22.45</v>
      </c>
      <c r="Q78" s="25">
        <v>2090</v>
      </c>
      <c r="R78" s="136">
        <f t="shared" si="22"/>
        <v>46920.5</v>
      </c>
      <c r="S78" s="851"/>
      <c r="T78" s="821">
        <v>44753</v>
      </c>
      <c r="U78" s="829">
        <v>3</v>
      </c>
      <c r="Z78" s="202"/>
    </row>
    <row r="79" spans="1:27" x14ac:dyDescent="0.25">
      <c r="A79" s="821">
        <v>44459</v>
      </c>
      <c r="B79" s="482" t="s">
        <v>1185</v>
      </c>
      <c r="C79" s="265"/>
      <c r="D79" s="327"/>
      <c r="E79" s="327"/>
      <c r="F79" s="194"/>
      <c r="G79" s="194"/>
      <c r="H79" s="194"/>
      <c r="I79" s="194"/>
      <c r="J79" s="194"/>
      <c r="K79" s="194"/>
      <c r="L79" s="194"/>
      <c r="O79" s="97" t="s">
        <v>1924</v>
      </c>
      <c r="P79" s="148">
        <f>+'UE Wages'!E8</f>
        <v>22.45</v>
      </c>
      <c r="Q79" s="25">
        <v>2090</v>
      </c>
      <c r="R79" s="136">
        <f t="shared" si="22"/>
        <v>46920.5</v>
      </c>
      <c r="S79" s="593"/>
      <c r="T79" s="821">
        <v>44459</v>
      </c>
      <c r="U79" s="829">
        <v>3</v>
      </c>
      <c r="Z79" s="202"/>
    </row>
    <row r="80" spans="1:27" x14ac:dyDescent="0.25">
      <c r="A80" s="821">
        <v>41645</v>
      </c>
      <c r="B80" s="482" t="s">
        <v>1990</v>
      </c>
      <c r="C80" s="265"/>
      <c r="D80" s="327"/>
      <c r="E80" s="327"/>
      <c r="F80" s="194"/>
      <c r="G80" s="194"/>
      <c r="H80" s="194"/>
      <c r="I80" s="194"/>
      <c r="J80" s="194"/>
      <c r="K80" s="194"/>
      <c r="L80" s="194"/>
      <c r="O80" s="25" t="s">
        <v>2113</v>
      </c>
      <c r="P80" s="148">
        <f>+'UE Wages'!K9</f>
        <v>27.95</v>
      </c>
      <c r="Q80" s="25">
        <v>2090</v>
      </c>
      <c r="R80" s="136">
        <f t="shared" si="22"/>
        <v>58415.5</v>
      </c>
      <c r="S80" s="593">
        <v>500</v>
      </c>
      <c r="T80" s="821">
        <v>41645</v>
      </c>
      <c r="U80" s="829">
        <v>11</v>
      </c>
      <c r="Z80" s="202"/>
    </row>
    <row r="81" spans="1:28" x14ac:dyDescent="0.25">
      <c r="A81" s="821">
        <v>42711</v>
      </c>
      <c r="B81" s="480" t="s">
        <v>1187</v>
      </c>
      <c r="C81" s="265"/>
      <c r="D81" s="327"/>
      <c r="E81" s="327"/>
      <c r="F81" s="194"/>
      <c r="G81" s="194"/>
      <c r="H81" s="194"/>
      <c r="I81" s="194"/>
      <c r="J81" s="194"/>
      <c r="K81" s="194"/>
      <c r="L81" s="194"/>
      <c r="O81" s="97" t="s">
        <v>1319</v>
      </c>
      <c r="P81" s="97">
        <f>+'UE Wages'!F6</f>
        <v>18.11</v>
      </c>
      <c r="Q81" s="181">
        <v>780</v>
      </c>
      <c r="R81" s="136">
        <f t="shared" si="22"/>
        <v>14125.8</v>
      </c>
      <c r="S81" s="593">
        <v>300</v>
      </c>
      <c r="T81" s="821">
        <v>42711</v>
      </c>
      <c r="U81" s="830">
        <v>8</v>
      </c>
      <c r="Z81" s="202"/>
    </row>
    <row r="82" spans="1:28" x14ac:dyDescent="0.25">
      <c r="A82" s="821">
        <v>42688</v>
      </c>
      <c r="B82" s="4" t="s">
        <v>2122</v>
      </c>
      <c r="C82" s="4"/>
      <c r="D82" s="4"/>
      <c r="E82" s="4"/>
      <c r="F82" s="4"/>
      <c r="G82" s="4"/>
      <c r="H82" s="4"/>
      <c r="I82" s="4"/>
      <c r="J82" s="4"/>
      <c r="K82" s="4"/>
      <c r="L82" s="4"/>
      <c r="O82" s="4" t="s">
        <v>1988</v>
      </c>
      <c r="P82" s="148">
        <f>+'UE Wages'!G10</f>
        <v>27.74</v>
      </c>
      <c r="Q82" s="25">
        <v>2090</v>
      </c>
      <c r="R82" s="136">
        <f t="shared" si="22"/>
        <v>57976.6</v>
      </c>
      <c r="S82" s="597">
        <v>300</v>
      </c>
      <c r="T82" s="821">
        <v>42688</v>
      </c>
      <c r="U82" s="831">
        <v>8</v>
      </c>
      <c r="Z82" s="202"/>
    </row>
    <row r="83" spans="1:28" x14ac:dyDescent="0.25">
      <c r="A83" s="821"/>
      <c r="B83" s="1049" t="s">
        <v>2523</v>
      </c>
      <c r="C83" s="1049"/>
      <c r="D83" s="1049"/>
      <c r="E83" s="1049"/>
      <c r="F83" s="1049"/>
      <c r="G83" s="1049"/>
      <c r="H83" s="1049"/>
      <c r="I83" s="1049"/>
      <c r="J83" s="1049"/>
      <c r="K83" s="1049"/>
      <c r="L83" s="1049"/>
      <c r="M83" s="1319"/>
      <c r="N83" s="1319"/>
      <c r="O83" s="1049" t="s">
        <v>775</v>
      </c>
      <c r="P83" s="1320">
        <f>+'UE Wages'!D7</f>
        <v>20.34</v>
      </c>
      <c r="Q83" s="1321"/>
      <c r="R83" s="1322">
        <f t="shared" ref="R83" si="23">ROUND((+P83*Q83),2)</f>
        <v>0</v>
      </c>
      <c r="S83" s="597"/>
      <c r="T83" s="821"/>
      <c r="U83" s="831"/>
      <c r="Z83" s="202"/>
    </row>
    <row r="84" spans="1:28" x14ac:dyDescent="0.25">
      <c r="A84" s="821">
        <v>42821</v>
      </c>
      <c r="B84" s="4" t="s">
        <v>1188</v>
      </c>
      <c r="C84" s="265"/>
      <c r="D84" s="327"/>
      <c r="E84" s="327"/>
      <c r="F84" s="194"/>
      <c r="G84" s="194"/>
      <c r="H84" s="194"/>
      <c r="I84" s="194"/>
      <c r="J84" s="194"/>
      <c r="K84" s="194"/>
      <c r="L84" s="194"/>
      <c r="O84" s="25" t="s">
        <v>1190</v>
      </c>
      <c r="P84" s="148">
        <f>+'UE Wages'!G9</f>
        <v>25.71</v>
      </c>
      <c r="Q84" s="25">
        <v>2090</v>
      </c>
      <c r="R84" s="136">
        <f t="shared" si="22"/>
        <v>53733.9</v>
      </c>
      <c r="S84" s="597">
        <v>300</v>
      </c>
      <c r="T84" s="821">
        <v>42821</v>
      </c>
      <c r="U84" s="831">
        <v>7</v>
      </c>
      <c r="Z84" s="202"/>
    </row>
    <row r="85" spans="1:28" x14ac:dyDescent="0.25">
      <c r="A85" s="997">
        <v>42457</v>
      </c>
      <c r="B85" s="4" t="s">
        <v>1189</v>
      </c>
      <c r="C85" s="265"/>
      <c r="D85" s="327"/>
      <c r="E85" s="327"/>
      <c r="F85" s="194"/>
      <c r="G85" s="194"/>
      <c r="H85" s="194"/>
      <c r="I85" s="194"/>
      <c r="J85" s="194"/>
      <c r="K85" s="194"/>
      <c r="L85" s="194"/>
      <c r="O85" s="25" t="s">
        <v>939</v>
      </c>
      <c r="P85" s="148">
        <f>+'UE Wages'!H9</f>
        <v>26.35</v>
      </c>
      <c r="Q85" s="25">
        <v>2090</v>
      </c>
      <c r="R85" s="136">
        <f t="shared" si="22"/>
        <v>55071.5</v>
      </c>
      <c r="S85" s="851">
        <v>300</v>
      </c>
      <c r="T85" s="997">
        <v>42457</v>
      </c>
      <c r="U85" s="830">
        <v>8</v>
      </c>
      <c r="Z85" s="202"/>
    </row>
    <row r="86" spans="1:28" x14ac:dyDescent="0.25">
      <c r="A86" s="997"/>
      <c r="B86" s="4" t="s">
        <v>2403</v>
      </c>
      <c r="C86" s="265"/>
      <c r="D86" s="327"/>
      <c r="E86" s="327"/>
      <c r="F86" s="194"/>
      <c r="G86" s="194"/>
      <c r="H86" s="194"/>
      <c r="I86" s="194"/>
      <c r="J86" s="194"/>
      <c r="K86" s="194"/>
      <c r="L86" s="194"/>
      <c r="O86" s="25" t="s">
        <v>2113</v>
      </c>
      <c r="P86" s="148">
        <f>+'UE Wages'!K9</f>
        <v>27.95</v>
      </c>
      <c r="Q86" s="25">
        <v>2090</v>
      </c>
      <c r="R86" s="136">
        <f t="shared" si="22"/>
        <v>58415.5</v>
      </c>
      <c r="S86" s="851"/>
      <c r="T86" s="997"/>
      <c r="U86" s="830"/>
      <c r="V86" s="194" t="s">
        <v>2491</v>
      </c>
      <c r="Z86" s="202"/>
    </row>
    <row r="87" spans="1:28" x14ac:dyDescent="0.25">
      <c r="A87" s="821"/>
      <c r="B87" s="4" t="s">
        <v>2127</v>
      </c>
      <c r="C87" s="265"/>
      <c r="D87" s="327"/>
      <c r="E87" s="327"/>
      <c r="F87" s="194"/>
      <c r="G87" s="194"/>
      <c r="H87" s="194"/>
      <c r="I87" s="194"/>
      <c r="J87" s="194"/>
      <c r="K87" s="194"/>
      <c r="L87" s="194"/>
      <c r="O87" s="25" t="s">
        <v>2404</v>
      </c>
      <c r="P87" s="148">
        <f>+'UE Wages'!C8</f>
        <v>21.36</v>
      </c>
      <c r="Q87" s="25">
        <v>2090</v>
      </c>
      <c r="R87" s="136">
        <f t="shared" si="22"/>
        <v>44642.400000000001</v>
      </c>
      <c r="S87" s="593"/>
      <c r="T87" s="821"/>
      <c r="U87" s="829"/>
      <c r="Z87" s="202"/>
    </row>
    <row r="88" spans="1:28" x14ac:dyDescent="0.25">
      <c r="A88" s="821">
        <v>45112</v>
      </c>
      <c r="B88" s="4" t="s">
        <v>2123</v>
      </c>
      <c r="C88" s="265"/>
      <c r="D88" s="327"/>
      <c r="E88" s="327"/>
      <c r="F88" s="327"/>
      <c r="G88" s="327"/>
      <c r="H88" s="327"/>
      <c r="I88" s="327"/>
      <c r="J88" s="327"/>
      <c r="K88" s="327"/>
      <c r="L88" s="327"/>
      <c r="O88" s="25" t="s">
        <v>1186</v>
      </c>
      <c r="P88" s="148">
        <f>+'UE Wages'!D8</f>
        <v>21.89</v>
      </c>
      <c r="Q88" s="25">
        <v>2090</v>
      </c>
      <c r="R88" s="136">
        <f t="shared" si="22"/>
        <v>45750.1</v>
      </c>
      <c r="S88" s="851"/>
      <c r="T88" s="821">
        <v>45112</v>
      </c>
      <c r="U88" s="829">
        <v>1</v>
      </c>
      <c r="Z88" s="202"/>
    </row>
    <row r="89" spans="1:28" x14ac:dyDescent="0.25">
      <c r="A89" s="821"/>
      <c r="B89" s="4" t="s">
        <v>1192</v>
      </c>
      <c r="D89" s="194"/>
      <c r="E89" s="194"/>
      <c r="F89" s="194"/>
      <c r="G89" s="194"/>
      <c r="H89" s="194"/>
      <c r="I89" s="194"/>
      <c r="J89" s="194"/>
      <c r="K89" s="194"/>
      <c r="L89" s="194"/>
      <c r="O89" s="25" t="s">
        <v>2404</v>
      </c>
      <c r="P89" s="148">
        <f>+'UE Wages'!C8</f>
        <v>21.36</v>
      </c>
      <c r="Q89" s="25">
        <v>2090</v>
      </c>
      <c r="R89" s="136">
        <f t="shared" si="22"/>
        <v>44642.400000000001</v>
      </c>
      <c r="S89" s="593"/>
      <c r="T89" s="821"/>
      <c r="U89" s="829"/>
      <c r="Z89" s="202"/>
    </row>
    <row r="90" spans="1:28" x14ac:dyDescent="0.25">
      <c r="A90" s="821">
        <v>39203</v>
      </c>
      <c r="B90" s="4" t="s">
        <v>1193</v>
      </c>
      <c r="D90" s="194"/>
      <c r="E90" s="194"/>
      <c r="F90" s="194"/>
      <c r="G90" s="194"/>
      <c r="H90" s="194"/>
      <c r="I90" s="194"/>
      <c r="J90" s="194"/>
      <c r="K90" s="194"/>
      <c r="L90" s="194"/>
      <c r="O90" s="25" t="s">
        <v>1183</v>
      </c>
      <c r="P90" s="148">
        <f>+'UE Wages'!L8</f>
        <v>26.16</v>
      </c>
      <c r="Q90" s="25">
        <v>2090</v>
      </c>
      <c r="R90" s="136">
        <f t="shared" si="22"/>
        <v>54674.400000000001</v>
      </c>
      <c r="S90" s="593">
        <v>900</v>
      </c>
      <c r="T90" s="821">
        <v>39203</v>
      </c>
      <c r="U90" s="829">
        <v>17</v>
      </c>
      <c r="Z90" s="202"/>
    </row>
    <row r="91" spans="1:28" s="4" customFormat="1" x14ac:dyDescent="0.25">
      <c r="A91" s="821"/>
      <c r="B91" s="4" t="s">
        <v>1192</v>
      </c>
      <c r="O91" s="25" t="s">
        <v>2404</v>
      </c>
      <c r="P91" s="148">
        <f>+'UE Wages'!C8</f>
        <v>21.36</v>
      </c>
      <c r="Q91" s="25">
        <v>2090</v>
      </c>
      <c r="R91" s="136">
        <f t="shared" si="22"/>
        <v>44642.400000000001</v>
      </c>
      <c r="S91" s="597"/>
      <c r="T91" s="821">
        <v>44263</v>
      </c>
      <c r="U91" s="831">
        <v>3</v>
      </c>
      <c r="AB91" s="25"/>
    </row>
    <row r="92" spans="1:28" s="4" customFormat="1" x14ac:dyDescent="0.25">
      <c r="AB92" s="25"/>
    </row>
    <row r="93" spans="1:28" s="4" customFormat="1" x14ac:dyDescent="0.25">
      <c r="A93" s="821"/>
      <c r="B93" s="4" t="s">
        <v>1925</v>
      </c>
      <c r="P93" s="148"/>
      <c r="Q93" s="25"/>
      <c r="R93" s="136">
        <v>7200</v>
      </c>
      <c r="S93" s="597"/>
      <c r="T93" s="821"/>
      <c r="U93" s="831"/>
      <c r="AB93" s="25"/>
    </row>
    <row r="94" spans="1:28" s="4" customFormat="1" x14ac:dyDescent="0.25">
      <c r="A94" s="703"/>
      <c r="B94" s="4" t="s">
        <v>1925</v>
      </c>
      <c r="P94" s="148"/>
      <c r="Q94" s="25"/>
      <c r="R94" s="136">
        <v>7200</v>
      </c>
      <c r="S94" s="597"/>
      <c r="T94" s="54"/>
      <c r="U94" s="831"/>
      <c r="AB94" s="25"/>
    </row>
    <row r="95" spans="1:28" s="4" customFormat="1" x14ac:dyDescent="0.25">
      <c r="A95" s="703"/>
      <c r="B95" s="4" t="s">
        <v>1925</v>
      </c>
      <c r="P95" s="148"/>
      <c r="Q95" s="25"/>
      <c r="R95" s="136">
        <v>7200</v>
      </c>
      <c r="S95" s="597"/>
      <c r="T95" s="54"/>
      <c r="U95" s="323"/>
      <c r="AB95" s="25"/>
    </row>
    <row r="96" spans="1:28" s="4" customFormat="1" x14ac:dyDescent="0.25">
      <c r="A96" s="703"/>
      <c r="C96" s="23"/>
      <c r="D96" s="23"/>
      <c r="F96" s="23"/>
      <c r="O96" s="23"/>
      <c r="P96" s="23"/>
      <c r="Q96" s="23"/>
      <c r="R96" s="23"/>
      <c r="S96" s="597">
        <f>SUM(S70:S91)</f>
        <v>4700</v>
      </c>
      <c r="T96" s="23"/>
      <c r="U96" s="23"/>
      <c r="AB96" s="25"/>
    </row>
    <row r="97" spans="1:28" s="4" customFormat="1" x14ac:dyDescent="0.25">
      <c r="A97" s="703"/>
      <c r="B97" s="74"/>
      <c r="C97" s="97"/>
      <c r="D97" s="97"/>
      <c r="E97" s="97"/>
      <c r="F97" s="23"/>
      <c r="K97" s="23"/>
      <c r="L97" s="23"/>
      <c r="O97" s="23"/>
      <c r="P97" s="23"/>
      <c r="Q97" s="23" t="s">
        <v>190</v>
      </c>
      <c r="R97" s="23">
        <f>SUM(R70:R96)</f>
        <v>1148240.3</v>
      </c>
      <c r="T97" s="23"/>
      <c r="U97" s="23"/>
      <c r="AB97" s="25"/>
    </row>
    <row r="98" spans="1:28" s="4" customFormat="1" x14ac:dyDescent="0.25">
      <c r="A98" s="703"/>
      <c r="B98" s="74"/>
      <c r="C98" s="97"/>
      <c r="D98" s="97"/>
      <c r="E98" s="97"/>
      <c r="F98" s="23"/>
      <c r="K98" s="23"/>
      <c r="L98" s="23"/>
      <c r="O98" s="23"/>
      <c r="P98" s="23"/>
      <c r="Q98" s="23" t="s">
        <v>1926</v>
      </c>
      <c r="R98" s="23">
        <f>-R95-R94-R93</f>
        <v>-21600</v>
      </c>
      <c r="T98" s="23"/>
      <c r="U98" s="23"/>
      <c r="AB98" s="25"/>
    </row>
    <row r="99" spans="1:28" s="4" customFormat="1" x14ac:dyDescent="0.25">
      <c r="A99" s="1011">
        <v>44950</v>
      </c>
      <c r="B99" s="4" t="s">
        <v>1986</v>
      </c>
      <c r="C99" s="23"/>
      <c r="D99" s="148"/>
      <c r="E99" s="148"/>
      <c r="F99" s="25"/>
      <c r="K99" s="25"/>
      <c r="L99" s="25"/>
      <c r="O99" s="25"/>
      <c r="P99" s="25"/>
      <c r="Q99" s="691">
        <v>433</v>
      </c>
      <c r="R99" s="136">
        <f>-'433 Solid Waste'!S10</f>
        <v>-14126</v>
      </c>
      <c r="AB99" s="25"/>
    </row>
    <row r="100" spans="1:28" s="4" customFormat="1" x14ac:dyDescent="0.25">
      <c r="A100" s="63">
        <v>44950</v>
      </c>
      <c r="B100" s="4" t="s">
        <v>1989</v>
      </c>
      <c r="C100" s="23"/>
      <c r="D100" s="148"/>
      <c r="E100" s="148"/>
      <c r="F100" s="25"/>
      <c r="H100" s="25"/>
      <c r="K100" s="25"/>
      <c r="L100" s="25"/>
      <c r="O100" s="25"/>
      <c r="P100" s="25"/>
      <c r="Q100" s="691">
        <v>420</v>
      </c>
      <c r="R100" s="136">
        <f>SUM(R97:R99)</f>
        <v>1112514.3</v>
      </c>
      <c r="T100" s="300">
        <f>SUM(T70:T99)</f>
        <v>728314</v>
      </c>
      <c r="AB100" s="25"/>
    </row>
    <row r="101" spans="1:28" s="4" customFormat="1" x14ac:dyDescent="0.25">
      <c r="A101" s="63">
        <v>44985</v>
      </c>
      <c r="B101" s="4" t="s">
        <v>2007</v>
      </c>
      <c r="C101" s="23"/>
      <c r="D101" s="148"/>
      <c r="E101" s="148"/>
      <c r="F101" s="25"/>
      <c r="H101" s="25"/>
      <c r="K101" s="25"/>
      <c r="L101" s="25"/>
      <c r="O101" s="25"/>
      <c r="P101" s="25"/>
      <c r="Q101" s="691"/>
      <c r="R101" s="148"/>
      <c r="T101" s="300"/>
      <c r="AB101" s="25"/>
    </row>
    <row r="102" spans="1:28" s="4" customFormat="1" x14ac:dyDescent="0.25">
      <c r="A102" s="703"/>
      <c r="B102" s="4" t="s">
        <v>1194</v>
      </c>
      <c r="C102" s="23"/>
      <c r="I102" s="23"/>
      <c r="J102" s="23"/>
      <c r="K102" s="23"/>
      <c r="L102" s="23"/>
      <c r="M102" s="23"/>
      <c r="N102" s="23"/>
      <c r="O102" s="23"/>
      <c r="P102" s="23"/>
      <c r="Q102" s="23"/>
      <c r="R102" s="25"/>
      <c r="AB102" s="25"/>
    </row>
    <row r="103" spans="1:28" s="4" customFormat="1" x14ac:dyDescent="0.25">
      <c r="A103" s="703"/>
      <c r="C103" s="23"/>
      <c r="D103" s="25"/>
      <c r="E103" s="25"/>
      <c r="F103" s="25"/>
      <c r="G103" s="25"/>
      <c r="H103" s="25"/>
      <c r="I103" s="23"/>
      <c r="J103" s="23"/>
      <c r="K103" s="23"/>
      <c r="L103" s="23"/>
      <c r="M103" s="23"/>
      <c r="N103" s="23"/>
      <c r="O103" s="23"/>
      <c r="P103" s="23"/>
      <c r="Q103" s="23"/>
      <c r="R103" s="25"/>
      <c r="U103" s="25"/>
      <c r="V103" s="25"/>
      <c r="AA103" s="25">
        <f>ROUND((SUM(AA70:AA102)),0)</f>
        <v>0</v>
      </c>
      <c r="AB103" s="25"/>
    </row>
    <row r="104" spans="1:28" x14ac:dyDescent="0.25">
      <c r="A104" s="703" t="s">
        <v>1195</v>
      </c>
      <c r="B104" s="4"/>
    </row>
    <row r="105" spans="1:28" x14ac:dyDescent="0.25">
      <c r="A105" s="703" t="s">
        <v>1196</v>
      </c>
      <c r="B105" s="4"/>
    </row>
    <row r="106" spans="1:28" x14ac:dyDescent="0.25">
      <c r="A106" s="703" t="s">
        <v>1197</v>
      </c>
      <c r="B106" s="4"/>
    </row>
    <row r="107" spans="1:28" x14ac:dyDescent="0.25">
      <c r="A107" s="703" t="s">
        <v>1198</v>
      </c>
      <c r="B107" s="4"/>
    </row>
    <row r="108" spans="1:28" x14ac:dyDescent="0.25">
      <c r="A108" s="713" t="s">
        <v>1199</v>
      </c>
      <c r="B108" s="4"/>
    </row>
    <row r="109" spans="1:28" x14ac:dyDescent="0.25">
      <c r="A109" s="703" t="s">
        <v>1067</v>
      </c>
      <c r="B109" s="4"/>
    </row>
    <row r="110" spans="1:28" x14ac:dyDescent="0.25">
      <c r="A110" s="703" t="s">
        <v>1200</v>
      </c>
      <c r="B110" s="4"/>
    </row>
    <row r="111" spans="1:28" x14ac:dyDescent="0.25">
      <c r="A111" s="703" t="s">
        <v>1201</v>
      </c>
      <c r="B111" s="4"/>
    </row>
    <row r="112" spans="1:28" x14ac:dyDescent="0.25">
      <c r="A112" s="703"/>
      <c r="B112" s="4"/>
    </row>
    <row r="113" spans="1:2" x14ac:dyDescent="0.25">
      <c r="A113" s="703"/>
      <c r="B113" s="4"/>
    </row>
    <row r="114" spans="1:2" x14ac:dyDescent="0.25">
      <c r="A114" s="703"/>
      <c r="B114" s="4"/>
    </row>
    <row r="115" spans="1:2" x14ac:dyDescent="0.25">
      <c r="A115" s="703"/>
      <c r="B115" s="4"/>
    </row>
    <row r="116" spans="1:2" x14ac:dyDescent="0.25">
      <c r="A116" s="703"/>
      <c r="B116" s="4"/>
    </row>
    <row r="117" spans="1:2" x14ac:dyDescent="0.25">
      <c r="A117" s="703"/>
      <c r="B117" s="4"/>
    </row>
    <row r="118" spans="1:2" x14ac:dyDescent="0.25">
      <c r="A118" s="703"/>
      <c r="B118" s="4"/>
    </row>
    <row r="119" spans="1:2" x14ac:dyDescent="0.25">
      <c r="A119" s="703"/>
      <c r="B119" s="4"/>
    </row>
    <row r="120" spans="1:2" ht="13.8" x14ac:dyDescent="0.25">
      <c r="A120" s="714"/>
      <c r="B120" s="203"/>
    </row>
    <row r="121" spans="1:2" ht="13.8" x14ac:dyDescent="0.25">
      <c r="A121" s="714"/>
      <c r="B121" s="203"/>
    </row>
    <row r="122" spans="1:2" ht="13.8" x14ac:dyDescent="0.25">
      <c r="A122" s="714"/>
      <c r="B122" s="203"/>
    </row>
    <row r="123" spans="1:2" ht="13.8" x14ac:dyDescent="0.25">
      <c r="A123" s="714"/>
      <c r="B123" s="203"/>
    </row>
    <row r="124" spans="1:2" ht="13.8" x14ac:dyDescent="0.25">
      <c r="A124" s="714"/>
      <c r="B124" s="203"/>
    </row>
    <row r="125" spans="1:2" ht="13.8" x14ac:dyDescent="0.25">
      <c r="A125" s="714"/>
      <c r="B125" s="203"/>
    </row>
  </sheetData>
  <phoneticPr fontId="0" type="noConversion"/>
  <hyperlinks>
    <hyperlink ref="A1" location="'Working Budget with funding det'!A1" display="Main " xr:uid="{00000000-0004-0000-2200-000000000000}"/>
    <hyperlink ref="B1" location="'Table of Contents'!A1" display="TOC" xr:uid="{00000000-0004-0000-2200-000001000000}"/>
  </hyperlinks>
  <pageMargins left="0.75" right="0.75" top="1" bottom="1" header="0.5" footer="0.5"/>
  <pageSetup scale="89" fitToHeight="3" orientation="landscape" r:id="rId1"/>
  <headerFooter alignWithMargins="0">
    <oddFooter>&amp;L&amp;D     &amp;T&amp;C&amp;F&amp;R&amp;A  &amp;P</oddFooter>
  </headerFooter>
  <rowBreaks count="2" manualBreakCount="2">
    <brk id="64" max="15" man="1"/>
    <brk id="103" max="1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Y166"/>
  <sheetViews>
    <sheetView zoomScaleNormal="100" workbookViewId="0">
      <selection activeCell="S15" sqref="S15"/>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1202</v>
      </c>
      <c r="B1" s="290" t="s">
        <v>194</v>
      </c>
      <c r="D1" s="194"/>
      <c r="E1" s="194"/>
      <c r="F1" s="194"/>
      <c r="G1" s="194"/>
      <c r="H1" s="194"/>
      <c r="I1" s="194"/>
      <c r="J1" s="194"/>
      <c r="K1" s="194"/>
      <c r="L1" s="194"/>
      <c r="M1" s="194"/>
      <c r="N1" s="194"/>
      <c r="O1" s="194"/>
      <c r="P1" s="194"/>
      <c r="Q1" s="194"/>
      <c r="U1"/>
    </row>
    <row r="2" spans="1:24" ht="13.8" x14ac:dyDescent="0.25">
      <c r="A2" s="702" t="s">
        <v>1142</v>
      </c>
      <c r="B2" s="43"/>
      <c r="D2" s="194"/>
      <c r="E2" s="125"/>
      <c r="F2" s="194"/>
      <c r="G2" s="194"/>
      <c r="H2" s="194"/>
      <c r="I2" s="125" t="s">
        <v>706</v>
      </c>
      <c r="J2" s="125"/>
      <c r="K2" s="125"/>
      <c r="L2" s="125"/>
      <c r="M2" s="125"/>
      <c r="N2" s="125"/>
      <c r="O2" s="125"/>
      <c r="P2" s="125"/>
      <c r="Q2" s="125"/>
      <c r="R2" s="58" t="s">
        <v>1203</v>
      </c>
      <c r="U2" s="44" t="s">
        <v>1204</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8"/>
      <c r="J8" s="18"/>
      <c r="K8" s="19"/>
      <c r="L8" s="19"/>
      <c r="M8" s="19"/>
      <c r="N8" s="19"/>
      <c r="O8" s="19"/>
      <c r="P8" s="19"/>
      <c r="Q8" s="19"/>
      <c r="R8" s="18"/>
      <c r="S8" s="19"/>
      <c r="T8" s="19"/>
      <c r="U8" s="19"/>
    </row>
    <row r="9" spans="1:24" x14ac:dyDescent="0.25">
      <c r="A9" s="708">
        <v>5112</v>
      </c>
      <c r="B9" s="60" t="s">
        <v>1205</v>
      </c>
      <c r="C9" s="311">
        <v>63971.3</v>
      </c>
      <c r="D9" s="13">
        <f>4702.2+65911.5</f>
        <v>70613.7</v>
      </c>
      <c r="E9" s="127">
        <v>72732</v>
      </c>
      <c r="F9" s="127">
        <v>74739</v>
      </c>
      <c r="G9" s="127">
        <v>100017.29</v>
      </c>
      <c r="H9" s="127">
        <v>106004.5</v>
      </c>
      <c r="I9" s="13">
        <v>110121.8</v>
      </c>
      <c r="J9" s="13">
        <v>120932.3</v>
      </c>
      <c r="K9" s="14">
        <v>125128</v>
      </c>
      <c r="L9" s="13">
        <v>125128.3</v>
      </c>
      <c r="M9" s="14">
        <v>129397</v>
      </c>
      <c r="N9" s="13">
        <v>118994.59</v>
      </c>
      <c r="O9" s="14">
        <f>5310+133099</f>
        <v>138409</v>
      </c>
      <c r="P9" s="13">
        <v>115941.97</v>
      </c>
      <c r="Q9" s="14">
        <v>140483</v>
      </c>
      <c r="R9" s="13">
        <v>50938.46</v>
      </c>
      <c r="S9" s="14">
        <f>ROUND((+'420 DPW'!R75+'420 DPW'!R76+'420 DPW'!R77),0)</f>
        <v>145819</v>
      </c>
      <c r="T9" s="14"/>
      <c r="U9" s="14"/>
    </row>
    <row r="10" spans="1:24" x14ac:dyDescent="0.25">
      <c r="A10" s="708">
        <v>5132</v>
      </c>
      <c r="B10" s="60" t="s">
        <v>1147</v>
      </c>
      <c r="C10" s="568">
        <v>3287.13</v>
      </c>
      <c r="D10" s="35">
        <f>283.47+4109.44</f>
        <v>4392.91</v>
      </c>
      <c r="E10" s="200">
        <v>2212.44</v>
      </c>
      <c r="F10" s="200">
        <v>1440</v>
      </c>
      <c r="G10" s="200">
        <v>1576.97</v>
      </c>
      <c r="H10" s="200">
        <v>2867</v>
      </c>
      <c r="I10" s="35">
        <v>2574.35</v>
      </c>
      <c r="J10" s="35">
        <v>2495.06</v>
      </c>
      <c r="K10" s="36">
        <v>4000</v>
      </c>
      <c r="L10" s="35">
        <v>2848.86</v>
      </c>
      <c r="M10" s="36">
        <v>4000</v>
      </c>
      <c r="N10" s="35">
        <v>2510.92</v>
      </c>
      <c r="O10" s="36">
        <v>4000</v>
      </c>
      <c r="P10" s="35">
        <v>3211.05</v>
      </c>
      <c r="Q10" s="36">
        <v>4000</v>
      </c>
      <c r="R10" s="35">
        <v>3406.04</v>
      </c>
      <c r="S10" s="36">
        <v>4000</v>
      </c>
      <c r="T10" s="36"/>
      <c r="U10" s="36"/>
    </row>
    <row r="11" spans="1:24" ht="13.8" thickBot="1" x14ac:dyDescent="0.3">
      <c r="A11" s="708">
        <v>5142</v>
      </c>
      <c r="B11" s="60" t="s">
        <v>1016</v>
      </c>
      <c r="C11" s="568">
        <v>196.41</v>
      </c>
      <c r="D11" s="35">
        <v>226.1</v>
      </c>
      <c r="E11" s="200">
        <v>201.6</v>
      </c>
      <c r="F11" s="200">
        <v>210</v>
      </c>
      <c r="G11" s="200">
        <v>1.2</v>
      </c>
      <c r="H11" s="200"/>
      <c r="I11" s="35">
        <v>63.06</v>
      </c>
      <c r="J11" s="35"/>
      <c r="K11" s="36">
        <v>250</v>
      </c>
      <c r="L11" s="35">
        <v>15</v>
      </c>
      <c r="M11" s="36">
        <v>250</v>
      </c>
      <c r="N11" s="35">
        <v>235.22</v>
      </c>
      <c r="O11" s="36">
        <v>175</v>
      </c>
      <c r="P11" s="35">
        <v>252.4</v>
      </c>
      <c r="Q11" s="36">
        <v>175</v>
      </c>
      <c r="R11" s="35"/>
      <c r="S11" s="36">
        <v>175</v>
      </c>
      <c r="T11" s="36"/>
      <c r="U11" s="36"/>
    </row>
    <row r="12" spans="1:24" x14ac:dyDescent="0.25">
      <c r="A12" s="708"/>
      <c r="B12" s="61" t="s">
        <v>718</v>
      </c>
      <c r="C12" s="580">
        <f t="shared" ref="C12:U12" si="0">SUM(C9:C11)</f>
        <v>67454.840000000011</v>
      </c>
      <c r="D12" s="30">
        <f t="shared" si="0"/>
        <v>75232.710000000006</v>
      </c>
      <c r="E12" s="30">
        <f t="shared" si="0"/>
        <v>75146.040000000008</v>
      </c>
      <c r="F12" s="30">
        <f>SUM(F9:F11)</f>
        <v>76389</v>
      </c>
      <c r="G12" s="30">
        <f>SUM(G9:G11)</f>
        <v>101595.45999999999</v>
      </c>
      <c r="H12" s="30">
        <f>SUM(H9:H11)</f>
        <v>108871.5</v>
      </c>
      <c r="I12" s="30">
        <f t="shared" si="0"/>
        <v>112759.21</v>
      </c>
      <c r="J12" s="30">
        <f t="shared" si="0"/>
        <v>123427.36</v>
      </c>
      <c r="K12" s="31">
        <f>SUM(K9:K11)</f>
        <v>129378</v>
      </c>
      <c r="L12" s="30">
        <f t="shared" ref="L12:P12" si="1">SUM(L9:L11)</f>
        <v>127992.16</v>
      </c>
      <c r="M12" s="31">
        <f t="shared" si="1"/>
        <v>133647</v>
      </c>
      <c r="N12" s="30">
        <f t="shared" si="1"/>
        <v>121740.73</v>
      </c>
      <c r="O12" s="31">
        <f t="shared" si="1"/>
        <v>142584</v>
      </c>
      <c r="P12" s="30">
        <f t="shared" si="1"/>
        <v>119405.42</v>
      </c>
      <c r="Q12" s="31">
        <f>SUM(Q9:Q11)</f>
        <v>144658</v>
      </c>
      <c r="R12" s="30">
        <f t="shared" si="0"/>
        <v>54344.5</v>
      </c>
      <c r="S12" s="31">
        <f>SUM(S9:S11)</f>
        <v>149994</v>
      </c>
      <c r="T12" s="31"/>
      <c r="U12" s="31">
        <f t="shared" si="0"/>
        <v>0</v>
      </c>
    </row>
    <row r="13" spans="1:24" x14ac:dyDescent="0.25">
      <c r="A13" s="708"/>
      <c r="B13" s="60"/>
      <c r="C13" s="311"/>
      <c r="D13" s="13"/>
      <c r="E13" s="13"/>
      <c r="F13" s="13"/>
      <c r="G13" s="13"/>
      <c r="H13" s="13"/>
      <c r="I13" s="13"/>
      <c r="J13" s="13"/>
      <c r="K13" s="14"/>
      <c r="L13" s="13"/>
      <c r="M13" s="14"/>
      <c r="N13" s="13"/>
      <c r="O13" s="14"/>
      <c r="P13" s="13"/>
      <c r="Q13" s="14"/>
      <c r="R13" s="13"/>
      <c r="S13" s="14"/>
      <c r="T13" s="14"/>
      <c r="U13" s="14"/>
    </row>
    <row r="14" spans="1:24" x14ac:dyDescent="0.25">
      <c r="A14" s="708">
        <v>5241</v>
      </c>
      <c r="B14" s="60" t="s">
        <v>1148</v>
      </c>
      <c r="C14" s="311"/>
      <c r="D14" s="18"/>
      <c r="E14" s="111">
        <v>2228</v>
      </c>
      <c r="F14" s="111">
        <v>2295</v>
      </c>
      <c r="G14" s="111">
        <v>2364</v>
      </c>
      <c r="H14" s="111">
        <v>2434</v>
      </c>
      <c r="I14" s="18">
        <v>2508</v>
      </c>
      <c r="J14" s="18">
        <v>2583</v>
      </c>
      <c r="K14" s="19">
        <v>3000</v>
      </c>
      <c r="L14" s="18">
        <v>2660</v>
      </c>
      <c r="M14" s="19">
        <v>3000</v>
      </c>
      <c r="N14" s="18">
        <v>2740</v>
      </c>
      <c r="O14" s="19">
        <v>3000</v>
      </c>
      <c r="P14" s="18">
        <v>2822</v>
      </c>
      <c r="Q14" s="19">
        <v>3000</v>
      </c>
      <c r="R14" s="13">
        <v>2907</v>
      </c>
      <c r="S14" s="19">
        <v>3000</v>
      </c>
      <c r="T14" s="19"/>
      <c r="U14" s="19"/>
    </row>
    <row r="15" spans="1:24" x14ac:dyDescent="0.25">
      <c r="A15" s="708">
        <v>5242</v>
      </c>
      <c r="B15" s="60" t="s">
        <v>1149</v>
      </c>
      <c r="C15" s="311">
        <v>12678.44</v>
      </c>
      <c r="D15" s="18">
        <v>14234.46</v>
      </c>
      <c r="E15" s="111">
        <v>21584.59</v>
      </c>
      <c r="F15" s="111">
        <v>12784.57</v>
      </c>
      <c r="G15" s="111">
        <v>9805.6299999999992</v>
      </c>
      <c r="H15" s="111">
        <v>13534.16</v>
      </c>
      <c r="I15" s="18">
        <v>14854.66</v>
      </c>
      <c r="J15" s="18">
        <v>18102.38</v>
      </c>
      <c r="K15" s="19">
        <v>16000</v>
      </c>
      <c r="L15" s="18">
        <v>16510.34</v>
      </c>
      <c r="M15" s="19">
        <v>18000</v>
      </c>
      <c r="N15" s="18">
        <v>20320.259999999998</v>
      </c>
      <c r="O15" s="19">
        <v>18000</v>
      </c>
      <c r="P15" s="18">
        <v>23206.41</v>
      </c>
      <c r="Q15" s="19">
        <v>18000</v>
      </c>
      <c r="R15" s="13">
        <v>10331.950000000001</v>
      </c>
      <c r="S15" s="19">
        <v>18000</v>
      </c>
      <c r="T15" s="19"/>
      <c r="U15" s="19"/>
    </row>
    <row r="16" spans="1:24" x14ac:dyDescent="0.25">
      <c r="A16" s="708">
        <v>5243</v>
      </c>
      <c r="B16" s="60" t="s">
        <v>1206</v>
      </c>
      <c r="C16" s="311">
        <v>15167.36</v>
      </c>
      <c r="D16" s="18">
        <v>12103.44</v>
      </c>
      <c r="E16" s="111">
        <v>42549.06</v>
      </c>
      <c r="F16" s="111">
        <v>23614.560000000001</v>
      </c>
      <c r="G16" s="111">
        <v>31462.560000000001</v>
      </c>
      <c r="H16" s="111">
        <v>20342.38</v>
      </c>
      <c r="I16" s="18">
        <v>33925.94</v>
      </c>
      <c r="J16" s="18">
        <v>27147.34</v>
      </c>
      <c r="K16" s="19">
        <v>25000</v>
      </c>
      <c r="L16" s="18">
        <v>15937.72</v>
      </c>
      <c r="M16" s="19">
        <v>25000</v>
      </c>
      <c r="N16" s="18">
        <v>19355.099999999999</v>
      </c>
      <c r="O16" s="19">
        <v>25000</v>
      </c>
      <c r="P16" s="18">
        <v>36428.85</v>
      </c>
      <c r="Q16" s="19">
        <v>25000</v>
      </c>
      <c r="R16" s="13">
        <v>13173.3</v>
      </c>
      <c r="S16" s="19">
        <v>25000</v>
      </c>
      <c r="T16" s="19"/>
      <c r="U16" s="19"/>
    </row>
    <row r="17" spans="1:24" x14ac:dyDescent="0.25">
      <c r="A17" s="708">
        <v>5251</v>
      </c>
      <c r="B17" s="60" t="s">
        <v>1153</v>
      </c>
      <c r="C17" s="311">
        <v>692.5</v>
      </c>
      <c r="D17" s="18">
        <v>0</v>
      </c>
      <c r="E17" s="111"/>
      <c r="F17" s="111"/>
      <c r="G17" s="111">
        <v>5710.13</v>
      </c>
      <c r="H17" s="111">
        <v>493.99</v>
      </c>
      <c r="I17" s="18">
        <v>0</v>
      </c>
      <c r="J17" s="18">
        <v>1260.6500000000001</v>
      </c>
      <c r="K17" s="19">
        <v>800</v>
      </c>
      <c r="L17" s="18"/>
      <c r="M17" s="19">
        <v>800</v>
      </c>
      <c r="N17" s="18">
        <v>1997.55</v>
      </c>
      <c r="O17" s="19">
        <v>800</v>
      </c>
      <c r="P17" s="18"/>
      <c r="Q17" s="19">
        <v>800</v>
      </c>
      <c r="R17" s="13">
        <v>779.99</v>
      </c>
      <c r="S17" s="19">
        <v>800</v>
      </c>
      <c r="T17" s="19"/>
      <c r="U17" s="19"/>
    </row>
    <row r="18" spans="1:24" x14ac:dyDescent="0.25">
      <c r="A18" s="708">
        <v>5430</v>
      </c>
      <c r="B18" s="60" t="s">
        <v>1160</v>
      </c>
      <c r="C18" s="311">
        <v>1946.02</v>
      </c>
      <c r="D18" s="18">
        <v>2231.6999999999998</v>
      </c>
      <c r="E18" s="111">
        <v>1296.46</v>
      </c>
      <c r="F18" s="111">
        <v>2045.7</v>
      </c>
      <c r="G18" s="111">
        <v>2138.9699999999998</v>
      </c>
      <c r="H18" s="111">
        <v>3025.76</v>
      </c>
      <c r="I18" s="18">
        <v>2059.59</v>
      </c>
      <c r="J18" s="18">
        <v>2932.38</v>
      </c>
      <c r="K18" s="19">
        <v>4000</v>
      </c>
      <c r="L18" s="18">
        <v>1210.99</v>
      </c>
      <c r="M18" s="19">
        <v>4000</v>
      </c>
      <c r="N18" s="18">
        <v>3209.29</v>
      </c>
      <c r="O18" s="19">
        <v>3000</v>
      </c>
      <c r="P18" s="18">
        <v>1677.79</v>
      </c>
      <c r="Q18" s="19">
        <v>3000</v>
      </c>
      <c r="R18" s="13">
        <v>162.18</v>
      </c>
      <c r="S18" s="19">
        <v>3000</v>
      </c>
      <c r="T18" s="19"/>
      <c r="U18" s="19"/>
    </row>
    <row r="19" spans="1:24" x14ac:dyDescent="0.25">
      <c r="A19" s="708">
        <v>5443</v>
      </c>
      <c r="B19" s="12" t="s">
        <v>1164</v>
      </c>
      <c r="C19" s="127">
        <v>601.75</v>
      </c>
      <c r="D19" s="18">
        <v>526.84</v>
      </c>
      <c r="E19" s="111">
        <v>1059.18</v>
      </c>
      <c r="F19" s="111">
        <v>1706.79</v>
      </c>
      <c r="G19" s="111">
        <v>1642.64</v>
      </c>
      <c r="H19" s="111">
        <v>10884.74</v>
      </c>
      <c r="I19" s="18">
        <v>2866.67</v>
      </c>
      <c r="J19" s="18">
        <v>7294.42</v>
      </c>
      <c r="K19" s="19">
        <v>4000</v>
      </c>
      <c r="L19" s="18">
        <v>3446.97</v>
      </c>
      <c r="M19" s="19">
        <v>4500</v>
      </c>
      <c r="N19" s="18">
        <v>3902.1</v>
      </c>
      <c r="O19" s="19">
        <v>4500</v>
      </c>
      <c r="P19" s="18">
        <v>5686.94</v>
      </c>
      <c r="Q19" s="19">
        <v>4500</v>
      </c>
      <c r="R19" s="13">
        <v>2392.2800000000002</v>
      </c>
      <c r="S19" s="19">
        <v>4500</v>
      </c>
      <c r="T19" s="19"/>
      <c r="U19" s="19"/>
    </row>
    <row r="20" spans="1:24" hidden="1" x14ac:dyDescent="0.25">
      <c r="A20" s="708"/>
      <c r="B20" s="12" t="s">
        <v>1042</v>
      </c>
      <c r="C20" s="200"/>
      <c r="D20" s="28"/>
      <c r="E20" s="254"/>
      <c r="F20" s="254"/>
      <c r="G20" s="254"/>
      <c r="H20" s="254"/>
      <c r="I20" s="28"/>
      <c r="J20" s="28"/>
      <c r="K20" s="29"/>
      <c r="L20" s="28">
        <v>2839.82</v>
      </c>
      <c r="M20" s="29"/>
      <c r="N20" s="28"/>
      <c r="O20" s="29"/>
      <c r="P20" s="28"/>
      <c r="Q20" s="29"/>
      <c r="R20" s="35"/>
      <c r="S20" s="29"/>
      <c r="T20" s="29"/>
      <c r="U20" s="29"/>
    </row>
    <row r="21" spans="1:24" ht="13.8" thickBot="1" x14ac:dyDescent="0.3">
      <c r="A21" s="708">
        <v>5451</v>
      </c>
      <c r="B21" s="12" t="s">
        <v>1035</v>
      </c>
      <c r="C21" s="252">
        <v>5018.82</v>
      </c>
      <c r="D21" s="15">
        <v>5254.01</v>
      </c>
      <c r="E21" s="252">
        <v>5220.07</v>
      </c>
      <c r="F21" s="252">
        <v>4714.6000000000004</v>
      </c>
      <c r="G21" s="252">
        <v>7479.13</v>
      </c>
      <c r="H21" s="252">
        <v>7438.02</v>
      </c>
      <c r="I21" s="15">
        <v>7961.22</v>
      </c>
      <c r="J21" s="15">
        <v>7547.15</v>
      </c>
      <c r="K21" s="16">
        <v>8000</v>
      </c>
      <c r="L21" s="15">
        <v>5319.19</v>
      </c>
      <c r="M21" s="16">
        <v>9000</v>
      </c>
      <c r="N21" s="15">
        <v>5820.13</v>
      </c>
      <c r="O21" s="16">
        <v>8500</v>
      </c>
      <c r="P21" s="15">
        <v>7444.74</v>
      </c>
      <c r="Q21" s="16">
        <v>8500</v>
      </c>
      <c r="R21" s="15">
        <v>3586.16</v>
      </c>
      <c r="S21" s="16">
        <v>8500</v>
      </c>
      <c r="T21" s="16"/>
      <c r="U21" s="16"/>
    </row>
    <row r="22" spans="1:24" x14ac:dyDescent="0.25">
      <c r="A22" s="708"/>
      <c r="B22" s="17" t="s">
        <v>728</v>
      </c>
      <c r="C22" s="18">
        <f>SUM(C15:C21)</f>
        <v>36104.89</v>
      </c>
      <c r="D22" s="18">
        <f>SUM(D15:D21)</f>
        <v>34350.450000000004</v>
      </c>
      <c r="E22" s="18">
        <f t="shared" ref="E22:U22" si="2">SUM(E14:E21)</f>
        <v>73937.359999999986</v>
      </c>
      <c r="F22" s="18">
        <f t="shared" si="2"/>
        <v>47161.22</v>
      </c>
      <c r="G22" s="18">
        <f t="shared" si="2"/>
        <v>60603.06</v>
      </c>
      <c r="H22" s="18">
        <f t="shared" si="2"/>
        <v>58153.05</v>
      </c>
      <c r="I22" s="18">
        <f t="shared" si="2"/>
        <v>64176.08</v>
      </c>
      <c r="J22" s="18">
        <f t="shared" ref="J22" si="3">SUM(J14:J21)</f>
        <v>66867.319999999992</v>
      </c>
      <c r="K22" s="34">
        <f t="shared" si="2"/>
        <v>60800</v>
      </c>
      <c r="L22" s="18">
        <f t="shared" ref="L22:O22" si="4">SUM(L14:L21)</f>
        <v>47925.03</v>
      </c>
      <c r="M22" s="34">
        <f t="shared" si="4"/>
        <v>64300</v>
      </c>
      <c r="N22" s="18">
        <f t="shared" ref="N22" si="5">SUM(N14:N21)</f>
        <v>57344.43</v>
      </c>
      <c r="O22" s="34">
        <f t="shared" si="4"/>
        <v>62800</v>
      </c>
      <c r="P22" s="18">
        <f t="shared" ref="P22" si="6">SUM(P14:P21)</f>
        <v>77266.73</v>
      </c>
      <c r="Q22" s="34">
        <f t="shared" ref="Q22" si="7">SUM(Q14:Q21)</f>
        <v>62800</v>
      </c>
      <c r="R22" s="18">
        <f t="shared" si="2"/>
        <v>33332.86</v>
      </c>
      <c r="S22" s="34">
        <f t="shared" si="2"/>
        <v>62800</v>
      </c>
      <c r="T22" s="34"/>
      <c r="U22" s="34">
        <f t="shared" si="2"/>
        <v>0</v>
      </c>
    </row>
    <row r="23" spans="1:24" x14ac:dyDescent="0.25">
      <c r="A23" s="708"/>
      <c r="B23" s="17"/>
      <c r="C23" s="18"/>
      <c r="D23" s="18"/>
      <c r="E23" s="18"/>
      <c r="F23" s="18"/>
      <c r="G23" s="18"/>
      <c r="H23" s="18"/>
      <c r="I23" s="18"/>
      <c r="J23" s="18"/>
      <c r="K23" s="34"/>
      <c r="L23" s="18"/>
      <c r="M23" s="34"/>
      <c r="N23" s="18"/>
      <c r="O23" s="34"/>
      <c r="P23" s="18"/>
      <c r="Q23" s="34"/>
      <c r="R23" s="18"/>
      <c r="S23" s="34"/>
      <c r="T23" s="34"/>
      <c r="U23" s="34"/>
    </row>
    <row r="24" spans="1:24" x14ac:dyDescent="0.25">
      <c r="A24" s="708">
        <v>5800</v>
      </c>
      <c r="B24" s="17" t="s">
        <v>2069</v>
      </c>
      <c r="C24" s="18"/>
      <c r="D24" s="18"/>
      <c r="E24" s="18"/>
      <c r="F24" s="18"/>
      <c r="G24" s="18"/>
      <c r="H24" s="18"/>
      <c r="I24" s="18"/>
      <c r="J24" s="18"/>
      <c r="K24" s="34"/>
      <c r="L24" s="18"/>
      <c r="M24" s="34"/>
      <c r="N24" s="18"/>
      <c r="O24" s="34">
        <v>40000</v>
      </c>
      <c r="P24" s="18">
        <v>38715</v>
      </c>
      <c r="Q24" s="34"/>
      <c r="R24" s="18"/>
      <c r="S24" s="34"/>
      <c r="T24" s="34"/>
      <c r="U24" s="34"/>
    </row>
    <row r="25" spans="1:24" x14ac:dyDescent="0.25">
      <c r="A25" s="708"/>
      <c r="B25" s="12"/>
      <c r="C25" s="13"/>
      <c r="D25" s="13"/>
      <c r="E25" s="13"/>
      <c r="F25" s="13"/>
      <c r="G25" s="13"/>
      <c r="H25" s="13"/>
      <c r="I25" s="13"/>
      <c r="J25" s="13"/>
      <c r="K25" s="14"/>
      <c r="L25" s="13"/>
      <c r="M25" s="14"/>
      <c r="N25" s="13"/>
      <c r="O25" s="14"/>
      <c r="P25" s="13"/>
      <c r="Q25" s="14"/>
      <c r="R25" s="13"/>
      <c r="S25" s="14"/>
      <c r="T25" s="14"/>
      <c r="U25" s="14"/>
    </row>
    <row r="26" spans="1:24" ht="13.8" thickBot="1" x14ac:dyDescent="0.3">
      <c r="A26" s="709"/>
      <c r="B26" s="20" t="s">
        <v>1207</v>
      </c>
      <c r="C26" s="21">
        <f t="shared" ref="C26:T26" si="8">+C22+C12</f>
        <v>103559.73000000001</v>
      </c>
      <c r="D26" s="21">
        <f t="shared" si="8"/>
        <v>109583.16</v>
      </c>
      <c r="E26" s="21">
        <f t="shared" si="8"/>
        <v>149083.4</v>
      </c>
      <c r="F26" s="21">
        <f t="shared" si="8"/>
        <v>123550.22</v>
      </c>
      <c r="G26" s="21">
        <f t="shared" si="8"/>
        <v>162198.51999999999</v>
      </c>
      <c r="H26" s="21">
        <f t="shared" si="8"/>
        <v>167024.54999999999</v>
      </c>
      <c r="I26" s="21">
        <f t="shared" si="8"/>
        <v>176935.29</v>
      </c>
      <c r="J26" s="21">
        <f t="shared" ref="J26" si="9">+J22+J12</f>
        <v>190294.68</v>
      </c>
      <c r="K26" s="22">
        <f t="shared" si="8"/>
        <v>190178</v>
      </c>
      <c r="L26" s="21">
        <f t="shared" ref="L26:M26" si="10">+L22+L12</f>
        <v>175917.19</v>
      </c>
      <c r="M26" s="22">
        <f t="shared" si="10"/>
        <v>197947</v>
      </c>
      <c r="N26" s="21">
        <f t="shared" ref="N26" si="11">+N22+N12</f>
        <v>179085.16</v>
      </c>
      <c r="O26" s="22">
        <f>+O22+O12+O24</f>
        <v>245384</v>
      </c>
      <c r="P26" s="21">
        <f>+P22+P12+P24</f>
        <v>235387.15</v>
      </c>
      <c r="Q26" s="22">
        <f t="shared" ref="Q26" si="12">+Q22+Q12</f>
        <v>207458</v>
      </c>
      <c r="R26" s="21">
        <f t="shared" si="8"/>
        <v>87677.36</v>
      </c>
      <c r="S26" s="22">
        <f t="shared" si="8"/>
        <v>212794</v>
      </c>
      <c r="T26" s="22">
        <f t="shared" si="8"/>
        <v>0</v>
      </c>
      <c r="U26" s="22">
        <f>+S26</f>
        <v>212794</v>
      </c>
    </row>
    <row r="27" spans="1:24" ht="13.8" thickTop="1" x14ac:dyDescent="0.25">
      <c r="A27" s="703"/>
      <c r="B27" s="4"/>
      <c r="C27" s="23"/>
      <c r="D27" s="23"/>
      <c r="E27" s="23"/>
      <c r="F27" s="23"/>
      <c r="G27" s="23"/>
      <c r="H27" s="23"/>
      <c r="I27" s="23"/>
      <c r="J27" s="23"/>
      <c r="K27" s="23"/>
      <c r="L27" s="23"/>
      <c r="M27" s="23"/>
      <c r="N27" s="23"/>
      <c r="O27" s="23"/>
      <c r="P27" s="23"/>
      <c r="Q27" s="23"/>
      <c r="R27" s="181" t="s">
        <v>732</v>
      </c>
      <c r="S27" s="1001">
        <f>+S26-Q26</f>
        <v>5336</v>
      </c>
      <c r="T27" s="1002">
        <f>ROUND((+S27/Q26),4)</f>
        <v>2.5700000000000001E-2</v>
      </c>
      <c r="U27" s="23"/>
      <c r="V27" s="25"/>
      <c r="W27" s="25"/>
      <c r="X27" s="25"/>
    </row>
    <row r="28" spans="1:24" ht="14.4" x14ac:dyDescent="0.3">
      <c r="A28" s="739"/>
      <c r="B28" s="4"/>
      <c r="C28" s="23"/>
      <c r="D28" s="23"/>
      <c r="E28" s="23"/>
      <c r="F28" s="23"/>
      <c r="G28" s="23"/>
      <c r="H28" s="23"/>
      <c r="I28" s="23"/>
      <c r="J28" s="23"/>
      <c r="K28" s="23"/>
      <c r="L28" s="23"/>
      <c r="M28" s="23"/>
      <c r="N28" s="23"/>
      <c r="O28" s="23"/>
      <c r="P28" s="23"/>
      <c r="Q28" s="23"/>
      <c r="R28" s="25"/>
      <c r="S28" s="23"/>
      <c r="T28" s="23"/>
      <c r="U28" s="23"/>
      <c r="V28" s="25"/>
      <c r="W28" s="25"/>
      <c r="X28" s="25"/>
    </row>
    <row r="29" spans="1:24" ht="14.4" x14ac:dyDescent="0.3">
      <c r="A29" s="740"/>
      <c r="B29" s="4"/>
      <c r="C29" s="23"/>
      <c r="D29" s="23"/>
      <c r="E29" s="23"/>
      <c r="F29" s="23"/>
      <c r="G29" s="23"/>
      <c r="H29" s="23"/>
      <c r="I29" s="23"/>
      <c r="J29" s="23"/>
      <c r="K29" s="23"/>
      <c r="L29" s="23"/>
      <c r="M29" s="23"/>
      <c r="N29" s="23"/>
      <c r="O29" s="23"/>
      <c r="P29" s="23"/>
      <c r="Q29" s="23"/>
      <c r="R29" s="25"/>
      <c r="S29" s="23"/>
      <c r="T29" s="23"/>
      <c r="U29" s="23"/>
      <c r="V29" s="25"/>
      <c r="W29" s="25"/>
      <c r="X29" s="25"/>
    </row>
    <row r="30" spans="1:24" ht="15" thickBot="1" x14ac:dyDescent="0.35">
      <c r="A30" s="741"/>
      <c r="B30" s="4"/>
      <c r="C30" s="23"/>
      <c r="D30" s="23"/>
      <c r="E30" s="23"/>
      <c r="F30" s="23"/>
      <c r="G30" s="23"/>
      <c r="H30" s="23"/>
      <c r="I30" s="23"/>
      <c r="J30" s="23"/>
      <c r="K30" s="23"/>
      <c r="L30" s="23"/>
      <c r="M30" s="23"/>
      <c r="N30" s="23"/>
      <c r="O30" s="23"/>
      <c r="P30" s="23"/>
      <c r="Q30" s="23"/>
      <c r="R30" s="25"/>
      <c r="S30" s="23"/>
      <c r="T30" s="23"/>
      <c r="U30" s="23"/>
      <c r="V30" s="25"/>
      <c r="W30" s="25"/>
      <c r="X30" s="25"/>
    </row>
    <row r="31" spans="1:24" ht="13.8" thickTop="1" x14ac:dyDescent="0.25">
      <c r="A31" s="718"/>
      <c r="B31" s="349"/>
      <c r="C31" s="350" t="s">
        <v>256</v>
      </c>
      <c r="D31" s="351" t="s">
        <v>256</v>
      </c>
      <c r="E31" s="351" t="s">
        <v>256</v>
      </c>
      <c r="F31" s="982"/>
      <c r="G31" s="982"/>
      <c r="H31" s="982"/>
      <c r="I31" s="982"/>
      <c r="J31" s="982"/>
      <c r="K31" s="982"/>
      <c r="L31" s="982"/>
      <c r="O31" s="352" t="s">
        <v>255</v>
      </c>
      <c r="P31" s="353" t="s">
        <v>716</v>
      </c>
      <c r="Q31" s="354" t="s">
        <v>730</v>
      </c>
      <c r="R31" s="353" t="s">
        <v>731</v>
      </c>
      <c r="S31" s="355"/>
      <c r="T31" s="550"/>
      <c r="U31" s="354"/>
      <c r="V31" s="25"/>
      <c r="W31" s="25"/>
      <c r="X31" s="25"/>
    </row>
    <row r="32" spans="1:24" ht="13.8" thickBot="1" x14ac:dyDescent="0.3">
      <c r="A32" s="719" t="s">
        <v>715</v>
      </c>
      <c r="B32" s="356"/>
      <c r="C32" s="357" t="s">
        <v>243</v>
      </c>
      <c r="D32" s="357" t="s">
        <v>244</v>
      </c>
      <c r="E32" s="358" t="s">
        <v>245</v>
      </c>
      <c r="F32" s="982"/>
      <c r="G32" s="982"/>
      <c r="H32" s="982"/>
      <c r="I32" s="982"/>
      <c r="J32" s="982"/>
      <c r="K32" s="982"/>
      <c r="L32" s="982"/>
      <c r="O32" s="359" t="s">
        <v>469</v>
      </c>
      <c r="P32" s="359" t="s">
        <v>1345</v>
      </c>
      <c r="Q32" s="358" t="s">
        <v>732</v>
      </c>
      <c r="R32" s="360" t="s">
        <v>732</v>
      </c>
      <c r="S32" s="361" t="s">
        <v>733</v>
      </c>
      <c r="T32" s="551"/>
      <c r="U32" s="359"/>
      <c r="V32" s="25"/>
      <c r="W32" s="25"/>
      <c r="X32" s="25"/>
    </row>
    <row r="33" spans="1:24" ht="13.8" thickTop="1" x14ac:dyDescent="0.25">
      <c r="A33" s="726"/>
      <c r="B33" s="376"/>
      <c r="C33" s="365"/>
      <c r="D33" s="365"/>
      <c r="E33" s="365"/>
      <c r="F33" s="982"/>
      <c r="G33" s="982"/>
      <c r="H33" s="982"/>
      <c r="I33" s="982"/>
      <c r="J33" s="982"/>
      <c r="K33" s="982"/>
      <c r="L33" s="982"/>
      <c r="O33" s="366"/>
      <c r="P33" s="385"/>
      <c r="Q33" s="386"/>
      <c r="R33" s="384"/>
      <c r="S33" s="367"/>
      <c r="T33" s="553"/>
      <c r="U33" s="368"/>
      <c r="V33" s="25"/>
      <c r="W33" s="25"/>
      <c r="X33" s="25"/>
    </row>
    <row r="34" spans="1:24" x14ac:dyDescent="0.25">
      <c r="A34" s="724">
        <v>5112</v>
      </c>
      <c r="B34" s="369" t="s">
        <v>1205</v>
      </c>
      <c r="C34" s="373">
        <v>63971.3</v>
      </c>
      <c r="D34" s="373">
        <f>4702.2+65911.5</f>
        <v>70613.7</v>
      </c>
      <c r="E34" s="373">
        <v>72732</v>
      </c>
      <c r="F34" s="982"/>
      <c r="G34" s="982"/>
      <c r="H34" s="982"/>
      <c r="I34" s="982"/>
      <c r="J34" s="982"/>
      <c r="K34" s="982"/>
      <c r="L34" s="982"/>
      <c r="O34" s="372">
        <f>+Q9</f>
        <v>140483</v>
      </c>
      <c r="P34" s="393">
        <f>+S9</f>
        <v>145819</v>
      </c>
      <c r="Q34" s="396">
        <f t="shared" ref="Q34:Q43" si="13">+P34-O34</f>
        <v>5336</v>
      </c>
      <c r="R34" s="374">
        <f t="shared" ref="R34:R43" si="14">IF(O34+P34&lt;&gt;0,IF(O34&lt;&gt;0,IF(Q34&lt;&gt;0,ROUND((+Q34/O34),4),""),1),"")</f>
        <v>3.7999999999999999E-2</v>
      </c>
      <c r="S34" s="367" t="s">
        <v>2405</v>
      </c>
      <c r="T34" s="553"/>
      <c r="U34" s="368"/>
      <c r="V34" s="25"/>
      <c r="W34" s="25"/>
      <c r="X34" s="25"/>
    </row>
    <row r="35" spans="1:24" x14ac:dyDescent="0.25">
      <c r="A35" s="724">
        <v>5132</v>
      </c>
      <c r="B35" s="369" t="s">
        <v>1147</v>
      </c>
      <c r="C35" s="375">
        <v>3287.13</v>
      </c>
      <c r="D35" s="375">
        <f>283.47+4109.44</f>
        <v>4392.91</v>
      </c>
      <c r="E35" s="375">
        <v>2212.44</v>
      </c>
      <c r="F35" s="982"/>
      <c r="G35" s="982"/>
      <c r="H35" s="982"/>
      <c r="I35" s="982"/>
      <c r="J35" s="982"/>
      <c r="K35" s="982"/>
      <c r="L35" s="982"/>
      <c r="O35" s="372">
        <f>+Q10</f>
        <v>4000</v>
      </c>
      <c r="P35" s="393">
        <f>+S10</f>
        <v>4000</v>
      </c>
      <c r="Q35" s="396">
        <f t="shared" si="13"/>
        <v>0</v>
      </c>
      <c r="R35" s="374" t="str">
        <f t="shared" si="14"/>
        <v/>
      </c>
      <c r="S35" s="367"/>
      <c r="T35" s="553"/>
      <c r="U35" s="368"/>
      <c r="V35" s="25"/>
      <c r="W35" s="25"/>
      <c r="X35" s="25"/>
    </row>
    <row r="36" spans="1:24" x14ac:dyDescent="0.25">
      <c r="A36" s="724">
        <v>5142</v>
      </c>
      <c r="B36" s="369" t="s">
        <v>1016</v>
      </c>
      <c r="C36" s="375">
        <v>196.41</v>
      </c>
      <c r="D36" s="375">
        <v>226.1</v>
      </c>
      <c r="E36" s="375">
        <v>201.6</v>
      </c>
      <c r="F36" s="194"/>
      <c r="G36" s="194"/>
      <c r="H36" s="194"/>
      <c r="I36" s="194"/>
      <c r="J36" s="194"/>
      <c r="K36" s="194"/>
      <c r="L36" s="194"/>
      <c r="O36" s="372">
        <f>+Q11</f>
        <v>175</v>
      </c>
      <c r="P36" s="393">
        <f>+S11</f>
        <v>175</v>
      </c>
      <c r="Q36" s="396">
        <f t="shared" si="13"/>
        <v>0</v>
      </c>
      <c r="R36" s="374" t="str">
        <f t="shared" si="14"/>
        <v/>
      </c>
      <c r="S36" s="367"/>
      <c r="T36" s="553"/>
      <c r="U36" s="368"/>
      <c r="V36" s="25"/>
      <c r="W36" s="25"/>
      <c r="X36" s="25"/>
    </row>
    <row r="37" spans="1:24" x14ac:dyDescent="0.25">
      <c r="A37" s="724">
        <v>5241</v>
      </c>
      <c r="B37" s="369" t="s">
        <v>1148</v>
      </c>
      <c r="C37" s="373"/>
      <c r="D37" s="365"/>
      <c r="E37" s="365">
        <v>2228</v>
      </c>
      <c r="F37" s="194"/>
      <c r="G37" s="194"/>
      <c r="H37" s="194"/>
      <c r="I37" s="194"/>
      <c r="J37" s="194"/>
      <c r="K37" s="194"/>
      <c r="L37" s="194"/>
      <c r="O37" s="372">
        <f t="shared" ref="O37:O42" si="15">+Q14</f>
        <v>3000</v>
      </c>
      <c r="P37" s="393">
        <f t="shared" ref="P37:P42" si="16">+S14</f>
        <v>3000</v>
      </c>
      <c r="Q37" s="396">
        <f t="shared" si="13"/>
        <v>0</v>
      </c>
      <c r="R37" s="374" t="str">
        <f t="shared" si="14"/>
        <v/>
      </c>
      <c r="S37" s="367"/>
      <c r="T37" s="553"/>
      <c r="U37" s="368"/>
      <c r="V37" s="25"/>
      <c r="W37" s="25"/>
      <c r="X37" s="25"/>
    </row>
    <row r="38" spans="1:24" x14ac:dyDescent="0.25">
      <c r="A38" s="724">
        <v>5242</v>
      </c>
      <c r="B38" s="369" t="s">
        <v>1149</v>
      </c>
      <c r="C38" s="373">
        <v>12678.44</v>
      </c>
      <c r="D38" s="365">
        <v>14234.46</v>
      </c>
      <c r="E38" s="365">
        <v>21584.59</v>
      </c>
      <c r="F38" s="194"/>
      <c r="G38" s="194"/>
      <c r="H38" s="194"/>
      <c r="I38" s="194"/>
      <c r="J38" s="194"/>
      <c r="K38" s="194"/>
      <c r="L38" s="194"/>
      <c r="O38" s="372">
        <f t="shared" si="15"/>
        <v>18000</v>
      </c>
      <c r="P38" s="393">
        <f t="shared" si="16"/>
        <v>18000</v>
      </c>
      <c r="Q38" s="396">
        <f t="shared" si="13"/>
        <v>0</v>
      </c>
      <c r="R38" s="374" t="str">
        <f t="shared" si="14"/>
        <v/>
      </c>
      <c r="S38" s="367"/>
      <c r="T38" s="553"/>
      <c r="U38" s="368"/>
      <c r="V38" s="25"/>
      <c r="W38" s="25"/>
      <c r="X38" s="25"/>
    </row>
    <row r="39" spans="1:24" x14ac:dyDescent="0.25">
      <c r="A39" s="724">
        <v>5243</v>
      </c>
      <c r="B39" s="369" t="s">
        <v>1206</v>
      </c>
      <c r="C39" s="373">
        <v>15167.36</v>
      </c>
      <c r="D39" s="365">
        <v>12103.44</v>
      </c>
      <c r="E39" s="365">
        <v>42549.06</v>
      </c>
      <c r="F39" s="194"/>
      <c r="G39" s="194"/>
      <c r="H39" s="194"/>
      <c r="I39" s="194"/>
      <c r="J39" s="194"/>
      <c r="K39" s="194"/>
      <c r="L39" s="194"/>
      <c r="O39" s="372">
        <f t="shared" si="15"/>
        <v>25000</v>
      </c>
      <c r="P39" s="393">
        <f t="shared" si="16"/>
        <v>25000</v>
      </c>
      <c r="Q39" s="396">
        <f t="shared" si="13"/>
        <v>0</v>
      </c>
      <c r="R39" s="374" t="str">
        <f t="shared" si="14"/>
        <v/>
      </c>
      <c r="S39" s="367"/>
      <c r="T39" s="553"/>
      <c r="U39" s="368"/>
      <c r="V39" s="25"/>
      <c r="W39" s="25"/>
      <c r="X39" s="25"/>
    </row>
    <row r="40" spans="1:24" x14ac:dyDescent="0.25">
      <c r="A40" s="724">
        <v>5251</v>
      </c>
      <c r="B40" s="369" t="s">
        <v>1153</v>
      </c>
      <c r="C40" s="373">
        <v>692.5</v>
      </c>
      <c r="D40" s="365">
        <v>0</v>
      </c>
      <c r="E40" s="365"/>
      <c r="F40" s="194"/>
      <c r="G40" s="194"/>
      <c r="H40" s="194"/>
      <c r="I40" s="194"/>
      <c r="J40" s="194"/>
      <c r="K40" s="194"/>
      <c r="L40" s="194"/>
      <c r="O40" s="372">
        <f t="shared" si="15"/>
        <v>800</v>
      </c>
      <c r="P40" s="393">
        <f t="shared" si="16"/>
        <v>800</v>
      </c>
      <c r="Q40" s="396">
        <f t="shared" si="13"/>
        <v>0</v>
      </c>
      <c r="R40" s="374" t="str">
        <f t="shared" si="14"/>
        <v/>
      </c>
      <c r="S40" s="367"/>
      <c r="T40" s="553"/>
      <c r="U40" s="368"/>
      <c r="V40" s="25"/>
      <c r="W40" s="25"/>
      <c r="X40" s="25"/>
    </row>
    <row r="41" spans="1:24" x14ac:dyDescent="0.25">
      <c r="A41" s="724">
        <v>5430</v>
      </c>
      <c r="B41" s="369" t="s">
        <v>1160</v>
      </c>
      <c r="C41" s="373">
        <v>1946.02</v>
      </c>
      <c r="D41" s="365">
        <v>2231.6999999999998</v>
      </c>
      <c r="E41" s="365">
        <v>1296.46</v>
      </c>
      <c r="F41" s="194"/>
      <c r="G41" s="194"/>
      <c r="H41" s="194"/>
      <c r="I41" s="194"/>
      <c r="J41" s="194"/>
      <c r="K41" s="194"/>
      <c r="L41" s="194"/>
      <c r="O41" s="372">
        <f t="shared" si="15"/>
        <v>3000</v>
      </c>
      <c r="P41" s="393">
        <f t="shared" si="16"/>
        <v>3000</v>
      </c>
      <c r="Q41" s="396">
        <f t="shared" si="13"/>
        <v>0</v>
      </c>
      <c r="R41" s="374" t="str">
        <f t="shared" si="14"/>
        <v/>
      </c>
      <c r="S41" s="367"/>
      <c r="T41" s="553"/>
      <c r="U41" s="368"/>
      <c r="V41" s="25"/>
      <c r="W41" s="25"/>
      <c r="X41" s="25"/>
    </row>
    <row r="42" spans="1:24" x14ac:dyDescent="0.25">
      <c r="A42" s="724">
        <v>5443</v>
      </c>
      <c r="B42" s="369" t="s">
        <v>1164</v>
      </c>
      <c r="C42" s="373">
        <v>601.75</v>
      </c>
      <c r="D42" s="365">
        <v>526.84</v>
      </c>
      <c r="E42" s="365">
        <v>1059.18</v>
      </c>
      <c r="F42" s="194"/>
      <c r="G42" s="194"/>
      <c r="H42" s="194"/>
      <c r="I42" s="194"/>
      <c r="J42" s="194"/>
      <c r="K42" s="194"/>
      <c r="L42" s="194"/>
      <c r="O42" s="372">
        <f t="shared" si="15"/>
        <v>4500</v>
      </c>
      <c r="P42" s="393">
        <f t="shared" si="16"/>
        <v>4500</v>
      </c>
      <c r="Q42" s="396">
        <f t="shared" si="13"/>
        <v>0</v>
      </c>
      <c r="R42" s="374" t="str">
        <f t="shared" si="14"/>
        <v/>
      </c>
      <c r="S42" s="367"/>
      <c r="T42" s="553"/>
      <c r="U42" s="368"/>
      <c r="V42" s="25"/>
      <c r="W42" s="25"/>
      <c r="X42" s="25"/>
    </row>
    <row r="43" spans="1:24" ht="13.8" thickBot="1" x14ac:dyDescent="0.3">
      <c r="A43" s="724">
        <v>5451</v>
      </c>
      <c r="B43" s="369" t="s">
        <v>1035</v>
      </c>
      <c r="C43" s="371">
        <v>5018.82</v>
      </c>
      <c r="D43" s="371">
        <v>5254.01</v>
      </c>
      <c r="E43" s="371">
        <v>5220.07</v>
      </c>
      <c r="F43" s="194"/>
      <c r="G43" s="194"/>
      <c r="H43" s="194"/>
      <c r="I43" s="194"/>
      <c r="J43" s="194"/>
      <c r="K43" s="194"/>
      <c r="L43" s="194"/>
      <c r="O43" s="372">
        <f>+Q21</f>
        <v>8500</v>
      </c>
      <c r="P43" s="393">
        <f>+S21</f>
        <v>8500</v>
      </c>
      <c r="Q43" s="396">
        <f t="shared" si="13"/>
        <v>0</v>
      </c>
      <c r="R43" s="374" t="str">
        <f t="shared" si="14"/>
        <v/>
      </c>
      <c r="S43" s="367"/>
      <c r="T43" s="553"/>
      <c r="U43" s="368"/>
      <c r="V43" s="25"/>
      <c r="W43" s="25"/>
      <c r="X43" s="25"/>
    </row>
    <row r="44" spans="1:24" x14ac:dyDescent="0.25">
      <c r="A44" s="703"/>
      <c r="B44" s="4"/>
      <c r="C44" s="23"/>
      <c r="D44" s="23"/>
      <c r="E44" s="23"/>
      <c r="F44" s="23"/>
      <c r="G44" s="23"/>
      <c r="H44" s="194"/>
      <c r="I44" s="194"/>
      <c r="J44" s="194"/>
      <c r="K44" s="194"/>
      <c r="L44" s="194"/>
      <c r="O44" s="23"/>
      <c r="P44" s="23"/>
      <c r="Q44" s="23"/>
      <c r="R44" s="4"/>
      <c r="S44" s="23"/>
      <c r="T44" s="23"/>
      <c r="U44" s="23"/>
      <c r="V44" s="4"/>
      <c r="W44" s="4"/>
      <c r="X44" s="4"/>
    </row>
    <row r="45" spans="1:24" x14ac:dyDescent="0.25">
      <c r="A45" s="703"/>
      <c r="B45" s="4" t="s">
        <v>735</v>
      </c>
      <c r="C45" s="23"/>
      <c r="D45" s="23"/>
      <c r="E45" s="23"/>
      <c r="F45" s="23"/>
      <c r="G45" s="23"/>
      <c r="H45" s="194"/>
      <c r="I45" s="194"/>
      <c r="J45" s="194"/>
      <c r="K45" s="194"/>
      <c r="L45" s="194"/>
      <c r="O45" s="597">
        <f>SUM(O34:O44)</f>
        <v>207458</v>
      </c>
      <c r="P45" s="597">
        <f>SUM(P34:P44)</f>
        <v>212794</v>
      </c>
      <c r="Q45" s="25">
        <f>+P45-O45</f>
        <v>5336</v>
      </c>
      <c r="R45" s="598">
        <f>IF(O45+P45&lt;&gt;0,IF(O45&lt;&gt;0,IF(Q45&lt;&gt;0,ROUND((+Q45/O45),4),""),1),"")</f>
        <v>2.5700000000000001E-2</v>
      </c>
      <c r="S45" s="23"/>
      <c r="T45" s="23"/>
      <c r="U45" s="23"/>
      <c r="V45" s="4"/>
      <c r="W45" s="4"/>
      <c r="X45" s="4"/>
    </row>
    <row r="46" spans="1:24" x14ac:dyDescent="0.25">
      <c r="A46" s="703"/>
      <c r="B46" s="4"/>
      <c r="C46" s="23"/>
      <c r="D46" s="23"/>
      <c r="E46" s="23"/>
      <c r="F46" s="23"/>
      <c r="G46" s="23"/>
      <c r="H46" s="23"/>
      <c r="I46" s="23"/>
      <c r="J46" s="23"/>
      <c r="K46" s="23"/>
      <c r="L46" s="23"/>
      <c r="M46" s="23"/>
      <c r="N46" s="23"/>
      <c r="O46" s="23"/>
      <c r="P46" s="23"/>
      <c r="Q46" s="23"/>
      <c r="R46" s="4"/>
      <c r="S46" s="23"/>
      <c r="T46" s="23"/>
      <c r="U46" s="23"/>
      <c r="V46" s="4"/>
      <c r="W46" s="4"/>
      <c r="X46" s="4"/>
    </row>
    <row r="47" spans="1:24" x14ac:dyDescent="0.25">
      <c r="A47" s="703"/>
      <c r="B47" s="4"/>
      <c r="C47" s="23"/>
      <c r="D47" s="23"/>
      <c r="E47" s="23"/>
      <c r="F47" s="23"/>
      <c r="G47" s="23"/>
      <c r="H47" s="23"/>
      <c r="I47" s="23"/>
      <c r="J47" s="23"/>
      <c r="K47" s="23"/>
      <c r="L47" s="23"/>
      <c r="M47" s="23"/>
      <c r="N47" s="23"/>
      <c r="O47" s="23"/>
      <c r="P47" s="23"/>
      <c r="Q47" s="23"/>
      <c r="R47" s="4"/>
      <c r="S47" s="23"/>
      <c r="T47" s="23"/>
      <c r="U47" s="23"/>
      <c r="V47" s="4"/>
      <c r="W47" s="4"/>
      <c r="X47" s="4"/>
    </row>
    <row r="48" spans="1:24" x14ac:dyDescent="0.25">
      <c r="A48" s="703"/>
      <c r="B48" s="4"/>
      <c r="C48" s="23"/>
      <c r="D48" s="23"/>
      <c r="E48" s="23"/>
      <c r="F48" s="23"/>
      <c r="G48" s="23"/>
      <c r="H48" s="23"/>
      <c r="I48" s="23"/>
      <c r="J48" s="23"/>
      <c r="K48" s="23"/>
      <c r="L48" s="23"/>
      <c r="M48" s="23"/>
      <c r="N48" s="23"/>
      <c r="O48" s="23"/>
      <c r="P48" s="23"/>
      <c r="Q48" s="23"/>
      <c r="R48" s="4"/>
      <c r="S48" s="23"/>
      <c r="T48" s="23"/>
      <c r="U48" s="23"/>
      <c r="V48" s="4"/>
      <c r="W48" s="4"/>
      <c r="X48" s="4"/>
    </row>
    <row r="49" spans="1:24" x14ac:dyDescent="0.25">
      <c r="A49" s="703"/>
      <c r="B49" s="4"/>
      <c r="C49" s="23"/>
      <c r="D49" s="23"/>
      <c r="E49" s="23"/>
      <c r="F49" s="23"/>
      <c r="G49" s="23"/>
      <c r="H49" s="23"/>
      <c r="I49" s="23"/>
      <c r="J49" s="23"/>
      <c r="K49" s="23"/>
      <c r="L49" s="23"/>
      <c r="M49" s="23"/>
      <c r="N49" s="23"/>
      <c r="O49" s="23"/>
      <c r="P49" s="23"/>
      <c r="Q49" s="23"/>
      <c r="R49" s="4"/>
      <c r="S49" s="23"/>
      <c r="T49" s="23"/>
      <c r="U49" s="23"/>
      <c r="V49" s="4"/>
      <c r="W49" s="4"/>
      <c r="X49" s="4"/>
    </row>
    <row r="50" spans="1:24" x14ac:dyDescent="0.25">
      <c r="A50" s="703"/>
      <c r="B50" s="4"/>
      <c r="C50" s="23"/>
      <c r="D50" s="23"/>
      <c r="E50" s="23"/>
      <c r="F50" s="23"/>
      <c r="G50" s="23"/>
      <c r="H50" s="23"/>
      <c r="I50" s="23"/>
      <c r="J50" s="23"/>
      <c r="K50" s="23"/>
      <c r="L50" s="23"/>
      <c r="M50" s="23"/>
      <c r="N50" s="23"/>
      <c r="O50" s="23"/>
      <c r="P50" s="23"/>
      <c r="Q50" s="23"/>
      <c r="R50" s="4"/>
      <c r="S50" s="23"/>
      <c r="T50" s="23"/>
      <c r="U50" s="23"/>
      <c r="V50" s="4"/>
      <c r="W50" s="4"/>
      <c r="X50" s="4"/>
    </row>
    <row r="51" spans="1:24" x14ac:dyDescent="0.25">
      <c r="A51" s="703"/>
      <c r="B51" s="4"/>
      <c r="C51" s="23"/>
      <c r="D51" s="23"/>
      <c r="E51" s="23"/>
      <c r="F51" s="23"/>
      <c r="G51" s="23"/>
      <c r="H51" s="23"/>
      <c r="I51" s="23"/>
      <c r="J51" s="23"/>
      <c r="K51" s="23"/>
      <c r="L51" s="23"/>
      <c r="M51" s="23"/>
      <c r="N51" s="23"/>
      <c r="O51" s="23"/>
      <c r="P51" s="23"/>
      <c r="Q51" s="23"/>
      <c r="R51" s="4"/>
      <c r="S51" s="23"/>
      <c r="T51" s="23"/>
      <c r="U51" s="23"/>
      <c r="V51" s="4"/>
      <c r="W51" s="4"/>
      <c r="X51" s="4"/>
    </row>
    <row r="52" spans="1:24" x14ac:dyDescent="0.25">
      <c r="A52" s="703"/>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5">
      <c r="A53" s="703"/>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5">
      <c r="A54" s="703"/>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5">
      <c r="A55" s="703"/>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5">
      <c r="A56" s="703"/>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5">
      <c r="A57" s="703"/>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5">
      <c r="A58" s="703"/>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5">
      <c r="A59" s="703"/>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5">
      <c r="A60" s="703"/>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5">
      <c r="A61" s="703"/>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5">
      <c r="A62" s="703"/>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5">
      <c r="A63" s="703"/>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5">
      <c r="A64" s="703"/>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5">
      <c r="A65" s="703"/>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5">
      <c r="A66" s="703"/>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5">
      <c r="A67" s="703"/>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5">
      <c r="A68" s="703"/>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5">
      <c r="A69" s="703"/>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5">
      <c r="A70" s="703"/>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5">
      <c r="A71" s="703"/>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5">
      <c r="A72" s="703"/>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5">
      <c r="A73" s="703"/>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C108" s="194"/>
      <c r="D108" s="194"/>
      <c r="E108" s="194"/>
      <c r="F108" s="194"/>
      <c r="G108" s="194"/>
      <c r="H108" s="194"/>
      <c r="I108" s="194"/>
      <c r="J108" s="194"/>
      <c r="K108" s="194"/>
      <c r="L108" s="194"/>
      <c r="M108" s="194"/>
      <c r="N108" s="194"/>
      <c r="O108" s="194"/>
      <c r="P108" s="194"/>
      <c r="Q108" s="194"/>
    </row>
    <row r="109" spans="1:24" x14ac:dyDescent="0.25">
      <c r="C109" s="194"/>
      <c r="D109" s="194"/>
      <c r="E109" s="194"/>
      <c r="F109" s="194"/>
      <c r="G109" s="194"/>
      <c r="H109" s="194"/>
      <c r="I109" s="194"/>
      <c r="J109" s="194"/>
      <c r="K109" s="194"/>
      <c r="L109" s="194"/>
      <c r="M109" s="194"/>
      <c r="N109" s="194"/>
      <c r="O109" s="194"/>
      <c r="P109" s="194"/>
      <c r="Q109" s="194"/>
    </row>
    <row r="110" spans="1:24" x14ac:dyDescent="0.25">
      <c r="C110" s="194"/>
      <c r="D110" s="194"/>
      <c r="E110" s="194"/>
      <c r="F110" s="194"/>
      <c r="G110" s="194"/>
      <c r="H110" s="194"/>
      <c r="I110" s="194"/>
      <c r="J110" s="194"/>
      <c r="K110" s="194"/>
      <c r="L110" s="194"/>
      <c r="M110" s="194"/>
      <c r="N110" s="194"/>
      <c r="O110" s="194"/>
      <c r="P110" s="194"/>
      <c r="Q110" s="194"/>
    </row>
    <row r="111" spans="1:24" x14ac:dyDescent="0.25">
      <c r="C111" s="194"/>
      <c r="D111" s="194"/>
      <c r="E111" s="194"/>
      <c r="F111" s="194"/>
      <c r="G111" s="194"/>
      <c r="H111" s="194"/>
      <c r="I111" s="194"/>
      <c r="J111" s="194"/>
      <c r="K111" s="194"/>
      <c r="L111" s="194"/>
      <c r="M111" s="194"/>
      <c r="N111" s="194"/>
      <c r="O111" s="194"/>
      <c r="P111" s="194"/>
      <c r="Q111" s="194"/>
    </row>
    <row r="112" spans="1:24" x14ac:dyDescent="0.25">
      <c r="C112" s="194"/>
      <c r="D112" s="194"/>
      <c r="E112" s="194"/>
      <c r="F112" s="194"/>
      <c r="G112" s="194"/>
      <c r="H112" s="194"/>
      <c r="I112" s="194"/>
      <c r="J112" s="194"/>
      <c r="K112" s="194"/>
      <c r="L112" s="194"/>
      <c r="M112" s="194"/>
      <c r="N112" s="194"/>
      <c r="O112" s="194"/>
      <c r="P112" s="194"/>
      <c r="Q112" s="194"/>
    </row>
    <row r="113" spans="3:17" x14ac:dyDescent="0.25">
      <c r="C113" s="194"/>
      <c r="D113" s="194"/>
      <c r="E113" s="194"/>
      <c r="F113" s="194"/>
      <c r="G113" s="194"/>
      <c r="H113" s="194"/>
      <c r="I113" s="194"/>
      <c r="J113" s="194"/>
      <c r="K113" s="194"/>
      <c r="L113" s="194"/>
      <c r="M113" s="194"/>
      <c r="N113" s="194"/>
      <c r="O113" s="194"/>
      <c r="P113" s="194"/>
      <c r="Q113" s="194"/>
    </row>
    <row r="114" spans="3:17" x14ac:dyDescent="0.25">
      <c r="C114" s="194"/>
      <c r="D114" s="194"/>
      <c r="E114" s="194"/>
      <c r="F114" s="194"/>
      <c r="G114" s="194"/>
      <c r="H114" s="194"/>
      <c r="I114" s="194"/>
      <c r="J114" s="194"/>
      <c r="K114" s="194"/>
      <c r="L114" s="194"/>
      <c r="M114" s="194"/>
      <c r="N114" s="194"/>
      <c r="O114" s="194"/>
      <c r="P114" s="194"/>
      <c r="Q114" s="194"/>
    </row>
    <row r="115" spans="3:17" x14ac:dyDescent="0.25">
      <c r="C115" s="194"/>
    </row>
    <row r="116" spans="3:17" x14ac:dyDescent="0.25">
      <c r="C116" s="194"/>
    </row>
    <row r="117" spans="3:17" x14ac:dyDescent="0.25">
      <c r="C117" s="194"/>
    </row>
    <row r="118" spans="3:17" x14ac:dyDescent="0.25">
      <c r="C118" s="194"/>
    </row>
    <row r="119" spans="3:17" x14ac:dyDescent="0.25">
      <c r="C119" s="194"/>
    </row>
    <row r="120" spans="3:17" x14ac:dyDescent="0.25">
      <c r="C120" s="194"/>
    </row>
    <row r="121" spans="3:17" x14ac:dyDescent="0.25">
      <c r="C121" s="194"/>
    </row>
    <row r="122" spans="3:17" x14ac:dyDescent="0.25">
      <c r="C122" s="194"/>
    </row>
    <row r="123" spans="3:17" x14ac:dyDescent="0.25">
      <c r="C123" s="194"/>
    </row>
    <row r="124" spans="3:17" x14ac:dyDescent="0.25">
      <c r="C124" s="194"/>
    </row>
    <row r="125" spans="3:17" x14ac:dyDescent="0.25">
      <c r="C125" s="194"/>
    </row>
    <row r="126" spans="3:17" x14ac:dyDescent="0.25">
      <c r="C126" s="194"/>
    </row>
    <row r="127" spans="3:17" x14ac:dyDescent="0.25">
      <c r="C127" s="194"/>
    </row>
    <row r="128" spans="3:17" x14ac:dyDescent="0.25">
      <c r="C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sheetData>
  <phoneticPr fontId="0" type="noConversion"/>
  <hyperlinks>
    <hyperlink ref="A1" location="'420 DPW'!A1" display="Main 440" xr:uid="{00000000-0004-0000-2300-000000000000}"/>
    <hyperlink ref="B1" location="'Table of Contents'!A1" display="TOC" xr:uid="{00000000-0004-0000-2300-000001000000}"/>
  </hyperlinks>
  <pageMargins left="0.75" right="0.75" top="1" bottom="1" header="0.5" footer="0.5"/>
  <pageSetup scale="92" fitToHeight="2" orientation="landscape" r:id="rId1"/>
  <headerFooter alignWithMargins="0">
    <oddFooter>&amp;L&amp;D&amp;T&amp;C&amp;F&amp;R&amp;A</oddFooter>
  </headerFooter>
  <rowBreaks count="1" manualBreakCount="1">
    <brk id="29"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J285"/>
  <sheetViews>
    <sheetView topLeftCell="A104" workbookViewId="0">
      <selection activeCell="C115" sqref="C115"/>
    </sheetView>
  </sheetViews>
  <sheetFormatPr defaultRowHeight="13.2" x14ac:dyDescent="0.25"/>
  <cols>
    <col min="1" max="1" width="8.77734375" style="600"/>
    <col min="2" max="2" width="12" style="821" customWidth="1"/>
    <col min="3" max="3" width="31.77734375" style="600" customWidth="1"/>
    <col min="4" max="4" width="11.44140625" style="600" customWidth="1"/>
    <col min="5" max="6" width="8.77734375" style="600"/>
    <col min="7" max="7" width="10.44140625" style="600" bestFit="1" customWidth="1"/>
    <col min="8" max="8" width="11" style="600" customWidth="1"/>
    <col min="9" max="9" width="13" style="600" bestFit="1" customWidth="1"/>
    <col min="10" max="10" width="12" style="600" customWidth="1"/>
    <col min="11" max="11" width="11.77734375" customWidth="1"/>
    <col min="12" max="12" width="10.44140625" bestFit="1" customWidth="1"/>
  </cols>
  <sheetData>
    <row r="1" spans="2:4" x14ac:dyDescent="0.25">
      <c r="B1" s="842" t="s">
        <v>194</v>
      </c>
    </row>
    <row r="2" spans="2:4" x14ac:dyDescent="0.25">
      <c r="C2" s="821"/>
      <c r="D2" s="841"/>
    </row>
    <row r="3" spans="2:4" x14ac:dyDescent="0.25">
      <c r="B3" s="821">
        <v>45084</v>
      </c>
      <c r="C3" s="600" t="s">
        <v>2031</v>
      </c>
      <c r="D3" s="841"/>
    </row>
    <row r="4" spans="2:4" x14ac:dyDescent="0.25">
      <c r="B4" s="821">
        <v>45084</v>
      </c>
      <c r="C4" s="821" t="s">
        <v>2033</v>
      </c>
      <c r="D4" s="841"/>
    </row>
    <row r="5" spans="2:4" x14ac:dyDescent="0.25">
      <c r="B5" s="821">
        <v>45084</v>
      </c>
      <c r="C5" s="821" t="s">
        <v>2034</v>
      </c>
      <c r="D5" s="841"/>
    </row>
    <row r="6" spans="2:4" x14ac:dyDescent="0.25">
      <c r="B6" s="821">
        <v>45084</v>
      </c>
      <c r="C6" s="600" t="s">
        <v>2035</v>
      </c>
    </row>
    <row r="7" spans="2:4" x14ac:dyDescent="0.25">
      <c r="B7" s="821">
        <v>45084</v>
      </c>
      <c r="C7" s="821" t="s">
        <v>2036</v>
      </c>
    </row>
    <row r="8" spans="2:4" x14ac:dyDescent="0.25">
      <c r="B8" s="821">
        <v>45084</v>
      </c>
      <c r="C8" s="600" t="s">
        <v>2041</v>
      </c>
    </row>
    <row r="9" spans="2:4" x14ac:dyDescent="0.25">
      <c r="B9" s="821">
        <v>45084</v>
      </c>
      <c r="C9" s="600" t="s">
        <v>2040</v>
      </c>
    </row>
    <row r="10" spans="2:4" x14ac:dyDescent="0.25">
      <c r="B10" s="821">
        <v>45084</v>
      </c>
      <c r="C10" s="600" t="s">
        <v>2039</v>
      </c>
    </row>
    <row r="11" spans="2:4" x14ac:dyDescent="0.25">
      <c r="B11" s="821">
        <v>45084</v>
      </c>
      <c r="C11" s="600" t="s">
        <v>2043</v>
      </c>
    </row>
    <row r="12" spans="2:4" x14ac:dyDescent="0.25">
      <c r="B12" s="821">
        <v>45084</v>
      </c>
      <c r="C12" s="600" t="s">
        <v>2055</v>
      </c>
    </row>
    <row r="13" spans="2:4" x14ac:dyDescent="0.25">
      <c r="C13" s="600" t="s">
        <v>195</v>
      </c>
    </row>
    <row r="14" spans="2:4" x14ac:dyDescent="0.25">
      <c r="B14" s="821">
        <v>45148</v>
      </c>
      <c r="C14" s="600" t="s">
        <v>2100</v>
      </c>
    </row>
    <row r="15" spans="2:4" x14ac:dyDescent="0.25">
      <c r="B15" s="821">
        <v>45148</v>
      </c>
      <c r="C15" s="600" t="s">
        <v>2077</v>
      </c>
    </row>
    <row r="16" spans="2:4" x14ac:dyDescent="0.25">
      <c r="B16" s="821">
        <v>45148</v>
      </c>
      <c r="C16" s="600" t="s">
        <v>2084</v>
      </c>
    </row>
    <row r="17" spans="2:9" x14ac:dyDescent="0.25">
      <c r="B17" s="821">
        <v>45148</v>
      </c>
      <c r="C17" s="600" t="s">
        <v>2085</v>
      </c>
    </row>
    <row r="18" spans="2:9" x14ac:dyDescent="0.25">
      <c r="B18" s="821">
        <v>45153</v>
      </c>
      <c r="C18" s="600" t="s">
        <v>2087</v>
      </c>
    </row>
    <row r="19" spans="2:9" x14ac:dyDescent="0.25">
      <c r="B19" s="821">
        <v>45153</v>
      </c>
      <c r="C19" s="600" t="s">
        <v>196</v>
      </c>
    </row>
    <row r="20" spans="2:9" x14ac:dyDescent="0.25">
      <c r="B20" s="821">
        <v>45153</v>
      </c>
      <c r="C20" s="600" t="s">
        <v>198</v>
      </c>
    </row>
    <row r="21" spans="2:9" x14ac:dyDescent="0.25">
      <c r="D21" s="600" t="s">
        <v>2101</v>
      </c>
      <c r="G21" s="600" t="s">
        <v>199</v>
      </c>
      <c r="H21" s="600" t="s">
        <v>200</v>
      </c>
      <c r="I21" s="600" t="s">
        <v>201</v>
      </c>
    </row>
    <row r="22" spans="2:9" x14ac:dyDescent="0.25">
      <c r="D22" s="600" t="s">
        <v>2102</v>
      </c>
      <c r="G22" s="843">
        <v>0</v>
      </c>
      <c r="H22" s="843">
        <v>0</v>
      </c>
      <c r="I22" s="843">
        <v>0</v>
      </c>
    </row>
    <row r="23" spans="2:9" x14ac:dyDescent="0.25">
      <c r="D23" s="600" t="s">
        <v>2103</v>
      </c>
      <c r="G23" s="843">
        <v>8.5</v>
      </c>
      <c r="H23" s="843">
        <v>10</v>
      </c>
      <c r="I23" s="843">
        <v>7</v>
      </c>
    </row>
    <row r="24" spans="2:9" x14ac:dyDescent="0.25">
      <c r="D24" s="600" t="s">
        <v>2104</v>
      </c>
    </row>
    <row r="25" spans="2:9" x14ac:dyDescent="0.25">
      <c r="D25" s="600" t="s">
        <v>2105</v>
      </c>
    </row>
    <row r="26" spans="2:9" x14ac:dyDescent="0.25">
      <c r="D26" s="600" t="s">
        <v>202</v>
      </c>
      <c r="E26" s="843">
        <f>(35*52)+7</f>
        <v>1827</v>
      </c>
    </row>
    <row r="27" spans="2:9" x14ac:dyDescent="0.25">
      <c r="D27" s="600" t="s">
        <v>203</v>
      </c>
      <c r="E27" s="843">
        <f>(52*35)+8.5</f>
        <v>1828.5</v>
      </c>
    </row>
    <row r="28" spans="2:9" x14ac:dyDescent="0.25">
      <c r="D28" s="600" t="s">
        <v>204</v>
      </c>
      <c r="E28" s="843">
        <f>(40*52)+8</f>
        <v>2088</v>
      </c>
    </row>
    <row r="29" spans="2:9" x14ac:dyDescent="0.25">
      <c r="D29" s="600" t="s">
        <v>205</v>
      </c>
      <c r="E29" s="843">
        <f>(40*52)+10</f>
        <v>2090</v>
      </c>
    </row>
    <row r="30" spans="2:9" x14ac:dyDescent="0.25">
      <c r="D30" s="600" t="s">
        <v>206</v>
      </c>
      <c r="E30" s="843" t="s">
        <v>207</v>
      </c>
    </row>
    <row r="31" spans="2:9" x14ac:dyDescent="0.25">
      <c r="D31" s="600" t="s">
        <v>208</v>
      </c>
      <c r="E31" s="843">
        <v>1975</v>
      </c>
      <c r="F31" s="600" t="s">
        <v>209</v>
      </c>
    </row>
    <row r="33" spans="2:6" x14ac:dyDescent="0.25">
      <c r="B33" s="821">
        <v>45153</v>
      </c>
      <c r="C33" s="600" t="s">
        <v>2107</v>
      </c>
    </row>
    <row r="34" spans="2:6" x14ac:dyDescent="0.25">
      <c r="B34" s="821">
        <v>45153</v>
      </c>
      <c r="C34" s="600" t="s">
        <v>197</v>
      </c>
    </row>
    <row r="35" spans="2:6" x14ac:dyDescent="0.25">
      <c r="B35" s="821">
        <v>45160</v>
      </c>
      <c r="C35" s="600" t="s">
        <v>2157</v>
      </c>
    </row>
    <row r="36" spans="2:6" x14ac:dyDescent="0.25">
      <c r="B36" s="821">
        <v>45167</v>
      </c>
      <c r="C36" s="600" t="s">
        <v>2160</v>
      </c>
    </row>
    <row r="37" spans="2:6" x14ac:dyDescent="0.25">
      <c r="B37" s="821">
        <v>44825</v>
      </c>
      <c r="C37" s="600" t="s">
        <v>2108</v>
      </c>
    </row>
    <row r="38" spans="2:6" x14ac:dyDescent="0.25">
      <c r="B38" s="821">
        <v>45215</v>
      </c>
      <c r="C38" s="600" t="s">
        <v>2178</v>
      </c>
    </row>
    <row r="39" spans="2:6" x14ac:dyDescent="0.25">
      <c r="B39" s="821">
        <v>45215</v>
      </c>
      <c r="C39" s="600" t="s">
        <v>2179</v>
      </c>
    </row>
    <row r="40" spans="2:6" x14ac:dyDescent="0.25">
      <c r="B40" s="821">
        <v>45215</v>
      </c>
      <c r="C40" s="600" t="s">
        <v>2180</v>
      </c>
    </row>
    <row r="41" spans="2:6" x14ac:dyDescent="0.25">
      <c r="B41" s="821">
        <v>45215</v>
      </c>
      <c r="C41" s="600" t="s">
        <v>2184</v>
      </c>
    </row>
    <row r="42" spans="2:6" x14ac:dyDescent="0.25">
      <c r="B42" s="821">
        <v>45216</v>
      </c>
      <c r="C42" s="600" t="s">
        <v>2225</v>
      </c>
    </row>
    <row r="43" spans="2:6" x14ac:dyDescent="0.25">
      <c r="B43" s="821">
        <v>45216</v>
      </c>
      <c r="C43" s="600" t="s">
        <v>2185</v>
      </c>
    </row>
    <row r="44" spans="2:6" x14ac:dyDescent="0.25">
      <c r="B44" s="821">
        <v>45216</v>
      </c>
      <c r="C44" s="600" t="s">
        <v>2186</v>
      </c>
    </row>
    <row r="45" spans="2:6" x14ac:dyDescent="0.25">
      <c r="B45" s="821">
        <v>45216</v>
      </c>
      <c r="C45" s="844" t="s">
        <v>2204</v>
      </c>
      <c r="F45" s="821"/>
    </row>
    <row r="46" spans="2:6" x14ac:dyDescent="0.25">
      <c r="B46" s="821">
        <v>45216</v>
      </c>
      <c r="C46" s="844" t="s">
        <v>2205</v>
      </c>
      <c r="F46" s="821"/>
    </row>
    <row r="47" spans="2:6" x14ac:dyDescent="0.25">
      <c r="B47" s="821">
        <v>45216</v>
      </c>
      <c r="C47" s="844" t="s">
        <v>2224</v>
      </c>
      <c r="F47" s="821"/>
    </row>
    <row r="48" spans="2:6" x14ac:dyDescent="0.25">
      <c r="C48" s="844" t="s">
        <v>2282</v>
      </c>
      <c r="F48" s="821"/>
    </row>
    <row r="49" spans="2:6" x14ac:dyDescent="0.25">
      <c r="C49" s="844" t="s">
        <v>2244</v>
      </c>
      <c r="F49" s="821"/>
    </row>
    <row r="50" spans="2:6" x14ac:dyDescent="0.25">
      <c r="B50" s="821">
        <v>45217</v>
      </c>
      <c r="C50" s="844" t="s">
        <v>2257</v>
      </c>
      <c r="F50" s="821"/>
    </row>
    <row r="51" spans="2:6" x14ac:dyDescent="0.25">
      <c r="B51" s="821">
        <v>45218</v>
      </c>
      <c r="C51" s="844" t="s">
        <v>2258</v>
      </c>
      <c r="F51" s="821"/>
    </row>
    <row r="52" spans="2:6" x14ac:dyDescent="0.25">
      <c r="B52" s="821">
        <v>45224</v>
      </c>
      <c r="C52" s="844" t="s">
        <v>2283</v>
      </c>
      <c r="F52" s="821"/>
    </row>
    <row r="53" spans="2:6" x14ac:dyDescent="0.25">
      <c r="B53" s="821">
        <v>45225</v>
      </c>
      <c r="C53" s="844" t="s">
        <v>2284</v>
      </c>
      <c r="F53" s="821"/>
    </row>
    <row r="54" spans="2:6" x14ac:dyDescent="0.25">
      <c r="B54" s="821">
        <v>45232</v>
      </c>
      <c r="C54" s="844" t="s">
        <v>2286</v>
      </c>
      <c r="F54" s="821"/>
    </row>
    <row r="55" spans="2:6" x14ac:dyDescent="0.25">
      <c r="B55" s="821">
        <v>45257</v>
      </c>
      <c r="C55" s="844" t="s">
        <v>2293</v>
      </c>
      <c r="F55" s="821"/>
    </row>
    <row r="56" spans="2:6" x14ac:dyDescent="0.25">
      <c r="B56" s="821">
        <v>45259</v>
      </c>
      <c r="C56" s="844" t="s">
        <v>2312</v>
      </c>
      <c r="F56" s="821"/>
    </row>
    <row r="57" spans="2:6" x14ac:dyDescent="0.25">
      <c r="B57" s="821">
        <v>45260</v>
      </c>
      <c r="C57" s="844" t="s">
        <v>2327</v>
      </c>
      <c r="F57" s="821"/>
    </row>
    <row r="58" spans="2:6" x14ac:dyDescent="0.25">
      <c r="B58" s="821">
        <v>45271</v>
      </c>
      <c r="C58" s="844" t="s">
        <v>2431</v>
      </c>
      <c r="F58" s="821"/>
    </row>
    <row r="59" spans="2:6" x14ac:dyDescent="0.25">
      <c r="B59" s="821">
        <v>45272</v>
      </c>
      <c r="C59" s="844" t="s">
        <v>2502</v>
      </c>
      <c r="F59" s="821"/>
    </row>
    <row r="60" spans="2:6" x14ac:dyDescent="0.25">
      <c r="B60" s="821">
        <v>45274</v>
      </c>
      <c r="C60" s="844" t="s">
        <v>2501</v>
      </c>
      <c r="F60" s="821"/>
    </row>
    <row r="61" spans="2:6" x14ac:dyDescent="0.25">
      <c r="B61" s="821">
        <v>45287</v>
      </c>
      <c r="C61" s="844" t="s">
        <v>2504</v>
      </c>
      <c r="F61" s="821"/>
    </row>
    <row r="62" spans="2:6" x14ac:dyDescent="0.25">
      <c r="C62" s="844" t="s">
        <v>2503</v>
      </c>
      <c r="F62" s="821"/>
    </row>
    <row r="63" spans="2:6" x14ac:dyDescent="0.25">
      <c r="C63" s="844" t="s">
        <v>1949</v>
      </c>
      <c r="F63" s="821"/>
    </row>
    <row r="64" spans="2:6" x14ac:dyDescent="0.25">
      <c r="C64" s="844" t="s">
        <v>2508</v>
      </c>
      <c r="F64" s="821"/>
    </row>
    <row r="65" spans="2:6" x14ac:dyDescent="0.25">
      <c r="C65" s="844" t="s">
        <v>2522</v>
      </c>
      <c r="F65" s="821"/>
    </row>
    <row r="66" spans="2:6" x14ac:dyDescent="0.25">
      <c r="B66" s="821">
        <v>45294</v>
      </c>
      <c r="C66" s="844" t="s">
        <v>2525</v>
      </c>
      <c r="F66" s="821"/>
    </row>
    <row r="67" spans="2:6" x14ac:dyDescent="0.25">
      <c r="B67" s="821">
        <v>45294</v>
      </c>
      <c r="C67" s="844" t="s">
        <v>2524</v>
      </c>
      <c r="F67" s="821"/>
    </row>
    <row r="68" spans="2:6" x14ac:dyDescent="0.25">
      <c r="B68" s="821">
        <v>45295</v>
      </c>
      <c r="C68" s="844" t="s">
        <v>2526</v>
      </c>
      <c r="F68" s="821"/>
    </row>
    <row r="69" spans="2:6" x14ac:dyDescent="0.25">
      <c r="B69" s="821">
        <v>45299</v>
      </c>
      <c r="C69" s="844" t="s">
        <v>2528</v>
      </c>
      <c r="F69" s="821"/>
    </row>
    <row r="70" spans="2:6" x14ac:dyDescent="0.25">
      <c r="C70" s="844" t="s">
        <v>2529</v>
      </c>
      <c r="F70" s="821"/>
    </row>
    <row r="71" spans="2:6" x14ac:dyDescent="0.25">
      <c r="C71" s="844" t="s">
        <v>2532</v>
      </c>
      <c r="F71" s="821"/>
    </row>
    <row r="72" spans="2:6" x14ac:dyDescent="0.25">
      <c r="B72" s="821">
        <v>45300</v>
      </c>
      <c r="C72" s="844" t="s">
        <v>2533</v>
      </c>
      <c r="F72" s="821"/>
    </row>
    <row r="73" spans="2:6" x14ac:dyDescent="0.25">
      <c r="C73" s="844" t="s">
        <v>2536</v>
      </c>
      <c r="F73" s="821"/>
    </row>
    <row r="74" spans="2:6" x14ac:dyDescent="0.25">
      <c r="B74" s="821">
        <v>45302</v>
      </c>
      <c r="C74" s="844" t="s">
        <v>2537</v>
      </c>
      <c r="F74" s="821"/>
    </row>
    <row r="75" spans="2:6" x14ac:dyDescent="0.25">
      <c r="C75" s="600" t="s">
        <v>2538</v>
      </c>
      <c r="F75" s="821"/>
    </row>
    <row r="76" spans="2:6" x14ac:dyDescent="0.25">
      <c r="C76" s="600" t="s">
        <v>2539</v>
      </c>
      <c r="F76" s="821"/>
    </row>
    <row r="77" spans="2:6" x14ac:dyDescent="0.25">
      <c r="B77" s="821">
        <v>45308</v>
      </c>
      <c r="C77" s="600" t="s">
        <v>2543</v>
      </c>
      <c r="F77" s="821"/>
    </row>
    <row r="78" spans="2:6" x14ac:dyDescent="0.25">
      <c r="C78" s="600" t="s">
        <v>2545</v>
      </c>
      <c r="F78" s="821"/>
    </row>
    <row r="79" spans="2:6" x14ac:dyDescent="0.25">
      <c r="C79" s="844" t="s">
        <v>2548</v>
      </c>
      <c r="F79" s="821"/>
    </row>
    <row r="80" spans="2:6" x14ac:dyDescent="0.25">
      <c r="C80" s="600" t="s">
        <v>2550</v>
      </c>
      <c r="F80" s="821"/>
    </row>
    <row r="81" spans="2:6" x14ac:dyDescent="0.25">
      <c r="B81" s="821">
        <v>45313</v>
      </c>
      <c r="C81" s="600" t="s">
        <v>2553</v>
      </c>
      <c r="F81" s="821"/>
    </row>
    <row r="82" spans="2:6" x14ac:dyDescent="0.25">
      <c r="C82" s="600" t="s">
        <v>2554</v>
      </c>
      <c r="F82" s="821"/>
    </row>
    <row r="83" spans="2:6" x14ac:dyDescent="0.25">
      <c r="C83" s="600" t="s">
        <v>2555</v>
      </c>
      <c r="F83" s="821"/>
    </row>
    <row r="84" spans="2:6" x14ac:dyDescent="0.25">
      <c r="B84" s="821">
        <v>45314</v>
      </c>
      <c r="C84" s="600" t="s">
        <v>2557</v>
      </c>
      <c r="F84" s="821"/>
    </row>
    <row r="85" spans="2:6" x14ac:dyDescent="0.25">
      <c r="B85" s="821">
        <v>45316</v>
      </c>
      <c r="C85" s="600" t="s">
        <v>2567</v>
      </c>
      <c r="F85" s="821"/>
    </row>
    <row r="86" spans="2:6" x14ac:dyDescent="0.25">
      <c r="C86" s="600" t="s">
        <v>2570</v>
      </c>
      <c r="F86" s="821"/>
    </row>
    <row r="87" spans="2:6" x14ac:dyDescent="0.25">
      <c r="C87" s="844" t="s">
        <v>2571</v>
      </c>
      <c r="F87" s="821"/>
    </row>
    <row r="88" spans="2:6" x14ac:dyDescent="0.25">
      <c r="C88" s="844" t="s">
        <v>2568</v>
      </c>
      <c r="F88" s="821"/>
    </row>
    <row r="89" spans="2:6" x14ac:dyDescent="0.25">
      <c r="C89" s="844" t="s">
        <v>2569</v>
      </c>
      <c r="F89" s="821"/>
    </row>
    <row r="90" spans="2:6" x14ac:dyDescent="0.25">
      <c r="B90" s="821">
        <v>45320</v>
      </c>
      <c r="C90" s="844" t="s">
        <v>2572</v>
      </c>
      <c r="F90" s="821"/>
    </row>
    <row r="91" spans="2:6" x14ac:dyDescent="0.25">
      <c r="C91" s="844" t="s">
        <v>2573</v>
      </c>
      <c r="F91" s="821"/>
    </row>
    <row r="92" spans="2:6" x14ac:dyDescent="0.25">
      <c r="B92" s="821">
        <v>45322</v>
      </c>
      <c r="C92" s="844" t="s">
        <v>2577</v>
      </c>
      <c r="F92" s="821"/>
    </row>
    <row r="93" spans="2:6" x14ac:dyDescent="0.25">
      <c r="B93" s="821">
        <v>45327</v>
      </c>
      <c r="C93" s="844" t="s">
        <v>2581</v>
      </c>
      <c r="F93" s="821"/>
    </row>
    <row r="94" spans="2:6" x14ac:dyDescent="0.25">
      <c r="C94" s="844" t="s">
        <v>2584</v>
      </c>
      <c r="F94" s="821"/>
    </row>
    <row r="95" spans="2:6" x14ac:dyDescent="0.25">
      <c r="C95" s="844" t="s">
        <v>2582</v>
      </c>
      <c r="F95" s="821"/>
    </row>
    <row r="96" spans="2:6" x14ac:dyDescent="0.25">
      <c r="B96" s="821">
        <v>45328</v>
      </c>
      <c r="C96" s="844" t="s">
        <v>2583</v>
      </c>
      <c r="F96" s="821"/>
    </row>
    <row r="97" spans="2:6" x14ac:dyDescent="0.25">
      <c r="B97" s="821">
        <v>45329</v>
      </c>
      <c r="C97" s="844" t="s">
        <v>2593</v>
      </c>
      <c r="F97" s="821"/>
    </row>
    <row r="98" spans="2:6" x14ac:dyDescent="0.25">
      <c r="C98" s="844" t="s">
        <v>2596</v>
      </c>
      <c r="F98" s="821"/>
    </row>
    <row r="99" spans="2:6" x14ac:dyDescent="0.25">
      <c r="B99" s="821">
        <v>45335</v>
      </c>
      <c r="C99" s="844" t="s">
        <v>2597</v>
      </c>
      <c r="F99" s="821"/>
    </row>
    <row r="100" spans="2:6" x14ac:dyDescent="0.25">
      <c r="C100" s="844" t="s">
        <v>2599</v>
      </c>
      <c r="F100" s="821"/>
    </row>
    <row r="101" spans="2:6" x14ac:dyDescent="0.25">
      <c r="C101" s="844" t="s">
        <v>2600</v>
      </c>
      <c r="F101" s="821"/>
    </row>
    <row r="102" spans="2:6" x14ac:dyDescent="0.25">
      <c r="C102" s="844" t="s">
        <v>2602</v>
      </c>
      <c r="F102" s="821"/>
    </row>
    <row r="103" spans="2:6" x14ac:dyDescent="0.25">
      <c r="C103" s="844" t="s">
        <v>2604</v>
      </c>
      <c r="F103" s="821"/>
    </row>
    <row r="104" spans="2:6" x14ac:dyDescent="0.25">
      <c r="C104" s="844" t="s">
        <v>2609</v>
      </c>
      <c r="F104" s="821"/>
    </row>
    <row r="105" spans="2:6" x14ac:dyDescent="0.25">
      <c r="B105" s="821">
        <v>45337</v>
      </c>
      <c r="C105" s="844" t="s">
        <v>2627</v>
      </c>
      <c r="F105" s="821"/>
    </row>
    <row r="106" spans="2:6" x14ac:dyDescent="0.25">
      <c r="B106" s="821">
        <v>45344</v>
      </c>
      <c r="C106" s="844" t="s">
        <v>2631</v>
      </c>
      <c r="F106" s="821"/>
    </row>
    <row r="107" spans="2:6" x14ac:dyDescent="0.25">
      <c r="C107" s="844" t="s">
        <v>2632</v>
      </c>
      <c r="F107" s="821"/>
    </row>
    <row r="108" spans="2:6" x14ac:dyDescent="0.25">
      <c r="B108" s="63">
        <v>45355</v>
      </c>
      <c r="C108" s="4" t="s">
        <v>2635</v>
      </c>
      <c r="F108" s="821"/>
    </row>
    <row r="109" spans="2:6" x14ac:dyDescent="0.25">
      <c r="B109" s="821">
        <v>45363</v>
      </c>
      <c r="C109" s="844" t="s">
        <v>2638</v>
      </c>
      <c r="F109" s="821"/>
    </row>
    <row r="110" spans="2:6" x14ac:dyDescent="0.25">
      <c r="C110" s="844" t="s">
        <v>2639</v>
      </c>
      <c r="F110" s="821"/>
    </row>
    <row r="111" spans="2:6" x14ac:dyDescent="0.25">
      <c r="C111" s="844" t="s">
        <v>2640</v>
      </c>
      <c r="F111" s="821"/>
    </row>
    <row r="112" spans="2:6" x14ac:dyDescent="0.25">
      <c r="B112" s="821">
        <v>45365</v>
      </c>
      <c r="C112" s="844" t="s">
        <v>2659</v>
      </c>
      <c r="F112" s="821"/>
    </row>
    <row r="113" spans="2:6" x14ac:dyDescent="0.25">
      <c r="B113" s="821">
        <v>45371</v>
      </c>
      <c r="C113" s="844" t="s">
        <v>2668</v>
      </c>
      <c r="F113" s="821"/>
    </row>
    <row r="114" spans="2:6" x14ac:dyDescent="0.25">
      <c r="B114" s="821">
        <v>45372</v>
      </c>
      <c r="C114" s="844" t="s">
        <v>2669</v>
      </c>
      <c r="F114" s="821"/>
    </row>
    <row r="115" spans="2:6" x14ac:dyDescent="0.25">
      <c r="C115" s="844"/>
      <c r="F115" s="821"/>
    </row>
    <row r="116" spans="2:6" x14ac:dyDescent="0.25">
      <c r="C116" s="844" t="s">
        <v>2594</v>
      </c>
      <c r="F116" s="821"/>
    </row>
    <row r="117" spans="2:6" x14ac:dyDescent="0.25">
      <c r="C117" s="844" t="s">
        <v>2595</v>
      </c>
      <c r="F117" s="821"/>
    </row>
    <row r="118" spans="2:6" x14ac:dyDescent="0.25">
      <c r="C118" s="844" t="s">
        <v>2667</v>
      </c>
      <c r="F118" s="821"/>
    </row>
    <row r="119" spans="2:6" x14ac:dyDescent="0.25">
      <c r="C119" s="844"/>
      <c r="F119" s="821"/>
    </row>
    <row r="120" spans="2:6" x14ac:dyDescent="0.25">
      <c r="C120" s="844"/>
      <c r="F120" s="821"/>
    </row>
    <row r="121" spans="2:6" x14ac:dyDescent="0.25">
      <c r="B121" s="54"/>
      <c r="C121" s="4"/>
      <c r="F121" s="821"/>
    </row>
    <row r="122" spans="2:6" x14ac:dyDescent="0.25">
      <c r="B122" s="54"/>
      <c r="C122" s="4"/>
      <c r="F122" s="821"/>
    </row>
    <row r="123" spans="2:6" x14ac:dyDescent="0.25">
      <c r="B123" s="54"/>
      <c r="C123" s="4"/>
      <c r="F123" s="821"/>
    </row>
    <row r="124" spans="2:6" x14ac:dyDescent="0.25">
      <c r="B124" s="54"/>
      <c r="C124" s="4"/>
      <c r="F124" s="821"/>
    </row>
    <row r="125" spans="2:6" x14ac:dyDescent="0.25">
      <c r="B125" s="54"/>
      <c r="C125" s="4"/>
      <c r="F125" s="821"/>
    </row>
    <row r="126" spans="2:6" x14ac:dyDescent="0.25">
      <c r="B126" s="54"/>
      <c r="C126" s="4"/>
      <c r="F126" s="821"/>
    </row>
    <row r="127" spans="2:6" x14ac:dyDescent="0.25">
      <c r="C127" s="4"/>
      <c r="F127" s="821"/>
    </row>
    <row r="128" spans="2:6" x14ac:dyDescent="0.25">
      <c r="C128" s="4"/>
      <c r="F128" s="821"/>
    </row>
    <row r="129" spans="2:6" x14ac:dyDescent="0.25">
      <c r="C129" s="4"/>
      <c r="F129" s="821"/>
    </row>
    <row r="130" spans="2:6" x14ac:dyDescent="0.25">
      <c r="C130" s="4"/>
      <c r="F130" s="821"/>
    </row>
    <row r="131" spans="2:6" x14ac:dyDescent="0.25">
      <c r="C131" s="4"/>
      <c r="F131" s="821"/>
    </row>
    <row r="132" spans="2:6" x14ac:dyDescent="0.25">
      <c r="C132" s="4"/>
      <c r="F132" s="821"/>
    </row>
    <row r="133" spans="2:6" x14ac:dyDescent="0.25">
      <c r="C133" s="4"/>
      <c r="F133" s="821"/>
    </row>
    <row r="134" spans="2:6" x14ac:dyDescent="0.25">
      <c r="C134" s="4"/>
      <c r="F134" s="821"/>
    </row>
    <row r="135" spans="2:6" x14ac:dyDescent="0.25">
      <c r="C135" s="4"/>
      <c r="F135" s="821"/>
    </row>
    <row r="136" spans="2:6" x14ac:dyDescent="0.25">
      <c r="C136" s="4"/>
      <c r="F136" s="821"/>
    </row>
    <row r="137" spans="2:6" x14ac:dyDescent="0.25">
      <c r="C137" s="4"/>
      <c r="F137" s="821"/>
    </row>
    <row r="138" spans="2:6" x14ac:dyDescent="0.25">
      <c r="C138" s="4"/>
      <c r="F138" s="821"/>
    </row>
    <row r="139" spans="2:6" x14ac:dyDescent="0.25">
      <c r="C139" s="4"/>
      <c r="F139" s="821"/>
    </row>
    <row r="140" spans="2:6" x14ac:dyDescent="0.25">
      <c r="C140" s="4"/>
      <c r="F140" s="821"/>
    </row>
    <row r="141" spans="2:6" x14ac:dyDescent="0.25">
      <c r="B141" s="935"/>
      <c r="C141" s="4" t="s">
        <v>210</v>
      </c>
      <c r="F141" s="821"/>
    </row>
    <row r="142" spans="2:6" x14ac:dyDescent="0.25">
      <c r="C142" s="4"/>
      <c r="F142" s="821"/>
    </row>
    <row r="143" spans="2:6" x14ac:dyDescent="0.25">
      <c r="C143" s="844"/>
      <c r="F143" s="821"/>
    </row>
    <row r="144" spans="2:6" x14ac:dyDescent="0.25">
      <c r="C144" s="844"/>
      <c r="F144" s="821"/>
    </row>
    <row r="145" spans="2:6" x14ac:dyDescent="0.25">
      <c r="B145" s="821" t="s">
        <v>211</v>
      </c>
      <c r="C145" s="844"/>
      <c r="F145" s="821"/>
    </row>
    <row r="146" spans="2:6" x14ac:dyDescent="0.25">
      <c r="B146" s="821" t="s">
        <v>212</v>
      </c>
      <c r="C146" s="844"/>
      <c r="F146" s="821"/>
    </row>
    <row r="147" spans="2:6" x14ac:dyDescent="0.25">
      <c r="C147" s="844"/>
      <c r="F147" s="821"/>
    </row>
    <row r="148" spans="2:6" x14ac:dyDescent="0.25">
      <c r="C148" s="844"/>
      <c r="F148" s="821"/>
    </row>
    <row r="149" spans="2:6" x14ac:dyDescent="0.25">
      <c r="B149" s="821" t="s">
        <v>213</v>
      </c>
      <c r="C149" s="844"/>
      <c r="F149" s="821"/>
    </row>
    <row r="150" spans="2:6" x14ac:dyDescent="0.25">
      <c r="C150" s="844" t="s">
        <v>214</v>
      </c>
      <c r="F150" s="821"/>
    </row>
    <row r="151" spans="2:6" x14ac:dyDescent="0.25">
      <c r="C151" s="844" t="s">
        <v>215</v>
      </c>
      <c r="F151" s="821"/>
    </row>
    <row r="152" spans="2:6" x14ac:dyDescent="0.25">
      <c r="C152" s="844"/>
      <c r="F152" s="821"/>
    </row>
    <row r="153" spans="2:6" x14ac:dyDescent="0.25">
      <c r="C153" s="844" t="s">
        <v>216</v>
      </c>
      <c r="F153" s="821"/>
    </row>
    <row r="154" spans="2:6" x14ac:dyDescent="0.25">
      <c r="B154" s="821" t="s">
        <v>217</v>
      </c>
      <c r="C154" s="844" t="s">
        <v>218</v>
      </c>
      <c r="F154" s="821"/>
    </row>
    <row r="155" spans="2:6" x14ac:dyDescent="0.25">
      <c r="C155" s="844" t="s">
        <v>219</v>
      </c>
      <c r="F155" s="821"/>
    </row>
    <row r="156" spans="2:6" x14ac:dyDescent="0.25">
      <c r="C156" s="844"/>
      <c r="F156" s="821"/>
    </row>
    <row r="157" spans="2:6" x14ac:dyDescent="0.25">
      <c r="C157" s="844"/>
      <c r="F157" s="821"/>
    </row>
    <row r="158" spans="2:6" x14ac:dyDescent="0.25">
      <c r="C158" s="844" t="s">
        <v>193</v>
      </c>
      <c r="F158" s="821"/>
    </row>
    <row r="159" spans="2:6" x14ac:dyDescent="0.25">
      <c r="C159" s="844" t="s">
        <v>220</v>
      </c>
      <c r="F159" s="821"/>
    </row>
    <row r="160" spans="2:6" x14ac:dyDescent="0.25">
      <c r="C160" s="844" t="s">
        <v>192</v>
      </c>
      <c r="F160" s="821"/>
    </row>
    <row r="161" spans="3:6" x14ac:dyDescent="0.25">
      <c r="C161" s="844" t="s">
        <v>221</v>
      </c>
      <c r="F161" s="821"/>
    </row>
    <row r="162" spans="3:6" x14ac:dyDescent="0.25">
      <c r="C162" s="844" t="s">
        <v>222</v>
      </c>
      <c r="F162" s="821"/>
    </row>
    <row r="163" spans="3:6" x14ac:dyDescent="0.25">
      <c r="C163" s="844" t="s">
        <v>223</v>
      </c>
      <c r="F163" s="821"/>
    </row>
    <row r="164" spans="3:6" x14ac:dyDescent="0.25">
      <c r="C164" s="844"/>
      <c r="F164" s="821"/>
    </row>
    <row r="165" spans="3:6" x14ac:dyDescent="0.25">
      <c r="C165" s="844"/>
      <c r="F165" s="821"/>
    </row>
    <row r="166" spans="3:6" x14ac:dyDescent="0.25">
      <c r="F166" s="821"/>
    </row>
    <row r="167" spans="3:6" x14ac:dyDescent="0.25">
      <c r="C167" s="844"/>
      <c r="F167" s="821"/>
    </row>
    <row r="168" spans="3:6" x14ac:dyDescent="0.25">
      <c r="C168" s="844"/>
      <c r="F168" s="821"/>
    </row>
    <row r="169" spans="3:6" x14ac:dyDescent="0.25">
      <c r="C169" s="844"/>
      <c r="F169" s="821"/>
    </row>
    <row r="170" spans="3:6" x14ac:dyDescent="0.25">
      <c r="C170" s="844"/>
      <c r="F170" s="821"/>
    </row>
    <row r="171" spans="3:6" x14ac:dyDescent="0.25">
      <c r="C171" s="844"/>
      <c r="F171" s="821"/>
    </row>
    <row r="172" spans="3:6" x14ac:dyDescent="0.25">
      <c r="C172" s="844"/>
      <c r="F172" s="821"/>
    </row>
    <row r="173" spans="3:6" x14ac:dyDescent="0.25">
      <c r="C173" s="844"/>
      <c r="F173" s="821"/>
    </row>
    <row r="174" spans="3:6" x14ac:dyDescent="0.25">
      <c r="C174" s="844"/>
      <c r="F174" s="821"/>
    </row>
    <row r="175" spans="3:6" x14ac:dyDescent="0.25">
      <c r="C175" s="844"/>
      <c r="F175" s="821"/>
    </row>
    <row r="176" spans="3:6" x14ac:dyDescent="0.25">
      <c r="C176" s="844"/>
      <c r="F176" s="821"/>
    </row>
    <row r="177" spans="3:6" x14ac:dyDescent="0.25">
      <c r="C177" s="844"/>
      <c r="F177" s="821"/>
    </row>
    <row r="178" spans="3:6" x14ac:dyDescent="0.25">
      <c r="C178" s="844"/>
      <c r="F178" s="821"/>
    </row>
    <row r="179" spans="3:6" x14ac:dyDescent="0.25">
      <c r="C179" s="844"/>
      <c r="F179" s="821"/>
    </row>
    <row r="180" spans="3:6" x14ac:dyDescent="0.25">
      <c r="C180" s="844"/>
      <c r="F180" s="821"/>
    </row>
    <row r="181" spans="3:6" x14ac:dyDescent="0.25">
      <c r="C181" s="844"/>
      <c r="F181" s="821"/>
    </row>
    <row r="182" spans="3:6" x14ac:dyDescent="0.25">
      <c r="C182" s="844"/>
      <c r="F182" s="821"/>
    </row>
    <row r="183" spans="3:6" x14ac:dyDescent="0.25">
      <c r="C183" s="844"/>
      <c r="F183" s="821"/>
    </row>
    <row r="184" spans="3:6" x14ac:dyDescent="0.25">
      <c r="C184" s="844"/>
      <c r="F184" s="821"/>
    </row>
    <row r="185" spans="3:6" x14ac:dyDescent="0.25">
      <c r="C185" s="844"/>
      <c r="F185" s="821"/>
    </row>
    <row r="186" spans="3:6" x14ac:dyDescent="0.25">
      <c r="C186" s="844"/>
      <c r="F186" s="821"/>
    </row>
    <row r="187" spans="3:6" x14ac:dyDescent="0.25">
      <c r="C187" s="844"/>
      <c r="F187" s="821"/>
    </row>
    <row r="188" spans="3:6" x14ac:dyDescent="0.25">
      <c r="C188" s="844"/>
      <c r="F188" s="821"/>
    </row>
    <row r="189" spans="3:6" x14ac:dyDescent="0.25">
      <c r="C189" s="844"/>
      <c r="F189" s="821"/>
    </row>
    <row r="190" spans="3:6" x14ac:dyDescent="0.25">
      <c r="C190" s="844"/>
      <c r="F190" s="821"/>
    </row>
    <row r="191" spans="3:6" x14ac:dyDescent="0.25">
      <c r="C191" s="844"/>
      <c r="F191" s="821"/>
    </row>
    <row r="192" spans="3:6" x14ac:dyDescent="0.25">
      <c r="C192" s="844"/>
      <c r="F192" s="821"/>
    </row>
    <row r="193" spans="3:6" x14ac:dyDescent="0.25">
      <c r="C193" s="844"/>
      <c r="F193" s="821"/>
    </row>
    <row r="194" spans="3:6" x14ac:dyDescent="0.25">
      <c r="C194" s="844"/>
      <c r="F194" s="821"/>
    </row>
    <row r="195" spans="3:6" x14ac:dyDescent="0.25">
      <c r="C195" s="844"/>
      <c r="F195" s="821"/>
    </row>
    <row r="196" spans="3:6" x14ac:dyDescent="0.25">
      <c r="C196" s="844"/>
      <c r="F196" s="821"/>
    </row>
    <row r="197" spans="3:6" x14ac:dyDescent="0.25">
      <c r="C197" s="844"/>
      <c r="F197" s="821"/>
    </row>
    <row r="198" spans="3:6" x14ac:dyDescent="0.25">
      <c r="C198" s="844"/>
      <c r="F198" s="821"/>
    </row>
    <row r="199" spans="3:6" x14ac:dyDescent="0.25">
      <c r="C199" s="844"/>
    </row>
    <row r="200" spans="3:6" x14ac:dyDescent="0.25">
      <c r="C200" s="844"/>
    </row>
    <row r="201" spans="3:6" x14ac:dyDescent="0.25">
      <c r="C201" s="844"/>
    </row>
    <row r="202" spans="3:6" x14ac:dyDescent="0.25">
      <c r="C202" s="844"/>
    </row>
    <row r="203" spans="3:6" x14ac:dyDescent="0.25">
      <c r="C203" s="844"/>
    </row>
    <row r="204" spans="3:6" x14ac:dyDescent="0.25">
      <c r="C204" s="844"/>
    </row>
    <row r="205" spans="3:6" x14ac:dyDescent="0.25">
      <c r="C205" s="844"/>
    </row>
    <row r="206" spans="3:6" x14ac:dyDescent="0.25">
      <c r="C206" s="844"/>
      <c r="F206" s="821"/>
    </row>
    <row r="207" spans="3:6" x14ac:dyDescent="0.25">
      <c r="C207" s="844"/>
      <c r="F207" s="821"/>
    </row>
    <row r="208" spans="3:6" x14ac:dyDescent="0.25">
      <c r="C208" s="844"/>
    </row>
    <row r="209" spans="3:3" x14ac:dyDescent="0.25">
      <c r="C209" s="844"/>
    </row>
    <row r="210" spans="3:3" x14ac:dyDescent="0.25">
      <c r="C210" s="844"/>
    </row>
    <row r="211" spans="3:3" x14ac:dyDescent="0.25">
      <c r="C211" s="844"/>
    </row>
    <row r="212" spans="3:3" x14ac:dyDescent="0.25">
      <c r="C212" s="844"/>
    </row>
    <row r="213" spans="3:3" x14ac:dyDescent="0.25">
      <c r="C213" s="844"/>
    </row>
    <row r="214" spans="3:3" x14ac:dyDescent="0.25">
      <c r="C214" s="844"/>
    </row>
    <row r="215" spans="3:3" x14ac:dyDescent="0.25">
      <c r="C215" s="844"/>
    </row>
    <row r="216" spans="3:3" x14ac:dyDescent="0.25">
      <c r="C216" s="844"/>
    </row>
    <row r="217" spans="3:3" x14ac:dyDescent="0.25">
      <c r="C217" s="844"/>
    </row>
    <row r="218" spans="3:3" x14ac:dyDescent="0.25">
      <c r="C218" s="844"/>
    </row>
    <row r="219" spans="3:3" x14ac:dyDescent="0.25">
      <c r="C219" s="844"/>
    </row>
    <row r="220" spans="3:3" x14ac:dyDescent="0.25">
      <c r="C220" s="844"/>
    </row>
    <row r="221" spans="3:3" x14ac:dyDescent="0.25">
      <c r="C221" s="844"/>
    </row>
    <row r="233" spans="5:7" x14ac:dyDescent="0.25">
      <c r="E233" s="845"/>
      <c r="G233" s="845"/>
    </row>
    <row r="252" spans="1:10" s="76" customFormat="1" x14ac:dyDescent="0.25">
      <c r="A252" s="600"/>
      <c r="B252" s="821"/>
      <c r="C252" s="600"/>
      <c r="D252" s="600"/>
      <c r="E252" s="600"/>
      <c r="F252" s="600"/>
      <c r="G252" s="600"/>
      <c r="H252" s="600"/>
      <c r="I252" s="600"/>
      <c r="J252" s="600"/>
    </row>
    <row r="253" spans="1:10" s="76" customFormat="1" x14ac:dyDescent="0.25">
      <c r="A253" s="600"/>
      <c r="B253" s="821"/>
      <c r="C253" s="600"/>
      <c r="D253" s="600"/>
      <c r="E253" s="600"/>
      <c r="F253" s="600"/>
      <c r="G253" s="600"/>
      <c r="H253" s="600"/>
      <c r="I253" s="600"/>
      <c r="J253" s="600"/>
    </row>
    <row r="254" spans="1:10" s="76" customFormat="1" x14ac:dyDescent="0.25">
      <c r="A254" s="600"/>
      <c r="B254" s="821"/>
      <c r="C254" s="600"/>
      <c r="D254" s="600"/>
      <c r="E254" s="600"/>
      <c r="F254" s="600"/>
      <c r="G254" s="600"/>
      <c r="H254" s="600"/>
      <c r="I254" s="600"/>
      <c r="J254" s="600"/>
    </row>
    <row r="255" spans="1:10" s="76" customFormat="1" x14ac:dyDescent="0.25">
      <c r="A255" s="600"/>
      <c r="B255" s="821"/>
      <c r="C255" s="600"/>
      <c r="D255" s="600"/>
      <c r="E255" s="600"/>
      <c r="F255" s="600"/>
      <c r="G255" s="600"/>
      <c r="H255" s="600"/>
      <c r="I255" s="600"/>
      <c r="J255" s="600"/>
    </row>
    <row r="256" spans="1:10" s="76" customFormat="1" x14ac:dyDescent="0.25">
      <c r="A256" s="600"/>
      <c r="B256" s="821"/>
      <c r="C256" s="600"/>
      <c r="D256" s="600"/>
      <c r="E256" s="600"/>
      <c r="F256" s="600"/>
      <c r="G256" s="600"/>
      <c r="H256" s="600"/>
      <c r="I256" s="600"/>
      <c r="J256" s="600"/>
    </row>
    <row r="257" spans="1:10" s="76" customFormat="1" x14ac:dyDescent="0.25">
      <c r="A257" s="600"/>
      <c r="B257" s="821"/>
      <c r="C257" s="600"/>
      <c r="D257" s="600"/>
      <c r="E257" s="600"/>
      <c r="F257" s="600"/>
      <c r="G257" s="600"/>
      <c r="H257" s="600"/>
      <c r="I257" s="600"/>
      <c r="J257" s="600"/>
    </row>
    <row r="258" spans="1:10" s="76" customFormat="1" x14ac:dyDescent="0.25">
      <c r="A258" s="600"/>
      <c r="B258" s="821"/>
      <c r="C258" s="600"/>
      <c r="D258" s="600"/>
      <c r="E258" s="600"/>
      <c r="F258" s="600"/>
      <c r="G258" s="600"/>
      <c r="H258" s="600"/>
      <c r="I258" s="600"/>
      <c r="J258" s="600"/>
    </row>
    <row r="259" spans="1:10" s="76" customFormat="1" x14ac:dyDescent="0.25">
      <c r="A259" s="600"/>
      <c r="B259" s="821"/>
      <c r="C259" s="600"/>
      <c r="D259" s="600"/>
      <c r="E259" s="600"/>
      <c r="F259" s="600"/>
      <c r="G259" s="600"/>
      <c r="H259" s="600"/>
      <c r="I259" s="600"/>
      <c r="J259" s="600"/>
    </row>
    <row r="260" spans="1:10" s="76" customFormat="1" x14ac:dyDescent="0.25">
      <c r="A260" s="600"/>
      <c r="B260" s="821"/>
      <c r="C260" s="600"/>
      <c r="D260" s="600"/>
      <c r="E260" s="600"/>
      <c r="F260" s="600"/>
      <c r="G260" s="600"/>
      <c r="H260" s="600"/>
      <c r="I260" s="600"/>
      <c r="J260" s="600"/>
    </row>
    <row r="261" spans="1:10" s="76" customFormat="1" x14ac:dyDescent="0.25">
      <c r="A261" s="600"/>
      <c r="B261" s="846"/>
      <c r="C261" s="600"/>
      <c r="D261" s="603"/>
      <c r="E261" s="600"/>
      <c r="F261" s="600"/>
      <c r="G261" s="600"/>
      <c r="H261" s="600"/>
      <c r="I261" s="600"/>
      <c r="J261" s="600"/>
    </row>
    <row r="262" spans="1:10" x14ac:dyDescent="0.25">
      <c r="D262" s="603"/>
    </row>
    <row r="263" spans="1:10" x14ac:dyDescent="0.25">
      <c r="D263" s="603"/>
    </row>
    <row r="264" spans="1:10" x14ac:dyDescent="0.25">
      <c r="D264" s="603"/>
    </row>
    <row r="265" spans="1:10" x14ac:dyDescent="0.25">
      <c r="D265" s="603"/>
    </row>
    <row r="266" spans="1:10" x14ac:dyDescent="0.25">
      <c r="D266" s="603"/>
    </row>
    <row r="267" spans="1:10" x14ac:dyDescent="0.25">
      <c r="D267" s="603"/>
    </row>
    <row r="283" spans="7:9" x14ac:dyDescent="0.25">
      <c r="G283" s="847"/>
      <c r="H283" s="847"/>
      <c r="I283" s="613"/>
    </row>
    <row r="284" spans="7:9" x14ac:dyDescent="0.25">
      <c r="G284" s="847"/>
      <c r="H284" s="847"/>
      <c r="I284" s="613"/>
    </row>
    <row r="285" spans="7:9" x14ac:dyDescent="0.25">
      <c r="G285" s="613"/>
      <c r="H285" s="613"/>
      <c r="I285" s="613"/>
    </row>
  </sheetData>
  <phoneticPr fontId="0" type="noConversion"/>
  <hyperlinks>
    <hyperlink ref="B1" location="'Table of Contents'!A1" display="TOC" xr:uid="{00000000-0004-0000-0100-000000000000}"/>
  </hyperlinks>
  <pageMargins left="0.75" right="0.75" top="1" bottom="1" header="0.5" footer="0.5"/>
  <pageSetup scale="21"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Y180"/>
  <sheetViews>
    <sheetView workbookViewId="0">
      <pane ySplit="7" topLeftCell="A47" activePane="bottomLeft" state="frozen"/>
      <selection activeCell="S15" sqref="S15"/>
      <selection pane="bottomLeft" activeCell="S15" sqref="S15"/>
    </sheetView>
  </sheetViews>
  <sheetFormatPr defaultRowHeight="13.2" x14ac:dyDescent="0.25"/>
  <cols>
    <col min="1" max="1" width="12" style="712" bestFit="1" customWidth="1"/>
    <col min="2" max="2" width="36.6640625" customWidth="1"/>
    <col min="3" max="3" width="14.44140625" style="1" hidden="1" customWidth="1"/>
    <col min="4" max="9" width="14.44140625" style="105" hidden="1" customWidth="1"/>
    <col min="10" max="10" width="17.44140625" style="105" hidden="1" customWidth="1"/>
    <col min="11"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1202</v>
      </c>
      <c r="B1" s="290" t="s">
        <v>194</v>
      </c>
      <c r="D1" s="194"/>
      <c r="E1" s="194"/>
      <c r="F1" s="194"/>
      <c r="G1" s="194"/>
      <c r="H1" s="194"/>
      <c r="I1" s="194"/>
      <c r="J1" s="194"/>
      <c r="K1" s="194"/>
      <c r="L1" s="194"/>
      <c r="M1" s="194"/>
      <c r="N1" s="194"/>
      <c r="O1" s="194"/>
      <c r="P1" s="194"/>
      <c r="Q1" s="194"/>
    </row>
    <row r="2" spans="1:24" ht="13.8" x14ac:dyDescent="0.25">
      <c r="A2" s="702" t="s">
        <v>1142</v>
      </c>
      <c r="B2" s="43"/>
      <c r="C2" s="125" t="s">
        <v>706</v>
      </c>
      <c r="D2" s="194"/>
      <c r="E2" s="125"/>
      <c r="F2" s="194"/>
      <c r="G2" s="194"/>
      <c r="H2" s="194"/>
      <c r="I2" s="125" t="s">
        <v>1208</v>
      </c>
      <c r="J2" s="125"/>
      <c r="K2" s="125"/>
      <c r="L2" s="125"/>
      <c r="M2" s="125"/>
      <c r="N2" s="125"/>
      <c r="O2" s="125"/>
      <c r="P2" s="125"/>
      <c r="Q2" s="125"/>
      <c r="R2" s="1"/>
      <c r="U2" s="44" t="s">
        <v>1209</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07"/>
      <c r="B8" s="156"/>
      <c r="C8" s="114"/>
      <c r="D8" s="250"/>
      <c r="E8" s="250"/>
      <c r="F8" s="250"/>
      <c r="G8" s="250"/>
      <c r="H8" s="250"/>
      <c r="I8" s="250"/>
      <c r="J8" s="250"/>
      <c r="K8" s="145"/>
      <c r="L8" s="145"/>
      <c r="M8" s="145"/>
      <c r="N8" s="145"/>
      <c r="O8" s="145"/>
      <c r="P8" s="145"/>
      <c r="Q8" s="145"/>
      <c r="R8" s="59"/>
      <c r="S8" s="10"/>
      <c r="T8" s="10"/>
      <c r="U8" s="10"/>
    </row>
    <row r="9" spans="1:24" x14ac:dyDescent="0.25">
      <c r="A9" s="708">
        <v>5112</v>
      </c>
      <c r="B9" s="60" t="s">
        <v>1205</v>
      </c>
      <c r="C9" s="311">
        <v>544527.98</v>
      </c>
      <c r="D9" s="13">
        <f>165.7+562801.37+6191.59</f>
        <v>569158.65999999992</v>
      </c>
      <c r="E9" s="127">
        <v>540718.27</v>
      </c>
      <c r="F9" s="127">
        <v>563154.73</v>
      </c>
      <c r="G9" s="127">
        <v>552355.14</v>
      </c>
      <c r="H9" s="127">
        <v>574134.86</v>
      </c>
      <c r="I9" s="13">
        <v>575220.31999999995</v>
      </c>
      <c r="J9" s="13">
        <v>614836.76</v>
      </c>
      <c r="K9" s="14">
        <v>653676</v>
      </c>
      <c r="L9" s="13">
        <v>624063.51</v>
      </c>
      <c r="M9" s="14">
        <v>671995</v>
      </c>
      <c r="N9" s="13">
        <v>640631.53</v>
      </c>
      <c r="O9" s="14">
        <f>5213+2918+685516</f>
        <v>693647</v>
      </c>
      <c r="P9" s="13">
        <v>654126.52</v>
      </c>
      <c r="Q9" s="14">
        <v>798349</v>
      </c>
      <c r="R9" s="13">
        <v>315619.58</v>
      </c>
      <c r="S9" s="591">
        <f>ROUND((SUM('420 DPW'!R70:R92)-'192 Public Bldgs'!S9-'652 Parks'!S9-'433 Solid Waste'!S10),0)</f>
        <v>814439</v>
      </c>
      <c r="T9" s="14"/>
      <c r="U9" s="14"/>
    </row>
    <row r="10" spans="1:24" x14ac:dyDescent="0.25">
      <c r="A10" s="708">
        <v>5132</v>
      </c>
      <c r="B10" s="60" t="s">
        <v>1147</v>
      </c>
      <c r="C10" s="311">
        <f>232.1+5303.32</f>
        <v>5535.42</v>
      </c>
      <c r="D10" s="13">
        <f>136.61+5676.65</f>
        <v>5813.2599999999993</v>
      </c>
      <c r="E10" s="127">
        <v>4186.1000000000004</v>
      </c>
      <c r="F10" s="127">
        <v>3549.91</v>
      </c>
      <c r="G10" s="127">
        <v>5071.6400000000003</v>
      </c>
      <c r="H10" s="127">
        <v>3526.98</v>
      </c>
      <c r="I10" s="13">
        <v>8376.17</v>
      </c>
      <c r="J10" s="13">
        <v>8075.79</v>
      </c>
      <c r="K10" s="14">
        <v>9000</v>
      </c>
      <c r="L10" s="13">
        <v>15259.18</v>
      </c>
      <c r="M10" s="14">
        <v>12000</v>
      </c>
      <c r="N10" s="13">
        <v>19688.22</v>
      </c>
      <c r="O10" s="14">
        <v>12250</v>
      </c>
      <c r="P10" s="13">
        <v>13588.22</v>
      </c>
      <c r="Q10" s="14">
        <v>15000</v>
      </c>
      <c r="R10" s="13">
        <v>11338.18</v>
      </c>
      <c r="S10" s="14">
        <v>15000</v>
      </c>
      <c r="T10" s="14"/>
      <c r="U10" s="14"/>
    </row>
    <row r="11" spans="1:24" x14ac:dyDescent="0.25">
      <c r="A11" s="708">
        <v>5142</v>
      </c>
      <c r="B11" s="60" t="s">
        <v>1210</v>
      </c>
      <c r="C11" s="568">
        <v>5672.24</v>
      </c>
      <c r="D11" s="35">
        <f>19.09+5997.6</f>
        <v>6016.6900000000005</v>
      </c>
      <c r="E11" s="200">
        <v>6103.83</v>
      </c>
      <c r="F11" s="200">
        <v>6067.31</v>
      </c>
      <c r="G11" s="200">
        <v>7744.66</v>
      </c>
      <c r="H11" s="200">
        <v>10630.82</v>
      </c>
      <c r="I11" s="35">
        <v>11076.36</v>
      </c>
      <c r="J11" s="35">
        <v>13959.15</v>
      </c>
      <c r="K11" s="36">
        <v>15000</v>
      </c>
      <c r="L11" s="35">
        <v>13998.01</v>
      </c>
      <c r="M11" s="36">
        <v>18000</v>
      </c>
      <c r="N11" s="35">
        <v>14132.03</v>
      </c>
      <c r="O11" s="36">
        <f>845+2470+17000</f>
        <v>20315</v>
      </c>
      <c r="P11" s="35">
        <v>17880.88</v>
      </c>
      <c r="Q11" s="36">
        <v>16800</v>
      </c>
      <c r="R11" s="35">
        <v>11226.99</v>
      </c>
      <c r="S11" s="36">
        <v>16800</v>
      </c>
      <c r="T11" s="36"/>
      <c r="U11" s="36"/>
    </row>
    <row r="12" spans="1:24" x14ac:dyDescent="0.25">
      <c r="A12" s="708">
        <v>5144</v>
      </c>
      <c r="B12" s="60" t="s">
        <v>27</v>
      </c>
      <c r="C12" s="311">
        <v>2600</v>
      </c>
      <c r="D12" s="13">
        <v>3750</v>
      </c>
      <c r="E12" s="127">
        <v>3000</v>
      </c>
      <c r="F12" s="127">
        <v>2200</v>
      </c>
      <c r="G12" s="127">
        <v>4140</v>
      </c>
      <c r="H12" s="127">
        <v>3620</v>
      </c>
      <c r="I12" s="13">
        <v>3640</v>
      </c>
      <c r="J12" s="13">
        <v>3400</v>
      </c>
      <c r="K12" s="14">
        <v>3000</v>
      </c>
      <c r="L12" s="13">
        <v>2000</v>
      </c>
      <c r="M12" s="14">
        <v>3600</v>
      </c>
      <c r="N12" s="13">
        <v>1700</v>
      </c>
      <c r="O12" s="14">
        <f>1100+1000</f>
        <v>2100</v>
      </c>
      <c r="P12" s="13">
        <v>2900</v>
      </c>
      <c r="Q12" s="14">
        <f>1000+3700</f>
        <v>4700</v>
      </c>
      <c r="R12" s="13">
        <v>900</v>
      </c>
      <c r="S12" s="14">
        <f>SUM('420 DPW'!S70:S91)</f>
        <v>4700</v>
      </c>
      <c r="T12" s="14"/>
      <c r="U12" s="14"/>
    </row>
    <row r="13" spans="1:24" x14ac:dyDescent="0.25">
      <c r="A13" s="708">
        <v>5145</v>
      </c>
      <c r="B13" s="60" t="s">
        <v>1018</v>
      </c>
      <c r="C13" s="311">
        <v>600.08000000000004</v>
      </c>
      <c r="D13" s="13">
        <v>842.42</v>
      </c>
      <c r="E13" s="127">
        <v>1200.1600000000001</v>
      </c>
      <c r="F13" s="127">
        <v>1223.24</v>
      </c>
      <c r="G13" s="127">
        <v>1119.3800000000001</v>
      </c>
      <c r="H13" s="127">
        <v>946.28</v>
      </c>
      <c r="I13" s="13">
        <v>1488.66</v>
      </c>
      <c r="J13" s="13">
        <v>1500.2</v>
      </c>
      <c r="K13" s="14">
        <v>1525</v>
      </c>
      <c r="L13" s="13">
        <v>1529.05</v>
      </c>
      <c r="M13" s="14">
        <v>1525</v>
      </c>
      <c r="N13" s="13">
        <v>1217.47</v>
      </c>
      <c r="O13" s="14">
        <v>1525</v>
      </c>
      <c r="P13" s="13">
        <v>796.26</v>
      </c>
      <c r="Q13" s="14">
        <v>1525</v>
      </c>
      <c r="R13" s="13">
        <v>577</v>
      </c>
      <c r="S13" s="14">
        <v>1801</v>
      </c>
      <c r="T13" s="14"/>
      <c r="U13" s="14"/>
    </row>
    <row r="14" spans="1:24" x14ac:dyDescent="0.25">
      <c r="A14" s="708">
        <v>5193</v>
      </c>
      <c r="B14" s="60" t="s">
        <v>819</v>
      </c>
      <c r="C14" s="311"/>
      <c r="D14" s="13"/>
      <c r="E14" s="127">
        <v>9799.56</v>
      </c>
      <c r="F14" s="127"/>
      <c r="G14" s="127">
        <v>2150.5</v>
      </c>
      <c r="H14" s="127">
        <v>4111.34</v>
      </c>
      <c r="I14" s="13">
        <v>8358</v>
      </c>
      <c r="J14" s="13">
        <v>5172.6400000000003</v>
      </c>
      <c r="K14" s="14"/>
      <c r="L14" s="13">
        <v>1303.8</v>
      </c>
      <c r="M14" s="14">
        <v>11292</v>
      </c>
      <c r="N14" s="13">
        <v>21174.18</v>
      </c>
      <c r="O14" s="14">
        <v>0</v>
      </c>
      <c r="P14" s="13">
        <v>2169.06</v>
      </c>
      <c r="Q14" s="14">
        <v>0</v>
      </c>
      <c r="R14" s="13"/>
      <c r="S14" s="14">
        <v>0</v>
      </c>
      <c r="T14" s="14"/>
      <c r="U14" s="14"/>
    </row>
    <row r="15" spans="1:24" ht="13.8" thickBot="1" x14ac:dyDescent="0.3">
      <c r="A15" s="708">
        <v>5194</v>
      </c>
      <c r="B15" s="60" t="s">
        <v>820</v>
      </c>
      <c r="C15" s="579"/>
      <c r="D15" s="37"/>
      <c r="E15" s="253">
        <v>5134.3</v>
      </c>
      <c r="F15" s="253"/>
      <c r="G15" s="253">
        <v>1553.75</v>
      </c>
      <c r="H15" s="253">
        <v>7000</v>
      </c>
      <c r="I15" s="37">
        <v>3500</v>
      </c>
      <c r="J15" s="37">
        <v>709.2</v>
      </c>
      <c r="K15" s="38"/>
      <c r="L15" s="37"/>
      <c r="M15" s="38">
        <v>4200</v>
      </c>
      <c r="N15" s="37">
        <v>4791.7299999999996</v>
      </c>
      <c r="O15" s="38">
        <v>0</v>
      </c>
      <c r="P15" s="37"/>
      <c r="Q15" s="38">
        <v>0</v>
      </c>
      <c r="R15" s="37"/>
      <c r="S15" s="38">
        <v>0</v>
      </c>
      <c r="T15" s="38"/>
      <c r="U15" s="38"/>
    </row>
    <row r="16" spans="1:24" x14ac:dyDescent="0.25">
      <c r="A16" s="708"/>
      <c r="B16" s="61" t="s">
        <v>718</v>
      </c>
      <c r="C16" s="312">
        <f t="shared" ref="C16:U16" si="0">SUM(C9:C15)</f>
        <v>558935.72</v>
      </c>
      <c r="D16" s="18">
        <f t="shared" si="0"/>
        <v>585581.02999999991</v>
      </c>
      <c r="E16" s="18">
        <f t="shared" si="0"/>
        <v>570142.22000000009</v>
      </c>
      <c r="F16" s="18">
        <f t="shared" ref="F16:N16" si="1">SUM(F9:F15)</f>
        <v>576195.19000000006</v>
      </c>
      <c r="G16" s="18">
        <f t="shared" si="1"/>
        <v>574135.07000000007</v>
      </c>
      <c r="H16" s="18">
        <f t="shared" si="1"/>
        <v>603970.27999999991</v>
      </c>
      <c r="I16" s="18">
        <f t="shared" si="1"/>
        <v>611659.51</v>
      </c>
      <c r="J16" s="18">
        <f t="shared" si="1"/>
        <v>647653.74</v>
      </c>
      <c r="K16" s="34">
        <f t="shared" si="1"/>
        <v>682201</v>
      </c>
      <c r="L16" s="18">
        <f t="shared" si="1"/>
        <v>658153.55000000016</v>
      </c>
      <c r="M16" s="34">
        <f>SUM(M9:M15)</f>
        <v>722612</v>
      </c>
      <c r="N16" s="18">
        <f t="shared" si="1"/>
        <v>703335.16</v>
      </c>
      <c r="O16" s="34">
        <f>SUM(O9:O15)</f>
        <v>729837</v>
      </c>
      <c r="P16" s="18">
        <f>SUM(P9:P15)</f>
        <v>691460.94000000006</v>
      </c>
      <c r="Q16" s="34">
        <f>SUM(Q9:Q15)</f>
        <v>836374</v>
      </c>
      <c r="R16" s="18">
        <f t="shared" si="0"/>
        <v>339661.75</v>
      </c>
      <c r="S16" s="34">
        <f>SUM(S9:S15)</f>
        <v>852740</v>
      </c>
      <c r="T16" s="34">
        <f>SUM(T9:T15)</f>
        <v>0</v>
      </c>
      <c r="U16" s="34">
        <f t="shared" si="0"/>
        <v>0</v>
      </c>
    </row>
    <row r="17" spans="1:21" x14ac:dyDescent="0.25">
      <c r="A17" s="708"/>
      <c r="B17" s="60"/>
      <c r="C17" s="311"/>
      <c r="D17" s="13"/>
      <c r="E17" s="13"/>
      <c r="F17" s="13"/>
      <c r="G17" s="13"/>
      <c r="H17" s="13"/>
      <c r="I17" s="13"/>
      <c r="J17" s="13"/>
      <c r="K17" s="14"/>
      <c r="L17" s="13"/>
      <c r="M17" s="14"/>
      <c r="N17" s="13"/>
      <c r="O17" s="14"/>
      <c r="P17" s="13"/>
      <c r="Q17" s="14"/>
      <c r="R17" s="13"/>
      <c r="S17" s="14"/>
      <c r="T17" s="14"/>
      <c r="U17" s="14"/>
    </row>
    <row r="18" spans="1:21" x14ac:dyDescent="0.25">
      <c r="A18" s="708">
        <v>5242</v>
      </c>
      <c r="B18" s="60" t="s">
        <v>1149</v>
      </c>
      <c r="C18" s="311"/>
      <c r="D18" s="18">
        <v>1665</v>
      </c>
      <c r="E18" s="111">
        <v>687.54</v>
      </c>
      <c r="F18" s="111">
        <v>402.95</v>
      </c>
      <c r="G18" s="111">
        <v>4779.55</v>
      </c>
      <c r="H18" s="111">
        <v>537.5</v>
      </c>
      <c r="I18" s="111">
        <v>1744.45</v>
      </c>
      <c r="J18" s="111">
        <v>127.2</v>
      </c>
      <c r="K18" s="19">
        <v>3500</v>
      </c>
      <c r="L18" s="111">
        <v>7138.77</v>
      </c>
      <c r="M18" s="19">
        <v>3500</v>
      </c>
      <c r="N18" s="111">
        <v>5505.9</v>
      </c>
      <c r="O18" s="19">
        <v>7100</v>
      </c>
      <c r="P18" s="18">
        <v>240</v>
      </c>
      <c r="Q18" s="19">
        <v>7100</v>
      </c>
      <c r="R18" s="18"/>
      <c r="S18" s="19">
        <v>7100</v>
      </c>
      <c r="T18" s="19"/>
      <c r="U18" s="19"/>
    </row>
    <row r="19" spans="1:21" x14ac:dyDescent="0.25">
      <c r="A19" s="708">
        <v>5245</v>
      </c>
      <c r="B19" s="12" t="s">
        <v>1151</v>
      </c>
      <c r="C19" s="127">
        <v>15640.85</v>
      </c>
      <c r="D19" s="18">
        <v>20923.13</v>
      </c>
      <c r="E19" s="111">
        <v>22296.94</v>
      </c>
      <c r="F19" s="111">
        <v>34754.76</v>
      </c>
      <c r="G19" s="111">
        <v>23394.59</v>
      </c>
      <c r="H19" s="111">
        <v>24713.51</v>
      </c>
      <c r="I19" s="111">
        <v>17661.330000000002</v>
      </c>
      <c r="J19" s="111">
        <v>27018.75</v>
      </c>
      <c r="K19" s="19">
        <v>30000</v>
      </c>
      <c r="L19" s="111">
        <v>28032.21</v>
      </c>
      <c r="M19" s="19">
        <v>35000</v>
      </c>
      <c r="N19" s="111">
        <v>20669.34</v>
      </c>
      <c r="O19" s="19">
        <v>35000</v>
      </c>
      <c r="P19" s="18">
        <v>18413.400000000001</v>
      </c>
      <c r="Q19" s="19">
        <v>35000</v>
      </c>
      <c r="R19" s="18">
        <v>17667.73</v>
      </c>
      <c r="S19" s="19">
        <v>35000</v>
      </c>
      <c r="T19" s="19"/>
      <c r="U19" s="19"/>
    </row>
    <row r="20" spans="1:21" x14ac:dyDescent="0.25">
      <c r="A20" s="708">
        <v>5248</v>
      </c>
      <c r="B20" s="12" t="s">
        <v>1211</v>
      </c>
      <c r="C20" s="127"/>
      <c r="D20" s="18">
        <v>0</v>
      </c>
      <c r="E20" s="111">
        <v>503.29</v>
      </c>
      <c r="F20" s="111">
        <v>88</v>
      </c>
      <c r="G20" s="111"/>
      <c r="H20" s="111">
        <v>264</v>
      </c>
      <c r="I20" s="111">
        <v>0</v>
      </c>
      <c r="J20" s="111">
        <v>88</v>
      </c>
      <c r="K20" s="19">
        <v>4200</v>
      </c>
      <c r="L20" s="111"/>
      <c r="M20" s="19">
        <v>4200</v>
      </c>
      <c r="N20" s="111">
        <v>608.99</v>
      </c>
      <c r="O20" s="19">
        <v>2000</v>
      </c>
      <c r="P20" s="18"/>
      <c r="Q20" s="19">
        <v>2000</v>
      </c>
      <c r="R20" s="18"/>
      <c r="S20" s="19">
        <v>2000</v>
      </c>
      <c r="T20" s="19"/>
      <c r="U20" s="19"/>
    </row>
    <row r="21" spans="1:21" x14ac:dyDescent="0.25">
      <c r="A21" s="708">
        <v>5251</v>
      </c>
      <c r="B21" s="12" t="s">
        <v>1153</v>
      </c>
      <c r="C21" s="247">
        <v>2288.5700000000002</v>
      </c>
      <c r="D21" s="18">
        <v>3552.43</v>
      </c>
      <c r="E21" s="111">
        <v>5595.84</v>
      </c>
      <c r="F21" s="111">
        <v>5335.59</v>
      </c>
      <c r="G21" s="111">
        <v>3066.56</v>
      </c>
      <c r="H21" s="111">
        <v>5616.81</v>
      </c>
      <c r="I21" s="111">
        <f>428.65+6818.24</f>
        <v>7246.8899999999994</v>
      </c>
      <c r="J21" s="111">
        <v>5396.62</v>
      </c>
      <c r="K21" s="19">
        <v>4500</v>
      </c>
      <c r="L21" s="111">
        <v>7949.81</v>
      </c>
      <c r="M21" s="19">
        <v>7000</v>
      </c>
      <c r="N21" s="111">
        <v>10283.67</v>
      </c>
      <c r="O21" s="19">
        <v>9200</v>
      </c>
      <c r="P21" s="18">
        <v>15726.69</v>
      </c>
      <c r="Q21" s="19">
        <v>9200</v>
      </c>
      <c r="R21" s="18">
        <v>3294.32</v>
      </c>
      <c r="S21" s="19">
        <v>9200</v>
      </c>
      <c r="T21" s="19"/>
      <c r="U21" s="19"/>
    </row>
    <row r="22" spans="1:21" hidden="1" x14ac:dyDescent="0.25">
      <c r="A22" s="708">
        <v>5277</v>
      </c>
      <c r="B22" s="12" t="s">
        <v>1154</v>
      </c>
      <c r="C22" s="127"/>
      <c r="D22" s="18">
        <v>0</v>
      </c>
      <c r="E22" s="111"/>
      <c r="F22" s="111"/>
      <c r="G22" s="111"/>
      <c r="H22" s="111"/>
      <c r="I22" s="111"/>
      <c r="J22" s="111"/>
      <c r="K22" s="19"/>
      <c r="L22" s="111"/>
      <c r="M22" s="19"/>
      <c r="N22" s="111"/>
      <c r="O22" s="19"/>
      <c r="P22" s="18"/>
      <c r="Q22" s="19"/>
      <c r="R22" s="18"/>
      <c r="S22" s="19"/>
      <c r="T22" s="19"/>
      <c r="U22" s="19"/>
    </row>
    <row r="23" spans="1:21" hidden="1" x14ac:dyDescent="0.25">
      <c r="A23" s="708">
        <v>5278</v>
      </c>
      <c r="B23" s="12" t="s">
        <v>1212</v>
      </c>
      <c r="C23" s="127">
        <v>6254.36</v>
      </c>
      <c r="D23" s="18">
        <v>7210.2</v>
      </c>
      <c r="E23" s="111">
        <v>7337.82</v>
      </c>
      <c r="F23" s="111">
        <v>9576.67</v>
      </c>
      <c r="G23" s="111">
        <v>11297.29</v>
      </c>
      <c r="H23" s="111">
        <v>10913.81</v>
      </c>
      <c r="I23" s="111">
        <v>12262.49</v>
      </c>
      <c r="J23" s="111">
        <v>9959.7000000000007</v>
      </c>
      <c r="K23" s="19">
        <v>0</v>
      </c>
      <c r="L23" s="111"/>
      <c r="M23" s="19">
        <v>0</v>
      </c>
      <c r="N23" s="111"/>
      <c r="O23" s="19">
        <v>0</v>
      </c>
      <c r="P23" s="18"/>
      <c r="Q23" s="19">
        <v>0</v>
      </c>
      <c r="R23" s="18"/>
      <c r="S23" s="19">
        <v>0</v>
      </c>
      <c r="T23" s="19"/>
      <c r="U23" s="19"/>
    </row>
    <row r="24" spans="1:21" x14ac:dyDescent="0.25">
      <c r="A24" s="708">
        <v>5310</v>
      </c>
      <c r="B24" s="12" t="s">
        <v>1156</v>
      </c>
      <c r="C24" s="127">
        <v>1659.5</v>
      </c>
      <c r="D24" s="18">
        <v>1863</v>
      </c>
      <c r="E24" s="111">
        <v>1535</v>
      </c>
      <c r="F24" s="111">
        <v>1775.1</v>
      </c>
      <c r="G24" s="111">
        <v>2491</v>
      </c>
      <c r="H24" s="111">
        <v>10389.34</v>
      </c>
      <c r="I24" s="111">
        <v>5775</v>
      </c>
      <c r="J24" s="111">
        <v>4765</v>
      </c>
      <c r="K24" s="19">
        <v>5000</v>
      </c>
      <c r="L24" s="111">
        <v>3778</v>
      </c>
      <c r="M24" s="19">
        <v>5000</v>
      </c>
      <c r="N24" s="111">
        <v>3767.59</v>
      </c>
      <c r="O24" s="19">
        <v>5000</v>
      </c>
      <c r="P24" s="18">
        <v>3086.59</v>
      </c>
      <c r="Q24" s="19">
        <v>5000</v>
      </c>
      <c r="R24" s="18">
        <v>1473</v>
      </c>
      <c r="S24" s="19">
        <v>5000</v>
      </c>
      <c r="T24" s="19"/>
      <c r="U24" s="19"/>
    </row>
    <row r="25" spans="1:21" x14ac:dyDescent="0.25">
      <c r="A25" s="708">
        <v>5314</v>
      </c>
      <c r="B25" s="12" t="s">
        <v>749</v>
      </c>
      <c r="C25" s="127">
        <v>35</v>
      </c>
      <c r="D25" s="18">
        <v>65</v>
      </c>
      <c r="E25" s="111">
        <v>80</v>
      </c>
      <c r="F25" s="111">
        <v>100</v>
      </c>
      <c r="G25" s="111">
        <v>2040</v>
      </c>
      <c r="H25" s="111">
        <v>40</v>
      </c>
      <c r="I25" s="111">
        <v>210</v>
      </c>
      <c r="J25" s="111">
        <v>100</v>
      </c>
      <c r="K25" s="19">
        <v>200</v>
      </c>
      <c r="L25" s="111"/>
      <c r="M25" s="19">
        <v>200</v>
      </c>
      <c r="N25" s="111">
        <v>1330</v>
      </c>
      <c r="O25" s="19">
        <v>200</v>
      </c>
      <c r="P25" s="18">
        <v>500</v>
      </c>
      <c r="Q25" s="19">
        <v>1000</v>
      </c>
      <c r="R25" s="18">
        <v>225</v>
      </c>
      <c r="S25" s="19">
        <v>1000</v>
      </c>
      <c r="T25" s="19"/>
      <c r="U25" s="19"/>
    </row>
    <row r="26" spans="1:21" x14ac:dyDescent="0.25">
      <c r="A26" s="708">
        <v>5315</v>
      </c>
      <c r="B26" s="12" t="s">
        <v>1157</v>
      </c>
      <c r="C26" s="127">
        <v>24208.71</v>
      </c>
      <c r="D26" s="18">
        <v>21600.63</v>
      </c>
      <c r="E26" s="111">
        <v>27572.84</v>
      </c>
      <c r="F26" s="111">
        <v>29246.78</v>
      </c>
      <c r="G26" s="111">
        <f>40225.88-G27</f>
        <v>20041.039999999997</v>
      </c>
      <c r="H26" s="111">
        <f>32602.13-H27</f>
        <v>14179.400000000001</v>
      </c>
      <c r="I26" s="111">
        <v>22930.35</v>
      </c>
      <c r="J26" s="111">
        <v>10841.6</v>
      </c>
      <c r="K26" s="19">
        <v>18000</v>
      </c>
      <c r="L26" s="111">
        <v>29457.1</v>
      </c>
      <c r="M26" s="19">
        <v>18000</v>
      </c>
      <c r="N26" s="111">
        <v>15340.91</v>
      </c>
      <c r="O26" s="19">
        <v>18500</v>
      </c>
      <c r="P26" s="18">
        <v>5401.59</v>
      </c>
      <c r="Q26" s="19">
        <v>18500</v>
      </c>
      <c r="R26" s="18">
        <v>14374.59</v>
      </c>
      <c r="S26" s="19">
        <v>18500</v>
      </c>
      <c r="T26" s="19"/>
      <c r="U26" s="19"/>
    </row>
    <row r="27" spans="1:21" x14ac:dyDescent="0.25">
      <c r="A27" s="708">
        <v>5320</v>
      </c>
      <c r="B27" s="12" t="s">
        <v>1158</v>
      </c>
      <c r="C27" s="127"/>
      <c r="D27" s="18"/>
      <c r="E27" s="111"/>
      <c r="F27" s="111"/>
      <c r="G27" s="111">
        <v>20184.84</v>
      </c>
      <c r="H27" s="111">
        <v>18422.73</v>
      </c>
      <c r="I27" s="111">
        <v>19083.580000000002</v>
      </c>
      <c r="J27" s="111">
        <v>27622.11</v>
      </c>
      <c r="K27" s="19">
        <v>22000</v>
      </c>
      <c r="L27" s="111">
        <v>25903.26</v>
      </c>
      <c r="M27" s="19">
        <v>28000</v>
      </c>
      <c r="N27" s="111">
        <v>23797.75</v>
      </c>
      <c r="O27" s="19">
        <v>28000</v>
      </c>
      <c r="P27" s="18">
        <v>25322.03</v>
      </c>
      <c r="Q27" s="19">
        <v>28000</v>
      </c>
      <c r="R27" s="18">
        <v>40690.82</v>
      </c>
      <c r="S27" s="19">
        <v>40000</v>
      </c>
      <c r="T27" s="19"/>
      <c r="U27" s="19"/>
    </row>
    <row r="28" spans="1:21" x14ac:dyDescent="0.25">
      <c r="A28" s="708">
        <v>5341</v>
      </c>
      <c r="B28" s="12" t="s">
        <v>1159</v>
      </c>
      <c r="C28" s="127">
        <v>3078.49</v>
      </c>
      <c r="D28" s="18">
        <v>3210.87</v>
      </c>
      <c r="E28" s="111">
        <v>3419.12</v>
      </c>
      <c r="F28" s="111">
        <v>3544.05</v>
      </c>
      <c r="G28" s="111">
        <v>3468.11</v>
      </c>
      <c r="H28" s="111">
        <v>1848.31</v>
      </c>
      <c r="I28" s="111">
        <v>1750.2</v>
      </c>
      <c r="J28" s="111">
        <v>1771.2</v>
      </c>
      <c r="K28" s="19">
        <v>3500</v>
      </c>
      <c r="L28" s="111">
        <v>2094.5300000000002</v>
      </c>
      <c r="M28" s="19">
        <v>3500</v>
      </c>
      <c r="N28" s="111">
        <v>2200.96</v>
      </c>
      <c r="O28" s="19">
        <v>3000</v>
      </c>
      <c r="P28" s="18">
        <v>3356.63</v>
      </c>
      <c r="Q28" s="19">
        <v>3000</v>
      </c>
      <c r="R28" s="18">
        <v>1957.56</v>
      </c>
      <c r="S28" s="19">
        <v>3500</v>
      </c>
      <c r="T28" s="19"/>
      <c r="U28" s="19"/>
    </row>
    <row r="29" spans="1:21" x14ac:dyDescent="0.25">
      <c r="A29" s="708">
        <v>5344</v>
      </c>
      <c r="B29" s="12" t="s">
        <v>722</v>
      </c>
      <c r="C29" s="200">
        <v>60.4</v>
      </c>
      <c r="D29" s="18">
        <v>78.47</v>
      </c>
      <c r="E29" s="111">
        <v>55</v>
      </c>
      <c r="F29" s="111">
        <v>28.15</v>
      </c>
      <c r="G29" s="111">
        <v>20.82</v>
      </c>
      <c r="H29" s="111">
        <v>58.25</v>
      </c>
      <c r="I29" s="111">
        <v>31.22</v>
      </c>
      <c r="J29" s="111">
        <v>22</v>
      </c>
      <c r="K29" s="19">
        <v>100</v>
      </c>
      <c r="L29" s="111">
        <v>17.47</v>
      </c>
      <c r="M29" s="19">
        <v>100</v>
      </c>
      <c r="N29" s="111">
        <v>131.34</v>
      </c>
      <c r="O29" s="19">
        <v>100</v>
      </c>
      <c r="P29" s="18">
        <v>82.51</v>
      </c>
      <c r="Q29" s="19">
        <v>100</v>
      </c>
      <c r="R29" s="18">
        <v>41.22</v>
      </c>
      <c r="S29" s="19">
        <v>100</v>
      </c>
      <c r="T29" s="19"/>
      <c r="U29" s="19"/>
    </row>
    <row r="30" spans="1:21" x14ac:dyDescent="0.25">
      <c r="A30" s="708">
        <v>5345</v>
      </c>
      <c r="B30" s="12" t="s">
        <v>752</v>
      </c>
      <c r="C30" s="127">
        <v>50.81</v>
      </c>
      <c r="D30" s="18">
        <v>237.71</v>
      </c>
      <c r="E30" s="111">
        <v>835.56</v>
      </c>
      <c r="F30" s="111">
        <v>1284.3399999999999</v>
      </c>
      <c r="G30" s="111">
        <v>1533.36</v>
      </c>
      <c r="H30" s="111">
        <v>1075.22</v>
      </c>
      <c r="I30" s="111">
        <v>3390.59</v>
      </c>
      <c r="J30" s="111">
        <v>1518.32</v>
      </c>
      <c r="K30" s="19">
        <v>2500</v>
      </c>
      <c r="L30" s="111">
        <v>1531.24</v>
      </c>
      <c r="M30" s="19">
        <v>2500</v>
      </c>
      <c r="N30" s="111">
        <v>2514.33</v>
      </c>
      <c r="O30" s="19">
        <v>2500</v>
      </c>
      <c r="P30" s="18">
        <v>2351.34</v>
      </c>
      <c r="Q30" s="19">
        <v>2500</v>
      </c>
      <c r="R30" s="18">
        <v>667.45</v>
      </c>
      <c r="S30" s="19">
        <v>2500</v>
      </c>
      <c r="T30" s="19"/>
      <c r="U30" s="19"/>
    </row>
    <row r="31" spans="1:21" x14ac:dyDescent="0.25">
      <c r="A31" s="708">
        <v>5420</v>
      </c>
      <c r="B31" s="12" t="s">
        <v>753</v>
      </c>
      <c r="C31" s="111">
        <v>965.81</v>
      </c>
      <c r="D31" s="18">
        <v>694.26</v>
      </c>
      <c r="E31" s="111">
        <v>1611.93</v>
      </c>
      <c r="F31" s="111">
        <v>1141.1500000000001</v>
      </c>
      <c r="G31" s="111">
        <v>953.7</v>
      </c>
      <c r="H31" s="111">
        <v>1938.24</v>
      </c>
      <c r="I31" s="111">
        <v>1793.4</v>
      </c>
      <c r="J31" s="111">
        <v>861.64</v>
      </c>
      <c r="K31" s="19">
        <v>1750</v>
      </c>
      <c r="L31" s="111">
        <v>2708.1</v>
      </c>
      <c r="M31" s="19">
        <v>4000</v>
      </c>
      <c r="N31" s="111">
        <v>1700.87</v>
      </c>
      <c r="O31" s="19">
        <v>3500</v>
      </c>
      <c r="P31" s="18">
        <v>3081.12</v>
      </c>
      <c r="Q31" s="19">
        <v>3500</v>
      </c>
      <c r="R31" s="18">
        <v>1118.78</v>
      </c>
      <c r="S31" s="19">
        <v>3500</v>
      </c>
      <c r="T31" s="19"/>
      <c r="U31" s="19"/>
    </row>
    <row r="32" spans="1:21" x14ac:dyDescent="0.25">
      <c r="A32" s="708">
        <v>5430</v>
      </c>
      <c r="B32" s="12" t="s">
        <v>1160</v>
      </c>
      <c r="C32" s="127">
        <v>680.13</v>
      </c>
      <c r="D32" s="18">
        <v>738.74</v>
      </c>
      <c r="E32" s="111">
        <v>671.33</v>
      </c>
      <c r="F32" s="111">
        <v>398.72</v>
      </c>
      <c r="G32" s="111">
        <v>4603.57</v>
      </c>
      <c r="H32" s="111">
        <v>440.97</v>
      </c>
      <c r="I32" s="111">
        <v>519.57000000000005</v>
      </c>
      <c r="J32" s="111">
        <v>549.82000000000005</v>
      </c>
      <c r="K32" s="19">
        <v>2500</v>
      </c>
      <c r="L32" s="111">
        <v>285.89</v>
      </c>
      <c r="M32" s="19">
        <v>2500</v>
      </c>
      <c r="N32" s="111">
        <v>1440</v>
      </c>
      <c r="O32" s="19">
        <v>2500</v>
      </c>
      <c r="P32" s="18"/>
      <c r="Q32" s="19">
        <v>2500</v>
      </c>
      <c r="R32" s="18"/>
      <c r="S32" s="19">
        <v>2500</v>
      </c>
      <c r="T32" s="19"/>
      <c r="U32" s="19"/>
    </row>
    <row r="33" spans="1:24" hidden="1" x14ac:dyDescent="0.25">
      <c r="A33" s="708">
        <v>5432</v>
      </c>
      <c r="B33" s="12" t="s">
        <v>1213</v>
      </c>
      <c r="C33" s="127">
        <v>37.119999999999997</v>
      </c>
      <c r="D33" s="18">
        <v>13.95</v>
      </c>
      <c r="E33" s="111"/>
      <c r="F33" s="111">
        <v>55.85</v>
      </c>
      <c r="G33" s="111"/>
      <c r="H33" s="111"/>
      <c r="I33" s="111"/>
      <c r="J33" s="111"/>
      <c r="K33" s="19"/>
      <c r="L33" s="111"/>
      <c r="M33" s="19"/>
      <c r="N33" s="111"/>
      <c r="O33" s="19"/>
      <c r="P33" s="18"/>
      <c r="Q33" s="19"/>
      <c r="R33" s="13"/>
      <c r="S33" s="19"/>
      <c r="T33" s="19"/>
      <c r="U33" s="19"/>
    </row>
    <row r="34" spans="1:24" x14ac:dyDescent="0.25">
      <c r="A34" s="708">
        <v>5435</v>
      </c>
      <c r="B34" s="12" t="s">
        <v>1214</v>
      </c>
      <c r="C34" s="111">
        <v>2223.06</v>
      </c>
      <c r="D34" s="18">
        <v>1519.3</v>
      </c>
      <c r="E34" s="111">
        <v>2230.3200000000002</v>
      </c>
      <c r="F34" s="111">
        <v>3011.96</v>
      </c>
      <c r="G34" s="111">
        <v>2113.88</v>
      </c>
      <c r="H34" s="111">
        <v>6885.49</v>
      </c>
      <c r="I34" s="111">
        <v>3971.26</v>
      </c>
      <c r="J34" s="111">
        <v>9171.73</v>
      </c>
      <c r="K34" s="19">
        <v>5000</v>
      </c>
      <c r="L34" s="111">
        <v>2848.01</v>
      </c>
      <c r="M34" s="19">
        <v>5000</v>
      </c>
      <c r="N34" s="111">
        <v>4877.91</v>
      </c>
      <c r="O34" s="19">
        <v>5000</v>
      </c>
      <c r="P34" s="18">
        <v>8864.75</v>
      </c>
      <c r="Q34" s="19">
        <v>5000</v>
      </c>
      <c r="R34" s="18">
        <v>2638.62</v>
      </c>
      <c r="S34" s="19">
        <v>5000</v>
      </c>
      <c r="T34" s="19"/>
      <c r="U34" s="19"/>
    </row>
    <row r="35" spans="1:24" x14ac:dyDescent="0.25">
      <c r="A35" s="708">
        <v>5440</v>
      </c>
      <c r="B35" s="12" t="s">
        <v>1163</v>
      </c>
      <c r="C35" s="127">
        <v>4022.66</v>
      </c>
      <c r="D35" s="18">
        <v>4443.3500000000004</v>
      </c>
      <c r="E35" s="111">
        <v>6122.27</v>
      </c>
      <c r="F35" s="111">
        <v>4464.0600000000004</v>
      </c>
      <c r="G35" s="111">
        <v>2584.31</v>
      </c>
      <c r="H35" s="111">
        <v>8262.68</v>
      </c>
      <c r="I35" s="111">
        <v>5721.25</v>
      </c>
      <c r="J35" s="111">
        <v>9061.2199999999993</v>
      </c>
      <c r="K35" s="19">
        <v>7000</v>
      </c>
      <c r="L35" s="111">
        <v>6192.19</v>
      </c>
      <c r="M35" s="19">
        <v>8000</v>
      </c>
      <c r="N35" s="111">
        <v>7341.42</v>
      </c>
      <c r="O35" s="19">
        <v>8000</v>
      </c>
      <c r="P35" s="18">
        <v>10254.44</v>
      </c>
      <c r="Q35" s="19">
        <v>10000</v>
      </c>
      <c r="R35" s="18">
        <v>4458.3</v>
      </c>
      <c r="S35" s="19">
        <v>10000</v>
      </c>
      <c r="T35" s="19"/>
      <c r="U35" s="19"/>
    </row>
    <row r="36" spans="1:24" x14ac:dyDescent="0.25">
      <c r="A36" s="708">
        <v>5443</v>
      </c>
      <c r="B36" s="12" t="s">
        <v>1164</v>
      </c>
      <c r="C36" s="127">
        <v>16245.85</v>
      </c>
      <c r="D36" s="18">
        <v>20320.52</v>
      </c>
      <c r="E36" s="111">
        <v>16077.74</v>
      </c>
      <c r="F36" s="111">
        <v>42904.99</v>
      </c>
      <c r="G36" s="111">
        <v>20066.259999999998</v>
      </c>
      <c r="H36" s="111">
        <v>25480.45</v>
      </c>
      <c r="I36" s="111">
        <v>26714.95</v>
      </c>
      <c r="J36" s="111">
        <v>43697.94</v>
      </c>
      <c r="K36" s="19">
        <v>35000</v>
      </c>
      <c r="L36" s="111">
        <v>47691.71</v>
      </c>
      <c r="M36" s="19">
        <v>39000</v>
      </c>
      <c r="N36" s="111">
        <v>32038.6</v>
      </c>
      <c r="O36" s="19">
        <v>57000</v>
      </c>
      <c r="P36" s="18">
        <v>56621.4</v>
      </c>
      <c r="Q36" s="19">
        <v>57000</v>
      </c>
      <c r="R36" s="18">
        <v>23355.48</v>
      </c>
      <c r="S36" s="19">
        <v>57000</v>
      </c>
      <c r="T36" s="19"/>
      <c r="U36" s="19"/>
    </row>
    <row r="37" spans="1:24" x14ac:dyDescent="0.25">
      <c r="A37" s="708">
        <v>5481</v>
      </c>
      <c r="B37" s="12" t="s">
        <v>1037</v>
      </c>
      <c r="C37" s="127">
        <v>23072.400000000001</v>
      </c>
      <c r="D37" s="13">
        <v>32924.959999999999</v>
      </c>
      <c r="E37" s="127">
        <v>27697.48</v>
      </c>
      <c r="F37" s="127">
        <v>18370.16</v>
      </c>
      <c r="G37" s="127">
        <v>11746.54</v>
      </c>
      <c r="H37" s="127">
        <v>27057.85</v>
      </c>
      <c r="I37" s="127">
        <v>32961.730000000003</v>
      </c>
      <c r="J37" s="127">
        <v>24671.91</v>
      </c>
      <c r="K37" s="14">
        <v>45000</v>
      </c>
      <c r="L37" s="111">
        <v>18138.169999999998</v>
      </c>
      <c r="M37" s="14">
        <v>45000</v>
      </c>
      <c r="N37" s="111">
        <v>20371.330000000002</v>
      </c>
      <c r="O37" s="14">
        <v>45000</v>
      </c>
      <c r="P37" s="18">
        <v>46009.54</v>
      </c>
      <c r="Q37" s="14">
        <v>63140</v>
      </c>
      <c r="R37" s="18">
        <v>10806.67</v>
      </c>
      <c r="S37" s="14">
        <v>63140</v>
      </c>
      <c r="T37" s="14"/>
      <c r="U37" s="14"/>
      <c r="X37" s="25"/>
    </row>
    <row r="38" spans="1:24" x14ac:dyDescent="0.25">
      <c r="A38" s="708">
        <v>5482</v>
      </c>
      <c r="B38" s="12" t="s">
        <v>1166</v>
      </c>
      <c r="C38" s="127">
        <v>55086.99</v>
      </c>
      <c r="D38" s="13">
        <v>73803.73</v>
      </c>
      <c r="E38" s="127">
        <v>75053.789999999994</v>
      </c>
      <c r="F38" s="127">
        <v>49247.73</v>
      </c>
      <c r="G38" s="127">
        <v>30907.05</v>
      </c>
      <c r="H38" s="127">
        <v>32653.5</v>
      </c>
      <c r="I38" s="127">
        <v>50089.25</v>
      </c>
      <c r="J38" s="127">
        <v>42648.88</v>
      </c>
      <c r="K38" s="14">
        <v>60000</v>
      </c>
      <c r="L38" s="111">
        <v>20446</v>
      </c>
      <c r="M38" s="14">
        <v>53000</v>
      </c>
      <c r="N38" s="111">
        <v>34760.06</v>
      </c>
      <c r="O38" s="14">
        <v>53000</v>
      </c>
      <c r="P38" s="18">
        <v>85470.28</v>
      </c>
      <c r="Q38" s="14">
        <v>67200</v>
      </c>
      <c r="R38" s="18">
        <v>14985</v>
      </c>
      <c r="S38" s="14">
        <v>67200</v>
      </c>
      <c r="T38" s="14"/>
      <c r="U38" s="14"/>
      <c r="X38" s="25"/>
    </row>
    <row r="39" spans="1:24" x14ac:dyDescent="0.25">
      <c r="A39" s="708">
        <v>5484</v>
      </c>
      <c r="B39" s="12" t="s">
        <v>1167</v>
      </c>
      <c r="C39" s="127">
        <v>41019.53</v>
      </c>
      <c r="D39" s="18">
        <v>46732</v>
      </c>
      <c r="E39" s="111">
        <v>75705.59</v>
      </c>
      <c r="F39" s="111">
        <v>71319.490000000005</v>
      </c>
      <c r="G39" s="111">
        <v>70335.48</v>
      </c>
      <c r="H39" s="111">
        <v>78729.27</v>
      </c>
      <c r="I39" s="111">
        <f>33.5+89540.21</f>
        <v>89573.71</v>
      </c>
      <c r="J39" s="111">
        <v>93738.67</v>
      </c>
      <c r="K39" s="19">
        <v>80000</v>
      </c>
      <c r="L39" s="111">
        <v>79364.2</v>
      </c>
      <c r="M39" s="19">
        <v>85000</v>
      </c>
      <c r="N39" s="111">
        <v>96232.29</v>
      </c>
      <c r="O39" s="19">
        <v>85000</v>
      </c>
      <c r="P39" s="18">
        <v>84639.39</v>
      </c>
      <c r="Q39" s="19">
        <v>85000</v>
      </c>
      <c r="R39" s="18">
        <v>34862.1</v>
      </c>
      <c r="S39" s="19">
        <v>85000</v>
      </c>
      <c r="T39" s="19"/>
      <c r="U39" s="19"/>
      <c r="X39" s="2"/>
    </row>
    <row r="40" spans="1:24" x14ac:dyDescent="0.25">
      <c r="A40" s="708">
        <v>5500</v>
      </c>
      <c r="B40" s="12" t="s">
        <v>1168</v>
      </c>
      <c r="C40" s="127"/>
      <c r="D40" s="18"/>
      <c r="E40" s="111">
        <v>11.94</v>
      </c>
      <c r="F40" s="111"/>
      <c r="G40" s="111"/>
      <c r="H40" s="111"/>
      <c r="I40" s="111">
        <v>127.13</v>
      </c>
      <c r="J40" s="111">
        <v>947.82</v>
      </c>
      <c r="K40" s="19">
        <v>150</v>
      </c>
      <c r="L40" s="111">
        <v>381.74</v>
      </c>
      <c r="M40" s="19">
        <v>150</v>
      </c>
      <c r="N40" s="111">
        <v>219.17</v>
      </c>
      <c r="O40" s="19">
        <v>150</v>
      </c>
      <c r="P40" s="18">
        <v>314.41000000000003</v>
      </c>
      <c r="Q40" s="19">
        <v>200</v>
      </c>
      <c r="R40" s="18">
        <v>298.38</v>
      </c>
      <c r="S40" s="19">
        <v>250</v>
      </c>
      <c r="T40" s="19"/>
      <c r="U40" s="19"/>
    </row>
    <row r="41" spans="1:24" x14ac:dyDescent="0.25">
      <c r="A41" s="708">
        <v>5530</v>
      </c>
      <c r="B41" s="12" t="s">
        <v>1169</v>
      </c>
      <c r="C41" s="127">
        <v>43029.4</v>
      </c>
      <c r="D41" s="18">
        <v>45445.69</v>
      </c>
      <c r="E41" s="111">
        <v>36322.94</v>
      </c>
      <c r="F41" s="111">
        <v>43379.03</v>
      </c>
      <c r="G41" s="111">
        <v>24572.81</v>
      </c>
      <c r="H41" s="111">
        <v>31418.53</v>
      </c>
      <c r="I41" s="111">
        <v>30491.41</v>
      </c>
      <c r="J41" s="111">
        <v>29182.49</v>
      </c>
      <c r="K41" s="19">
        <v>55000</v>
      </c>
      <c r="L41" s="111">
        <v>47021.23</v>
      </c>
      <c r="M41" s="19">
        <v>55000</v>
      </c>
      <c r="N41" s="111">
        <v>63954.71</v>
      </c>
      <c r="O41" s="19">
        <v>71500</v>
      </c>
      <c r="P41" s="18">
        <v>61850.97</v>
      </c>
      <c r="Q41" s="19">
        <v>71500</v>
      </c>
      <c r="R41" s="18">
        <v>37633.26</v>
      </c>
      <c r="S41" s="19">
        <v>71500</v>
      </c>
      <c r="T41" s="19"/>
      <c r="U41" s="19"/>
    </row>
    <row r="42" spans="1:24" hidden="1" x14ac:dyDescent="0.25">
      <c r="A42" s="708">
        <v>5534</v>
      </c>
      <c r="B42" s="12" t="s">
        <v>1170</v>
      </c>
      <c r="C42" s="127">
        <v>125</v>
      </c>
      <c r="D42" s="18"/>
      <c r="E42" s="111"/>
      <c r="F42" s="111"/>
      <c r="G42" s="111"/>
      <c r="H42" s="111"/>
      <c r="I42" s="111"/>
      <c r="J42" s="111"/>
      <c r="K42" s="19"/>
      <c r="L42" s="111"/>
      <c r="M42" s="19"/>
      <c r="N42" s="111"/>
      <c r="O42" s="19"/>
      <c r="P42" s="18"/>
      <c r="Q42" s="19"/>
      <c r="R42" s="18"/>
      <c r="S42" s="19"/>
      <c r="T42" s="19"/>
      <c r="U42" s="19"/>
    </row>
    <row r="43" spans="1:24" hidden="1" x14ac:dyDescent="0.25">
      <c r="A43" s="708">
        <v>5580</v>
      </c>
      <c r="B43" s="12" t="s">
        <v>1215</v>
      </c>
      <c r="C43" s="127"/>
      <c r="D43" s="18"/>
      <c r="E43" s="111"/>
      <c r="F43" s="111"/>
      <c r="G43" s="111"/>
      <c r="H43" s="111"/>
      <c r="I43" s="111">
        <v>12646.36</v>
      </c>
      <c r="J43" s="111"/>
      <c r="K43" s="19"/>
      <c r="L43" s="111"/>
      <c r="M43" s="19"/>
      <c r="N43" s="111"/>
      <c r="O43" s="19"/>
      <c r="P43" s="18"/>
      <c r="Q43" s="19"/>
      <c r="R43" s="18"/>
      <c r="S43" s="19"/>
      <c r="T43" s="19"/>
      <c r="U43" s="19"/>
    </row>
    <row r="44" spans="1:24" x14ac:dyDescent="0.25">
      <c r="A44" s="708">
        <v>5582</v>
      </c>
      <c r="B44" s="12" t="s">
        <v>1040</v>
      </c>
      <c r="C44" s="127">
        <v>2596.34</v>
      </c>
      <c r="D44" s="18">
        <v>2080.9699999999998</v>
      </c>
      <c r="E44" s="111">
        <v>3880.7</v>
      </c>
      <c r="F44" s="111">
        <v>4245.47</v>
      </c>
      <c r="G44" s="111">
        <v>4901.04</v>
      </c>
      <c r="H44" s="111">
        <v>5798.09</v>
      </c>
      <c r="I44" s="111">
        <v>5887.39</v>
      </c>
      <c r="J44" s="111">
        <v>12423.84</v>
      </c>
      <c r="K44" s="19">
        <v>14000</v>
      </c>
      <c r="L44" s="111">
        <v>13865.13</v>
      </c>
      <c r="M44" s="19">
        <v>14000</v>
      </c>
      <c r="N44" s="111">
        <v>16235.69</v>
      </c>
      <c r="O44" s="19">
        <f>1500+14000</f>
        <v>15500</v>
      </c>
      <c r="P44" s="18">
        <v>17406.91</v>
      </c>
      <c r="Q44" s="19">
        <v>15500</v>
      </c>
      <c r="R44" s="18">
        <v>6201.33</v>
      </c>
      <c r="S44" s="19">
        <v>15500</v>
      </c>
      <c r="T44" s="19"/>
      <c r="U44" s="19"/>
    </row>
    <row r="45" spans="1:24" x14ac:dyDescent="0.25">
      <c r="A45" s="708">
        <v>5588</v>
      </c>
      <c r="B45" s="60" t="s">
        <v>1171</v>
      </c>
      <c r="C45" s="127"/>
      <c r="D45" s="18"/>
      <c r="E45" s="111"/>
      <c r="F45" s="111"/>
      <c r="G45" s="111">
        <v>164</v>
      </c>
      <c r="H45" s="111"/>
      <c r="I45" s="111">
        <v>0</v>
      </c>
      <c r="J45" s="111"/>
      <c r="K45" s="19">
        <v>1000</v>
      </c>
      <c r="L45" s="111"/>
      <c r="M45" s="19">
        <v>1000</v>
      </c>
      <c r="N45" s="111"/>
      <c r="O45" s="19">
        <v>500</v>
      </c>
      <c r="P45" s="18"/>
      <c r="Q45" s="19">
        <v>500</v>
      </c>
      <c r="R45" s="13"/>
      <c r="S45" s="19">
        <v>500</v>
      </c>
      <c r="T45" s="19"/>
      <c r="U45" s="19"/>
    </row>
    <row r="46" spans="1:24" x14ac:dyDescent="0.25">
      <c r="A46" s="708">
        <v>5710</v>
      </c>
      <c r="B46" s="12" t="s">
        <v>758</v>
      </c>
      <c r="C46" s="254">
        <v>44.78</v>
      </c>
      <c r="D46" s="18">
        <v>22.6</v>
      </c>
      <c r="E46" s="111"/>
      <c r="F46" s="111"/>
      <c r="G46" s="111"/>
      <c r="H46" s="111"/>
      <c r="I46" s="111">
        <v>0</v>
      </c>
      <c r="J46" s="111"/>
      <c r="K46" s="19">
        <v>125</v>
      </c>
      <c r="L46" s="111"/>
      <c r="M46" s="19">
        <v>125</v>
      </c>
      <c r="N46" s="111">
        <v>103.9</v>
      </c>
      <c r="O46" s="19">
        <v>125</v>
      </c>
      <c r="P46" s="18">
        <v>79.95</v>
      </c>
      <c r="Q46" s="19">
        <v>125</v>
      </c>
      <c r="R46" s="18"/>
      <c r="S46" s="19">
        <v>125</v>
      </c>
      <c r="T46" s="19"/>
      <c r="U46" s="19"/>
    </row>
    <row r="47" spans="1:24" x14ac:dyDescent="0.25">
      <c r="A47" s="708">
        <v>5730</v>
      </c>
      <c r="B47" s="12" t="s">
        <v>759</v>
      </c>
      <c r="C47" s="200">
        <v>361</v>
      </c>
      <c r="D47" s="18">
        <v>233</v>
      </c>
      <c r="E47" s="111">
        <v>381</v>
      </c>
      <c r="F47" s="111">
        <v>381</v>
      </c>
      <c r="G47" s="111">
        <v>356</v>
      </c>
      <c r="H47" s="111">
        <v>125</v>
      </c>
      <c r="I47" s="111">
        <v>125</v>
      </c>
      <c r="J47" s="111">
        <v>125</v>
      </c>
      <c r="K47" s="19">
        <v>500</v>
      </c>
      <c r="L47" s="111">
        <v>431</v>
      </c>
      <c r="M47" s="19">
        <v>500</v>
      </c>
      <c r="N47" s="111">
        <v>850</v>
      </c>
      <c r="O47" s="19">
        <v>500</v>
      </c>
      <c r="P47" s="18">
        <v>381</v>
      </c>
      <c r="Q47" s="19">
        <v>500</v>
      </c>
      <c r="R47" s="18">
        <v>256</v>
      </c>
      <c r="S47" s="19">
        <v>500</v>
      </c>
      <c r="T47" s="19"/>
      <c r="U47" s="19"/>
    </row>
    <row r="48" spans="1:24" hidden="1" x14ac:dyDescent="0.25">
      <c r="A48" s="729"/>
      <c r="B48" s="12" t="s">
        <v>1042</v>
      </c>
      <c r="C48" s="200"/>
      <c r="D48" s="28"/>
      <c r="E48" s="254"/>
      <c r="F48" s="254"/>
      <c r="G48" s="254"/>
      <c r="H48" s="254"/>
      <c r="I48" s="254"/>
      <c r="J48" s="254"/>
      <c r="K48" s="29"/>
      <c r="L48" s="254">
        <v>4024.03</v>
      </c>
      <c r="M48" s="29"/>
      <c r="N48" s="254"/>
      <c r="O48" s="29"/>
      <c r="P48" s="28"/>
      <c r="Q48" s="29"/>
      <c r="R48" s="28"/>
      <c r="S48" s="29"/>
      <c r="T48" s="29"/>
      <c r="U48" s="29"/>
    </row>
    <row r="49" spans="1:24" ht="13.8" thickBot="1" x14ac:dyDescent="0.3">
      <c r="A49" s="727">
        <v>5783</v>
      </c>
      <c r="B49" s="60" t="s">
        <v>1173</v>
      </c>
      <c r="C49" s="252">
        <v>780</v>
      </c>
      <c r="D49" s="15">
        <v>1710</v>
      </c>
      <c r="E49" s="252">
        <v>1440</v>
      </c>
      <c r="F49" s="252">
        <v>724</v>
      </c>
      <c r="G49" s="252">
        <v>567.9</v>
      </c>
      <c r="H49" s="252">
        <v>1328.7</v>
      </c>
      <c r="I49" s="252">
        <v>1056</v>
      </c>
      <c r="J49" s="252">
        <v>1204.95</v>
      </c>
      <c r="K49" s="16">
        <v>1500</v>
      </c>
      <c r="L49" s="252">
        <v>950</v>
      </c>
      <c r="M49" s="16">
        <v>1500</v>
      </c>
      <c r="N49" s="252">
        <v>1025.58</v>
      </c>
      <c r="O49" s="16">
        <v>1500</v>
      </c>
      <c r="P49" s="15">
        <v>1297.53</v>
      </c>
      <c r="Q49" s="16">
        <v>1500</v>
      </c>
      <c r="R49" s="15">
        <v>2131.5300000000002</v>
      </c>
      <c r="S49" s="16">
        <v>1500</v>
      </c>
      <c r="T49" s="16"/>
      <c r="U49" s="16"/>
    </row>
    <row r="50" spans="1:24" x14ac:dyDescent="0.25">
      <c r="A50" s="725"/>
      <c r="B50" s="62" t="s">
        <v>728</v>
      </c>
      <c r="C50" s="111">
        <f t="shared" ref="C50:U50" si="2">SUM(C18:C49)</f>
        <v>243566.75999999998</v>
      </c>
      <c r="D50" s="18">
        <f t="shared" si="2"/>
        <v>291089.50999999995</v>
      </c>
      <c r="E50" s="18">
        <f t="shared" si="2"/>
        <v>317125.98000000004</v>
      </c>
      <c r="F50" s="18">
        <f t="shared" si="2"/>
        <v>325780</v>
      </c>
      <c r="G50" s="18">
        <f t="shared" si="2"/>
        <v>266189.69999999995</v>
      </c>
      <c r="H50" s="18">
        <f t="shared" si="2"/>
        <v>308177.65000000002</v>
      </c>
      <c r="I50" s="18">
        <f t="shared" si="2"/>
        <v>353764.51</v>
      </c>
      <c r="J50" s="18">
        <f t="shared" si="2"/>
        <v>357516.41000000009</v>
      </c>
      <c r="K50" s="19">
        <f>SUM(K18:K49)</f>
        <v>402025</v>
      </c>
      <c r="L50" s="18">
        <f t="shared" ref="L50:N50" si="3">SUM(L18:L49)</f>
        <v>350249.79</v>
      </c>
      <c r="M50" s="19">
        <f>SUM(M18:M49)</f>
        <v>420775</v>
      </c>
      <c r="N50" s="18">
        <f t="shared" si="3"/>
        <v>367302.31000000006</v>
      </c>
      <c r="O50" s="19">
        <f>SUM(O18:O49)</f>
        <v>459375</v>
      </c>
      <c r="P50" s="18"/>
      <c r="Q50" s="19">
        <f>SUM(Q18:Q49)</f>
        <v>494565</v>
      </c>
      <c r="R50" s="18">
        <f t="shared" si="2"/>
        <v>219137.13999999998</v>
      </c>
      <c r="S50" s="19">
        <f>SUM(S18:S49)</f>
        <v>507115</v>
      </c>
      <c r="T50" s="19">
        <f>SUM(T18:T49)</f>
        <v>0</v>
      </c>
      <c r="U50" s="19">
        <f t="shared" si="2"/>
        <v>0</v>
      </c>
    </row>
    <row r="51" spans="1:24" x14ac:dyDescent="0.25">
      <c r="A51" s="725"/>
      <c r="B51" s="62"/>
      <c r="C51" s="111"/>
      <c r="D51" s="18"/>
      <c r="E51" s="18"/>
      <c r="F51" s="18"/>
      <c r="G51" s="18"/>
      <c r="H51" s="18"/>
      <c r="I51" s="18"/>
      <c r="J51" s="18"/>
      <c r="K51" s="19"/>
      <c r="L51" s="18"/>
      <c r="M51" s="19"/>
      <c r="N51" s="18"/>
      <c r="O51" s="19"/>
      <c r="P51" s="18"/>
      <c r="Q51" s="19"/>
      <c r="R51" s="18"/>
      <c r="S51" s="19"/>
      <c r="T51" s="19"/>
      <c r="U51" s="19"/>
    </row>
    <row r="52" spans="1:24" ht="13.8" thickBot="1" x14ac:dyDescent="0.3">
      <c r="A52" s="725">
        <v>5800</v>
      </c>
      <c r="B52" s="27" t="s">
        <v>1216</v>
      </c>
      <c r="C52" s="111"/>
      <c r="D52" s="18"/>
      <c r="E52" s="18"/>
      <c r="F52" s="15"/>
      <c r="G52" s="15"/>
      <c r="H52" s="15"/>
      <c r="I52" s="15">
        <v>21320.41</v>
      </c>
      <c r="J52" s="15">
        <v>21320.41</v>
      </c>
      <c r="K52" s="16">
        <v>24090</v>
      </c>
      <c r="L52" s="15">
        <v>21320.41</v>
      </c>
      <c r="M52" s="16">
        <v>21321</v>
      </c>
      <c r="N52" s="15">
        <v>21320.41</v>
      </c>
      <c r="O52" s="16"/>
      <c r="P52" s="15"/>
      <c r="Q52" s="16"/>
      <c r="R52" s="15"/>
      <c r="S52" s="16"/>
      <c r="T52" s="16"/>
      <c r="U52" s="16"/>
    </row>
    <row r="53" spans="1:24" x14ac:dyDescent="0.25">
      <c r="A53" s="725"/>
      <c r="B53" s="62" t="s">
        <v>829</v>
      </c>
      <c r="C53" s="111"/>
      <c r="D53" s="18"/>
      <c r="E53" s="18"/>
      <c r="F53" s="18"/>
      <c r="G53" s="18"/>
      <c r="H53" s="18"/>
      <c r="I53" s="18">
        <f>+I52</f>
        <v>21320.41</v>
      </c>
      <c r="J53" s="18">
        <f>+J52</f>
        <v>21320.41</v>
      </c>
      <c r="K53" s="19">
        <f>+K52</f>
        <v>24090</v>
      </c>
      <c r="L53" s="18">
        <f t="shared" ref="L53:O53" si="4">+L52</f>
        <v>21320.41</v>
      </c>
      <c r="M53" s="19">
        <f t="shared" si="4"/>
        <v>21321</v>
      </c>
      <c r="N53" s="18">
        <f t="shared" ref="N53" si="5">+N52</f>
        <v>21320.41</v>
      </c>
      <c r="O53" s="19">
        <f t="shared" si="4"/>
        <v>0</v>
      </c>
      <c r="P53" s="18"/>
      <c r="Q53" s="19">
        <f>+Q52</f>
        <v>0</v>
      </c>
      <c r="R53" s="136">
        <f>+R52</f>
        <v>0</v>
      </c>
      <c r="S53" s="19">
        <f>+S52</f>
        <v>0</v>
      </c>
      <c r="T53" s="19">
        <f>+T52</f>
        <v>0</v>
      </c>
      <c r="U53" s="19">
        <f>+S53</f>
        <v>0</v>
      </c>
    </row>
    <row r="54" spans="1:24" x14ac:dyDescent="0.25">
      <c r="A54" s="708"/>
      <c r="B54" s="12"/>
      <c r="C54" s="127"/>
      <c r="D54" s="13"/>
      <c r="E54" s="13"/>
      <c r="F54" s="13"/>
      <c r="G54" s="13"/>
      <c r="H54" s="13"/>
      <c r="I54" s="13"/>
      <c r="J54" s="13"/>
      <c r="K54" s="14"/>
      <c r="L54" s="13"/>
      <c r="M54" s="14"/>
      <c r="N54" s="13"/>
      <c r="O54" s="14"/>
      <c r="P54" s="13"/>
      <c r="Q54" s="14"/>
      <c r="R54" s="147"/>
      <c r="S54" s="14"/>
      <c r="T54" s="14"/>
      <c r="U54" s="14"/>
    </row>
    <row r="55" spans="1:24" ht="13.8" thickBot="1" x14ac:dyDescent="0.3">
      <c r="A55" s="709"/>
      <c r="B55" s="20" t="s">
        <v>1217</v>
      </c>
      <c r="C55" s="255">
        <f t="shared" ref="C55:H55" si="6">+C50+C16</f>
        <v>802502.48</v>
      </c>
      <c r="D55" s="255">
        <f t="shared" si="6"/>
        <v>876670.5399999998</v>
      </c>
      <c r="E55" s="255">
        <f t="shared" si="6"/>
        <v>887268.20000000019</v>
      </c>
      <c r="F55" s="255">
        <f t="shared" si="6"/>
        <v>901975.19000000006</v>
      </c>
      <c r="G55" s="255">
        <f t="shared" si="6"/>
        <v>840324.77</v>
      </c>
      <c r="H55" s="255">
        <f t="shared" si="6"/>
        <v>912147.92999999993</v>
      </c>
      <c r="I55" s="21">
        <f>+I50+I16+I53</f>
        <v>986744.43</v>
      </c>
      <c r="J55" s="21">
        <f>+J50+J16+J53</f>
        <v>1026490.5600000002</v>
      </c>
      <c r="K55" s="39">
        <f>+K50+K16+K53</f>
        <v>1108316</v>
      </c>
      <c r="L55" s="21">
        <f t="shared" ref="L55:O55" si="7">+L50+L16+L53</f>
        <v>1029723.7500000001</v>
      </c>
      <c r="M55" s="39">
        <f t="shared" si="7"/>
        <v>1164708</v>
      </c>
      <c r="N55" s="21">
        <f t="shared" ref="N55" si="8">+N50+N16+N53</f>
        <v>1091957.8800000001</v>
      </c>
      <c r="O55" s="39">
        <f t="shared" si="7"/>
        <v>1189212</v>
      </c>
      <c r="P55" s="21"/>
      <c r="Q55" s="39">
        <f>+Q50+Q16+Q53</f>
        <v>1330939</v>
      </c>
      <c r="R55" s="21">
        <f>+R50+R16+R53</f>
        <v>558798.89</v>
      </c>
      <c r="S55" s="39">
        <f>+S50+S16+S53</f>
        <v>1359855</v>
      </c>
      <c r="T55" s="39">
        <f>+T50+T16+T53</f>
        <v>0</v>
      </c>
      <c r="U55" s="39">
        <f>+S55</f>
        <v>1359855</v>
      </c>
    </row>
    <row r="56" spans="1:24" ht="13.8" thickTop="1" x14ac:dyDescent="0.25">
      <c r="A56" s="703"/>
      <c r="B56" s="4"/>
      <c r="C56" s="97"/>
      <c r="D56" s="23"/>
      <c r="E56" s="23"/>
      <c r="F56" s="23"/>
      <c r="G56" s="23"/>
      <c r="H56" s="23"/>
      <c r="I56" s="23"/>
      <c r="J56" s="23"/>
      <c r="K56" s="23"/>
      <c r="L56" s="23"/>
      <c r="M56" s="23"/>
      <c r="N56" s="23"/>
      <c r="O56" s="23"/>
      <c r="P56" s="23"/>
      <c r="Q56" s="23"/>
      <c r="R56" s="181" t="s">
        <v>732</v>
      </c>
      <c r="S56" s="1001">
        <f>+S55-Q55</f>
        <v>28916</v>
      </c>
      <c r="T56" s="1002">
        <f>ROUND((+S56/Q55),4)</f>
        <v>2.1700000000000001E-2</v>
      </c>
      <c r="U56" s="23"/>
      <c r="V56" s="25"/>
      <c r="W56" s="25"/>
      <c r="X56" s="25"/>
    </row>
    <row r="57" spans="1:24" x14ac:dyDescent="0.25">
      <c r="A57" s="63"/>
      <c r="B57" s="4"/>
      <c r="C57" s="97"/>
      <c r="D57" s="23"/>
      <c r="E57" s="23"/>
      <c r="F57" s="23"/>
      <c r="G57" s="23"/>
      <c r="H57" s="23"/>
      <c r="I57" s="23"/>
      <c r="J57" s="23"/>
      <c r="K57" s="23"/>
      <c r="L57" s="23"/>
      <c r="M57" s="23"/>
      <c r="N57" s="23"/>
      <c r="O57" s="23"/>
      <c r="P57" s="23"/>
      <c r="Q57" s="23"/>
      <c r="R57" s="25"/>
      <c r="S57" s="23"/>
      <c r="T57" s="23"/>
      <c r="U57" s="23"/>
      <c r="V57" s="25"/>
      <c r="W57" s="25"/>
      <c r="X57" s="25"/>
    </row>
    <row r="58" spans="1:24" x14ac:dyDescent="0.25">
      <c r="A58" s="63"/>
      <c r="B58" s="4"/>
      <c r="C58" s="97"/>
      <c r="D58" s="23"/>
      <c r="E58" s="23"/>
      <c r="F58" s="23"/>
      <c r="G58" s="23"/>
      <c r="H58" s="23"/>
      <c r="I58" s="23"/>
      <c r="J58" s="23"/>
      <c r="K58" s="23"/>
      <c r="L58" s="23"/>
      <c r="M58" s="23"/>
      <c r="N58" s="23"/>
      <c r="O58" s="23"/>
      <c r="P58" s="23"/>
      <c r="Q58" s="23"/>
      <c r="R58" s="25"/>
      <c r="S58" s="23"/>
      <c r="T58" s="23"/>
      <c r="U58" s="23"/>
      <c r="V58" s="25"/>
      <c r="W58" s="25"/>
      <c r="X58" s="25"/>
    </row>
    <row r="59" spans="1:24" ht="13.8" thickBot="1" x14ac:dyDescent="0.3">
      <c r="A59" s="703"/>
      <c r="B59" s="4"/>
      <c r="C59" s="97"/>
      <c r="D59" s="23"/>
      <c r="E59" s="23"/>
      <c r="F59" s="23"/>
      <c r="G59" s="23"/>
      <c r="H59" s="23"/>
      <c r="I59" s="23"/>
      <c r="J59" s="23"/>
      <c r="K59" s="23"/>
      <c r="L59" s="23"/>
      <c r="M59" s="23"/>
      <c r="N59" s="23"/>
      <c r="O59" s="23"/>
      <c r="P59" s="23"/>
      <c r="Q59" s="23"/>
      <c r="R59" s="25"/>
      <c r="S59" s="23"/>
      <c r="T59" s="23"/>
      <c r="U59" s="23"/>
      <c r="V59" s="25"/>
      <c r="W59" s="25"/>
      <c r="X59" s="25"/>
    </row>
    <row r="60" spans="1:24" ht="13.8" thickTop="1" x14ac:dyDescent="0.25">
      <c r="A60" s="718"/>
      <c r="B60" s="349"/>
      <c r="C60" s="350" t="s">
        <v>256</v>
      </c>
      <c r="D60" s="351" t="s">
        <v>256</v>
      </c>
      <c r="E60" s="351" t="s">
        <v>256</v>
      </c>
      <c r="F60" s="982"/>
      <c r="G60" s="982"/>
      <c r="H60" s="982"/>
      <c r="I60" s="982"/>
      <c r="J60" s="982"/>
      <c r="K60" s="982"/>
      <c r="L60" s="982"/>
      <c r="O60" s="352" t="s">
        <v>255</v>
      </c>
      <c r="P60" s="353" t="s">
        <v>716</v>
      </c>
      <c r="Q60" s="354" t="s">
        <v>730</v>
      </c>
      <c r="R60" s="353" t="s">
        <v>731</v>
      </c>
      <c r="S60" s="355"/>
      <c r="T60" s="550"/>
      <c r="U60" s="354"/>
      <c r="V60" s="25"/>
      <c r="W60" s="25"/>
      <c r="X60" s="25"/>
    </row>
    <row r="61" spans="1:24" ht="13.8" thickBot="1" x14ac:dyDescent="0.3">
      <c r="A61" s="719" t="s">
        <v>715</v>
      </c>
      <c r="B61" s="356"/>
      <c r="C61" s="357" t="s">
        <v>243</v>
      </c>
      <c r="D61" s="357" t="s">
        <v>244</v>
      </c>
      <c r="E61" s="358" t="s">
        <v>245</v>
      </c>
      <c r="F61" s="982"/>
      <c r="G61" s="982"/>
      <c r="H61" s="982"/>
      <c r="I61" s="982"/>
      <c r="J61" s="982"/>
      <c r="K61" s="982"/>
      <c r="L61" s="982"/>
      <c r="O61" s="359" t="s">
        <v>469</v>
      </c>
      <c r="P61" s="359" t="s">
        <v>1345</v>
      </c>
      <c r="Q61" s="358" t="s">
        <v>732</v>
      </c>
      <c r="R61" s="360" t="s">
        <v>732</v>
      </c>
      <c r="S61" s="361" t="s">
        <v>733</v>
      </c>
      <c r="T61" s="551"/>
      <c r="U61" s="359"/>
      <c r="V61" s="25"/>
      <c r="W61" s="25"/>
      <c r="X61" s="25"/>
    </row>
    <row r="62" spans="1:24" ht="13.8" thickTop="1" x14ac:dyDescent="0.25">
      <c r="A62" s="723"/>
      <c r="B62" s="383"/>
      <c r="C62" s="384"/>
      <c r="D62" s="385"/>
      <c r="E62" s="385"/>
      <c r="F62" s="982"/>
      <c r="G62" s="982"/>
      <c r="H62" s="982"/>
      <c r="I62" s="982"/>
      <c r="J62" s="982"/>
      <c r="K62" s="982"/>
      <c r="L62" s="982"/>
      <c r="O62" s="386"/>
      <c r="P62" s="527"/>
      <c r="Q62" s="386"/>
      <c r="R62" s="384"/>
      <c r="S62" s="367"/>
      <c r="T62" s="553"/>
      <c r="U62" s="368"/>
      <c r="V62" s="25"/>
      <c r="W62" s="25"/>
      <c r="X62" s="25"/>
    </row>
    <row r="63" spans="1:24" x14ac:dyDescent="0.25">
      <c r="A63" s="724">
        <v>5112</v>
      </c>
      <c r="B63" s="369" t="s">
        <v>1205</v>
      </c>
      <c r="C63" s="373">
        <v>544527.98</v>
      </c>
      <c r="D63" s="373">
        <f>165.7+562801.37+6191.59</f>
        <v>569158.65999999992</v>
      </c>
      <c r="E63" s="373">
        <v>540718.27</v>
      </c>
      <c r="F63" s="982"/>
      <c r="G63" s="982"/>
      <c r="H63" s="982"/>
      <c r="I63" s="982"/>
      <c r="J63" s="982"/>
      <c r="K63" s="982"/>
      <c r="L63" s="982"/>
      <c r="O63" s="372">
        <f t="shared" ref="O63:O69" si="9">+Q9</f>
        <v>798349</v>
      </c>
      <c r="P63" s="393">
        <f t="shared" ref="P63:P69" si="10">+S9</f>
        <v>814439</v>
      </c>
      <c r="Q63" s="396">
        <f t="shared" ref="Q63:Q101" si="11">+P63-O63</f>
        <v>16090</v>
      </c>
      <c r="R63" s="374">
        <f t="shared" ref="R63:R94" si="12">IF(O63+P63&lt;&gt;0,IF(O63&lt;&gt;0,IF(Q63&lt;&gt;0,ROUND((+Q63/O63),4),""),1),"")</f>
        <v>2.0199999999999999E-2</v>
      </c>
      <c r="S63" s="367" t="s">
        <v>2406</v>
      </c>
      <c r="T63" s="553"/>
      <c r="U63" s="368"/>
      <c r="V63" s="25"/>
      <c r="W63" s="25"/>
      <c r="X63" s="25"/>
    </row>
    <row r="64" spans="1:24" x14ac:dyDescent="0.25">
      <c r="A64" s="724">
        <v>5132</v>
      </c>
      <c r="B64" s="369" t="s">
        <v>1147</v>
      </c>
      <c r="C64" s="373">
        <f>232.1+5303.32</f>
        <v>5535.42</v>
      </c>
      <c r="D64" s="373">
        <f>136.61+5676.65</f>
        <v>5813.2599999999993</v>
      </c>
      <c r="E64" s="373">
        <v>4186.1000000000004</v>
      </c>
      <c r="F64" s="982"/>
      <c r="G64" s="982"/>
      <c r="H64" s="982"/>
      <c r="I64" s="982"/>
      <c r="J64" s="982"/>
      <c r="K64" s="982"/>
      <c r="L64" s="982"/>
      <c r="O64" s="372">
        <f t="shared" si="9"/>
        <v>15000</v>
      </c>
      <c r="P64" s="393">
        <f t="shared" si="10"/>
        <v>15000</v>
      </c>
      <c r="Q64" s="396">
        <f t="shared" si="11"/>
        <v>0</v>
      </c>
      <c r="R64" s="374" t="str">
        <f t="shared" si="12"/>
        <v/>
      </c>
      <c r="S64" s="367"/>
      <c r="T64" s="553"/>
      <c r="U64" s="368"/>
      <c r="V64" s="25"/>
      <c r="W64" s="25"/>
      <c r="X64" s="25"/>
    </row>
    <row r="65" spans="1:24" x14ac:dyDescent="0.25">
      <c r="A65" s="724">
        <v>5142</v>
      </c>
      <c r="B65" s="369" t="s">
        <v>1210</v>
      </c>
      <c r="C65" s="375">
        <v>5672.24</v>
      </c>
      <c r="D65" s="375">
        <f>19.09+5997.6</f>
        <v>6016.6900000000005</v>
      </c>
      <c r="E65" s="375">
        <v>6103.83</v>
      </c>
      <c r="F65" s="194"/>
      <c r="G65" s="194"/>
      <c r="H65" s="194"/>
      <c r="I65" s="194"/>
      <c r="J65" s="194"/>
      <c r="K65" s="194"/>
      <c r="L65" s="194"/>
      <c r="O65" s="372">
        <f t="shared" si="9"/>
        <v>16800</v>
      </c>
      <c r="P65" s="393">
        <f t="shared" si="10"/>
        <v>16800</v>
      </c>
      <c r="Q65" s="396">
        <f t="shared" si="11"/>
        <v>0</v>
      </c>
      <c r="R65" s="374" t="str">
        <f t="shared" si="12"/>
        <v/>
      </c>
      <c r="S65" s="367"/>
      <c r="T65" s="553"/>
      <c r="U65" s="368"/>
      <c r="V65" s="25"/>
      <c r="W65" s="25"/>
      <c r="X65" s="25"/>
    </row>
    <row r="66" spans="1:24" x14ac:dyDescent="0.25">
      <c r="A66" s="724">
        <v>5144</v>
      </c>
      <c r="B66" s="369" t="s">
        <v>27</v>
      </c>
      <c r="C66" s="373">
        <v>2600</v>
      </c>
      <c r="D66" s="373">
        <v>3750</v>
      </c>
      <c r="E66" s="373">
        <v>3000</v>
      </c>
      <c r="F66" s="194"/>
      <c r="G66" s="194"/>
      <c r="H66" s="194"/>
      <c r="I66" s="194"/>
      <c r="J66" s="194"/>
      <c r="K66" s="194"/>
      <c r="L66" s="194"/>
      <c r="O66" s="372">
        <f t="shared" si="9"/>
        <v>4700</v>
      </c>
      <c r="P66" s="393">
        <f t="shared" si="10"/>
        <v>4700</v>
      </c>
      <c r="Q66" s="396">
        <f t="shared" si="11"/>
        <v>0</v>
      </c>
      <c r="R66" s="374" t="str">
        <f t="shared" si="12"/>
        <v/>
      </c>
      <c r="S66" s="367"/>
      <c r="T66" s="553"/>
      <c r="U66" s="368"/>
      <c r="V66" s="25"/>
      <c r="W66" s="25"/>
      <c r="X66" s="25"/>
    </row>
    <row r="67" spans="1:24" x14ac:dyDescent="0.25">
      <c r="A67" s="724">
        <v>5145</v>
      </c>
      <c r="B67" s="369" t="s">
        <v>1018</v>
      </c>
      <c r="C67" s="373">
        <v>600.08000000000004</v>
      </c>
      <c r="D67" s="373">
        <v>842.42</v>
      </c>
      <c r="E67" s="373">
        <v>1200.1600000000001</v>
      </c>
      <c r="F67" s="194"/>
      <c r="G67" s="194"/>
      <c r="H67" s="194"/>
      <c r="I67" s="194"/>
      <c r="J67" s="194"/>
      <c r="K67" s="194"/>
      <c r="L67" s="194"/>
      <c r="O67" s="372">
        <f t="shared" si="9"/>
        <v>1525</v>
      </c>
      <c r="P67" s="393">
        <f t="shared" si="10"/>
        <v>1801</v>
      </c>
      <c r="Q67" s="396">
        <f t="shared" si="11"/>
        <v>276</v>
      </c>
      <c r="R67" s="374">
        <f t="shared" si="12"/>
        <v>0.18099999999999999</v>
      </c>
      <c r="S67" s="367" t="s">
        <v>2407</v>
      </c>
      <c r="T67" s="553"/>
      <c r="U67" s="368"/>
      <c r="V67" s="25"/>
      <c r="W67" s="25"/>
      <c r="X67" s="25"/>
    </row>
    <row r="68" spans="1:24" x14ac:dyDescent="0.25">
      <c r="A68" s="724">
        <v>5193</v>
      </c>
      <c r="B68" s="369" t="s">
        <v>819</v>
      </c>
      <c r="C68" s="373"/>
      <c r="D68" s="373"/>
      <c r="E68" s="373">
        <v>9799.56</v>
      </c>
      <c r="F68" s="194"/>
      <c r="G68" s="194"/>
      <c r="H68" s="194"/>
      <c r="I68" s="194"/>
      <c r="J68" s="194"/>
      <c r="K68" s="194"/>
      <c r="L68" s="194"/>
      <c r="O68" s="372">
        <f t="shared" si="9"/>
        <v>0</v>
      </c>
      <c r="P68" s="393">
        <f t="shared" si="10"/>
        <v>0</v>
      </c>
      <c r="Q68" s="396">
        <f t="shared" si="11"/>
        <v>0</v>
      </c>
      <c r="R68" s="374" t="str">
        <f t="shared" si="12"/>
        <v/>
      </c>
      <c r="S68" s="367"/>
      <c r="T68" s="553"/>
      <c r="U68" s="368"/>
      <c r="V68" s="25"/>
      <c r="W68" s="25"/>
      <c r="X68" s="25"/>
    </row>
    <row r="69" spans="1:24" ht="13.8" thickBot="1" x14ac:dyDescent="0.3">
      <c r="A69" s="724">
        <v>5194</v>
      </c>
      <c r="B69" s="369" t="s">
        <v>820</v>
      </c>
      <c r="C69" s="391"/>
      <c r="D69" s="391"/>
      <c r="E69" s="391">
        <v>5134.3</v>
      </c>
      <c r="F69" s="194"/>
      <c r="G69" s="194"/>
      <c r="H69" s="194"/>
      <c r="I69" s="194"/>
      <c r="J69" s="194"/>
      <c r="K69" s="194"/>
      <c r="L69" s="194"/>
      <c r="O69" s="372">
        <f t="shared" si="9"/>
        <v>0</v>
      </c>
      <c r="P69" s="393">
        <f t="shared" si="10"/>
        <v>0</v>
      </c>
      <c r="Q69" s="396">
        <f t="shared" si="11"/>
        <v>0</v>
      </c>
      <c r="R69" s="374" t="str">
        <f t="shared" si="12"/>
        <v/>
      </c>
      <c r="S69" s="367"/>
      <c r="T69" s="553"/>
      <c r="U69" s="368"/>
      <c r="V69" s="25"/>
      <c r="W69" s="25"/>
      <c r="X69" s="25"/>
    </row>
    <row r="70" spans="1:24" x14ac:dyDescent="0.25">
      <c r="A70" s="724">
        <v>5242</v>
      </c>
      <c r="B70" s="369" t="s">
        <v>1149</v>
      </c>
      <c r="C70" s="373"/>
      <c r="D70" s="365">
        <v>1665</v>
      </c>
      <c r="E70" s="365">
        <v>687.54</v>
      </c>
      <c r="F70" s="194"/>
      <c r="G70" s="194"/>
      <c r="H70" s="194"/>
      <c r="I70" s="194"/>
      <c r="J70" s="194"/>
      <c r="K70" s="194"/>
      <c r="L70" s="194"/>
      <c r="O70" s="366">
        <f>+Q18</f>
        <v>7100</v>
      </c>
      <c r="P70" s="393">
        <f t="shared" ref="P70:P99" si="13">+S18</f>
        <v>7100</v>
      </c>
      <c r="Q70" s="396">
        <f t="shared" si="11"/>
        <v>0</v>
      </c>
      <c r="R70" s="374" t="str">
        <f t="shared" si="12"/>
        <v/>
      </c>
      <c r="S70" s="367"/>
      <c r="T70" s="553"/>
      <c r="U70" s="368"/>
      <c r="V70" s="4"/>
      <c r="W70" s="4"/>
      <c r="X70" s="4"/>
    </row>
    <row r="71" spans="1:24" x14ac:dyDescent="0.25">
      <c r="A71" s="724">
        <v>5245</v>
      </c>
      <c r="B71" s="369" t="s">
        <v>1151</v>
      </c>
      <c r="C71" s="373">
        <v>15640.85</v>
      </c>
      <c r="D71" s="365">
        <v>20923.13</v>
      </c>
      <c r="E71" s="365">
        <v>22296.94</v>
      </c>
      <c r="F71" s="194"/>
      <c r="G71" s="194"/>
      <c r="H71" s="194"/>
      <c r="I71" s="194"/>
      <c r="J71" s="194"/>
      <c r="K71" s="194"/>
      <c r="L71" s="194"/>
      <c r="O71" s="366">
        <f>+Q19</f>
        <v>35000</v>
      </c>
      <c r="P71" s="393">
        <f t="shared" si="13"/>
        <v>35000</v>
      </c>
      <c r="Q71" s="396">
        <f t="shared" si="11"/>
        <v>0</v>
      </c>
      <c r="R71" s="374" t="str">
        <f t="shared" si="12"/>
        <v/>
      </c>
      <c r="S71" s="367"/>
      <c r="T71" s="553"/>
      <c r="U71" s="368"/>
      <c r="V71" s="4"/>
      <c r="W71" s="4"/>
      <c r="X71" s="4"/>
    </row>
    <row r="72" spans="1:24" x14ac:dyDescent="0.25">
      <c r="A72" s="724">
        <v>5248</v>
      </c>
      <c r="B72" s="369" t="s">
        <v>787</v>
      </c>
      <c r="C72" s="373"/>
      <c r="D72" s="365">
        <v>0</v>
      </c>
      <c r="E72" s="365">
        <v>503.29</v>
      </c>
      <c r="F72" s="194"/>
      <c r="G72" s="194"/>
      <c r="H72" s="194"/>
      <c r="I72" s="194"/>
      <c r="J72" s="194"/>
      <c r="K72" s="194"/>
      <c r="L72" s="194"/>
      <c r="O72" s="366">
        <f>+Q20</f>
        <v>2000</v>
      </c>
      <c r="P72" s="393">
        <f t="shared" si="13"/>
        <v>2000</v>
      </c>
      <c r="Q72" s="396">
        <f t="shared" si="11"/>
        <v>0</v>
      </c>
      <c r="R72" s="374" t="str">
        <f t="shared" si="12"/>
        <v/>
      </c>
      <c r="S72" s="367"/>
      <c r="T72" s="553"/>
      <c r="U72" s="368"/>
      <c r="V72" s="4"/>
      <c r="W72" s="4"/>
      <c r="X72" s="4"/>
    </row>
    <row r="73" spans="1:24" x14ac:dyDescent="0.25">
      <c r="A73" s="724">
        <v>5251</v>
      </c>
      <c r="B73" s="369" t="s">
        <v>1153</v>
      </c>
      <c r="C73" s="380">
        <v>2288.5700000000002</v>
      </c>
      <c r="D73" s="365">
        <v>3552.43</v>
      </c>
      <c r="E73" s="365">
        <v>5595.84</v>
      </c>
      <c r="F73" s="194"/>
      <c r="G73" s="194"/>
      <c r="H73" s="194"/>
      <c r="I73" s="194"/>
      <c r="J73" s="194"/>
      <c r="K73" s="194"/>
      <c r="L73" s="194"/>
      <c r="O73" s="366">
        <f>+Q21</f>
        <v>9200</v>
      </c>
      <c r="P73" s="393">
        <f t="shared" si="13"/>
        <v>9200</v>
      </c>
      <c r="Q73" s="396">
        <f t="shared" si="11"/>
        <v>0</v>
      </c>
      <c r="R73" s="374" t="str">
        <f t="shared" si="12"/>
        <v/>
      </c>
      <c r="S73" s="367"/>
      <c r="T73" s="553"/>
      <c r="U73" s="368"/>
      <c r="V73" s="4"/>
      <c r="W73" s="4"/>
      <c r="X73" s="4"/>
    </row>
    <row r="74" spans="1:24" hidden="1" x14ac:dyDescent="0.25">
      <c r="A74" s="724">
        <v>5277</v>
      </c>
      <c r="B74" s="369" t="s">
        <v>1154</v>
      </c>
      <c r="C74" s="373"/>
      <c r="D74" s="365">
        <v>0</v>
      </c>
      <c r="E74" s="365"/>
      <c r="F74" s="194"/>
      <c r="G74" s="194"/>
      <c r="H74" s="194"/>
      <c r="I74" s="194"/>
      <c r="J74" s="194"/>
      <c r="K74" s="194"/>
      <c r="L74" s="194"/>
      <c r="O74" s="366">
        <f>+O22</f>
        <v>0</v>
      </c>
      <c r="P74" s="393">
        <f t="shared" si="13"/>
        <v>0</v>
      </c>
      <c r="Q74" s="396">
        <f t="shared" si="11"/>
        <v>0</v>
      </c>
      <c r="R74" s="374" t="str">
        <f t="shared" si="12"/>
        <v/>
      </c>
      <c r="S74" s="367"/>
      <c r="T74" s="553"/>
      <c r="U74" s="368"/>
      <c r="V74" s="4"/>
      <c r="W74" s="4"/>
      <c r="X74" s="4"/>
    </row>
    <row r="75" spans="1:24" hidden="1" x14ac:dyDescent="0.25">
      <c r="A75" s="724">
        <v>5278</v>
      </c>
      <c r="B75" s="369" t="s">
        <v>1212</v>
      </c>
      <c r="C75" s="373">
        <v>6254.36</v>
      </c>
      <c r="D75" s="365">
        <v>7210.2</v>
      </c>
      <c r="E75" s="365">
        <v>7337.82</v>
      </c>
      <c r="F75" s="194"/>
      <c r="G75" s="194"/>
      <c r="H75" s="194"/>
      <c r="I75" s="194"/>
      <c r="J75" s="194"/>
      <c r="K75" s="194"/>
      <c r="L75" s="194"/>
      <c r="O75" s="366">
        <f>+O23</f>
        <v>0</v>
      </c>
      <c r="P75" s="393">
        <f t="shared" si="13"/>
        <v>0</v>
      </c>
      <c r="Q75" s="396">
        <f t="shared" si="11"/>
        <v>0</v>
      </c>
      <c r="R75" s="374" t="str">
        <f t="shared" si="12"/>
        <v/>
      </c>
      <c r="S75" s="367"/>
      <c r="T75" s="553"/>
      <c r="U75" s="368"/>
      <c r="V75" s="4"/>
      <c r="W75" s="4"/>
      <c r="X75" s="4"/>
    </row>
    <row r="76" spans="1:24" x14ac:dyDescent="0.25">
      <c r="A76" s="724">
        <v>5310</v>
      </c>
      <c r="B76" s="369" t="s">
        <v>1156</v>
      </c>
      <c r="C76" s="373">
        <v>1659.5</v>
      </c>
      <c r="D76" s="365">
        <v>1863</v>
      </c>
      <c r="E76" s="365">
        <v>1535</v>
      </c>
      <c r="F76" s="194"/>
      <c r="G76" s="194"/>
      <c r="H76" s="194"/>
      <c r="I76" s="194"/>
      <c r="J76" s="194"/>
      <c r="K76" s="194"/>
      <c r="L76" s="194"/>
      <c r="O76" s="366">
        <f t="shared" ref="O76:O93" si="14">+Q24</f>
        <v>5000</v>
      </c>
      <c r="P76" s="393">
        <f t="shared" si="13"/>
        <v>5000</v>
      </c>
      <c r="Q76" s="396">
        <f t="shared" si="11"/>
        <v>0</v>
      </c>
      <c r="R76" s="374" t="str">
        <f t="shared" si="12"/>
        <v/>
      </c>
      <c r="S76" s="367"/>
      <c r="T76" s="553"/>
      <c r="U76" s="368"/>
      <c r="V76" s="4"/>
      <c r="W76" s="4"/>
      <c r="X76" s="4"/>
    </row>
    <row r="77" spans="1:24" x14ac:dyDescent="0.25">
      <c r="A77" s="724">
        <v>5314</v>
      </c>
      <c r="B77" s="369" t="s">
        <v>749</v>
      </c>
      <c r="C77" s="373">
        <v>35</v>
      </c>
      <c r="D77" s="365">
        <v>65</v>
      </c>
      <c r="E77" s="365">
        <v>80</v>
      </c>
      <c r="F77" s="194"/>
      <c r="G77" s="194"/>
      <c r="H77" s="194"/>
      <c r="I77" s="194"/>
      <c r="J77" s="194"/>
      <c r="K77" s="194"/>
      <c r="L77" s="194"/>
      <c r="O77" s="366">
        <f t="shared" si="14"/>
        <v>1000</v>
      </c>
      <c r="P77" s="393">
        <f t="shared" si="13"/>
        <v>1000</v>
      </c>
      <c r="Q77" s="396">
        <f t="shared" si="11"/>
        <v>0</v>
      </c>
      <c r="R77" s="374" t="str">
        <f t="shared" si="12"/>
        <v/>
      </c>
      <c r="S77" s="367"/>
      <c r="T77" s="553"/>
      <c r="U77" s="368"/>
      <c r="V77" s="4"/>
      <c r="W77" s="4"/>
      <c r="X77" s="4"/>
    </row>
    <row r="78" spans="1:24" x14ac:dyDescent="0.25">
      <c r="A78" s="724">
        <v>5315</v>
      </c>
      <c r="B78" s="369" t="s">
        <v>1157</v>
      </c>
      <c r="C78" s="373">
        <v>24208.71</v>
      </c>
      <c r="D78" s="365">
        <v>21600.63</v>
      </c>
      <c r="E78" s="365">
        <v>27572.84</v>
      </c>
      <c r="F78" s="194"/>
      <c r="G78" s="194"/>
      <c r="H78" s="194"/>
      <c r="I78" s="194"/>
      <c r="J78" s="194"/>
      <c r="K78" s="194"/>
      <c r="L78" s="194"/>
      <c r="O78" s="366">
        <f t="shared" si="14"/>
        <v>18500</v>
      </c>
      <c r="P78" s="393">
        <f t="shared" si="13"/>
        <v>18500</v>
      </c>
      <c r="Q78" s="396">
        <f t="shared" si="11"/>
        <v>0</v>
      </c>
      <c r="R78" s="374" t="str">
        <f t="shared" si="12"/>
        <v/>
      </c>
      <c r="S78" s="367"/>
      <c r="T78" s="553"/>
      <c r="U78" s="368"/>
      <c r="V78" s="4"/>
      <c r="W78" s="4"/>
      <c r="X78" s="4"/>
    </row>
    <row r="79" spans="1:24" x14ac:dyDescent="0.25">
      <c r="A79" s="724">
        <v>5320</v>
      </c>
      <c r="B79" s="369" t="s">
        <v>1158</v>
      </c>
      <c r="C79" s="373"/>
      <c r="D79" s="365"/>
      <c r="E79" s="365"/>
      <c r="F79" s="194"/>
      <c r="G79" s="194"/>
      <c r="H79" s="194"/>
      <c r="I79" s="194"/>
      <c r="J79" s="194"/>
      <c r="K79" s="194"/>
      <c r="L79" s="194"/>
      <c r="O79" s="366">
        <f t="shared" si="14"/>
        <v>28000</v>
      </c>
      <c r="P79" s="393">
        <f t="shared" si="13"/>
        <v>40000</v>
      </c>
      <c r="Q79" s="396">
        <f t="shared" si="11"/>
        <v>12000</v>
      </c>
      <c r="R79" s="374">
        <f t="shared" si="12"/>
        <v>0.42859999999999998</v>
      </c>
      <c r="S79" s="367" t="s">
        <v>2408</v>
      </c>
      <c r="T79" s="553"/>
      <c r="U79" s="368"/>
      <c r="V79" s="4"/>
      <c r="W79" s="4"/>
      <c r="X79" s="4"/>
    </row>
    <row r="80" spans="1:24" x14ac:dyDescent="0.25">
      <c r="A80" s="724">
        <v>5341</v>
      </c>
      <c r="B80" s="369" t="s">
        <v>1159</v>
      </c>
      <c r="C80" s="373">
        <v>3078.49</v>
      </c>
      <c r="D80" s="365">
        <v>3210.87</v>
      </c>
      <c r="E80" s="365">
        <v>3419.12</v>
      </c>
      <c r="F80" s="194"/>
      <c r="G80" s="194"/>
      <c r="H80" s="194"/>
      <c r="I80" s="194"/>
      <c r="J80" s="194"/>
      <c r="K80" s="194"/>
      <c r="L80" s="194"/>
      <c r="O80" s="366">
        <f t="shared" si="14"/>
        <v>3000</v>
      </c>
      <c r="P80" s="393">
        <f t="shared" si="13"/>
        <v>3500</v>
      </c>
      <c r="Q80" s="396">
        <f t="shared" si="11"/>
        <v>500</v>
      </c>
      <c r="R80" s="374">
        <f t="shared" si="12"/>
        <v>0.16669999999999999</v>
      </c>
      <c r="S80" s="367" t="s">
        <v>2409</v>
      </c>
      <c r="T80" s="553"/>
      <c r="U80" s="368"/>
      <c r="V80" s="4"/>
      <c r="W80" s="4"/>
      <c r="X80" s="4"/>
    </row>
    <row r="81" spans="1:24" x14ac:dyDescent="0.25">
      <c r="A81" s="724">
        <v>5344</v>
      </c>
      <c r="B81" s="369" t="s">
        <v>722</v>
      </c>
      <c r="C81" s="375">
        <v>60.4</v>
      </c>
      <c r="D81" s="365">
        <v>78.47</v>
      </c>
      <c r="E81" s="365">
        <v>55</v>
      </c>
      <c r="F81" s="194"/>
      <c r="G81" s="194"/>
      <c r="H81" s="194"/>
      <c r="I81" s="194"/>
      <c r="J81" s="194"/>
      <c r="K81" s="194"/>
      <c r="L81" s="194"/>
      <c r="O81" s="366">
        <f t="shared" si="14"/>
        <v>100</v>
      </c>
      <c r="P81" s="393">
        <f t="shared" si="13"/>
        <v>100</v>
      </c>
      <c r="Q81" s="396">
        <f t="shared" si="11"/>
        <v>0</v>
      </c>
      <c r="R81" s="374" t="str">
        <f t="shared" si="12"/>
        <v/>
      </c>
      <c r="S81" s="367"/>
      <c r="T81" s="553"/>
      <c r="U81" s="368"/>
      <c r="V81" s="4"/>
      <c r="W81" s="4"/>
      <c r="X81" s="4"/>
    </row>
    <row r="82" spans="1:24" x14ac:dyDescent="0.25">
      <c r="A82" s="724">
        <v>5345</v>
      </c>
      <c r="B82" s="369" t="s">
        <v>752</v>
      </c>
      <c r="C82" s="373">
        <v>50.81</v>
      </c>
      <c r="D82" s="365">
        <v>237.71</v>
      </c>
      <c r="E82" s="365">
        <v>835.56</v>
      </c>
      <c r="F82" s="194"/>
      <c r="G82" s="194"/>
      <c r="H82" s="194"/>
      <c r="I82" s="194"/>
      <c r="J82" s="194"/>
      <c r="K82" s="194"/>
      <c r="L82" s="194"/>
      <c r="O82" s="366">
        <f t="shared" si="14"/>
        <v>2500</v>
      </c>
      <c r="P82" s="393">
        <f t="shared" si="13"/>
        <v>2500</v>
      </c>
      <c r="Q82" s="396">
        <f t="shared" si="11"/>
        <v>0</v>
      </c>
      <c r="R82" s="374" t="str">
        <f t="shared" si="12"/>
        <v/>
      </c>
      <c r="S82" s="367"/>
      <c r="T82" s="553"/>
      <c r="U82" s="368"/>
      <c r="V82" s="4"/>
      <c r="W82" s="4"/>
      <c r="X82" s="4"/>
    </row>
    <row r="83" spans="1:24" x14ac:dyDescent="0.25">
      <c r="A83" s="724">
        <v>5420</v>
      </c>
      <c r="B83" s="369" t="s">
        <v>753</v>
      </c>
      <c r="C83" s="365">
        <v>965.81</v>
      </c>
      <c r="D83" s="365">
        <v>694.26</v>
      </c>
      <c r="E83" s="365">
        <v>1611.93</v>
      </c>
      <c r="F83" s="194"/>
      <c r="G83" s="194"/>
      <c r="H83" s="194"/>
      <c r="I83" s="194"/>
      <c r="J83" s="194"/>
      <c r="K83" s="194"/>
      <c r="L83" s="194"/>
      <c r="O83" s="366">
        <f t="shared" si="14"/>
        <v>3500</v>
      </c>
      <c r="P83" s="393">
        <f t="shared" si="13"/>
        <v>3500</v>
      </c>
      <c r="Q83" s="396">
        <f t="shared" si="11"/>
        <v>0</v>
      </c>
      <c r="R83" s="374" t="str">
        <f t="shared" si="12"/>
        <v/>
      </c>
      <c r="S83" s="367"/>
      <c r="T83" s="553"/>
      <c r="U83" s="368"/>
      <c r="V83" s="4"/>
      <c r="W83" s="4"/>
      <c r="X83" s="4"/>
    </row>
    <row r="84" spans="1:24" x14ac:dyDescent="0.25">
      <c r="A84" s="724">
        <v>5430</v>
      </c>
      <c r="B84" s="369" t="s">
        <v>1160</v>
      </c>
      <c r="C84" s="373">
        <v>680.13</v>
      </c>
      <c r="D84" s="365">
        <v>738.74</v>
      </c>
      <c r="E84" s="365">
        <v>671.33</v>
      </c>
      <c r="F84" s="194"/>
      <c r="G84" s="194"/>
      <c r="H84" s="194"/>
      <c r="I84" s="194"/>
      <c r="J84" s="194"/>
      <c r="K84" s="194"/>
      <c r="L84" s="194"/>
      <c r="O84" s="366">
        <f t="shared" si="14"/>
        <v>2500</v>
      </c>
      <c r="P84" s="393">
        <f t="shared" si="13"/>
        <v>2500</v>
      </c>
      <c r="Q84" s="396">
        <f t="shared" si="11"/>
        <v>0</v>
      </c>
      <c r="R84" s="374" t="str">
        <f t="shared" si="12"/>
        <v/>
      </c>
      <c r="S84" s="367"/>
      <c r="T84" s="553"/>
      <c r="U84" s="368"/>
      <c r="V84" s="4"/>
      <c r="W84" s="4"/>
      <c r="X84" s="4"/>
    </row>
    <row r="85" spans="1:24" x14ac:dyDescent="0.25">
      <c r="A85" s="724">
        <v>5432</v>
      </c>
      <c r="B85" s="369" t="s">
        <v>1213</v>
      </c>
      <c r="C85" s="373">
        <v>37.119999999999997</v>
      </c>
      <c r="D85" s="365">
        <v>13.95</v>
      </c>
      <c r="E85" s="365"/>
      <c r="F85" s="194"/>
      <c r="G85" s="194"/>
      <c r="H85" s="194"/>
      <c r="I85" s="194"/>
      <c r="J85" s="194"/>
      <c r="K85" s="194"/>
      <c r="L85" s="194"/>
      <c r="O85" s="366">
        <f t="shared" si="14"/>
        <v>0</v>
      </c>
      <c r="P85" s="393">
        <f t="shared" si="13"/>
        <v>0</v>
      </c>
      <c r="Q85" s="396">
        <f t="shared" si="11"/>
        <v>0</v>
      </c>
      <c r="R85" s="374" t="str">
        <f t="shared" si="12"/>
        <v/>
      </c>
      <c r="S85" s="367"/>
      <c r="T85" s="553"/>
      <c r="U85" s="368"/>
      <c r="V85" s="4"/>
      <c r="W85" s="4"/>
      <c r="X85" s="4"/>
    </row>
    <row r="86" spans="1:24" x14ac:dyDescent="0.25">
      <c r="A86" s="724">
        <v>5435</v>
      </c>
      <c r="B86" s="369" t="s">
        <v>1214</v>
      </c>
      <c r="C86" s="365">
        <v>2223.06</v>
      </c>
      <c r="D86" s="365">
        <v>1519.3</v>
      </c>
      <c r="E86" s="365">
        <v>2230.3200000000002</v>
      </c>
      <c r="F86" s="194"/>
      <c r="G86" s="194"/>
      <c r="H86" s="194"/>
      <c r="I86" s="194"/>
      <c r="J86" s="194"/>
      <c r="K86" s="194"/>
      <c r="L86" s="194"/>
      <c r="O86" s="366">
        <f t="shared" si="14"/>
        <v>5000</v>
      </c>
      <c r="P86" s="393">
        <f t="shared" si="13"/>
        <v>5000</v>
      </c>
      <c r="Q86" s="396">
        <f t="shared" si="11"/>
        <v>0</v>
      </c>
      <c r="R86" s="374" t="str">
        <f t="shared" si="12"/>
        <v/>
      </c>
      <c r="S86" s="367"/>
      <c r="T86" s="553"/>
      <c r="U86" s="368"/>
      <c r="V86" s="4"/>
      <c r="W86" s="4"/>
      <c r="X86" s="4"/>
    </row>
    <row r="87" spans="1:24" x14ac:dyDescent="0.25">
      <c r="A87" s="724">
        <v>5440</v>
      </c>
      <c r="B87" s="369" t="s">
        <v>1163</v>
      </c>
      <c r="C87" s="373">
        <v>4022.66</v>
      </c>
      <c r="D87" s="365">
        <v>4443.3500000000004</v>
      </c>
      <c r="E87" s="365">
        <v>6122.27</v>
      </c>
      <c r="F87" s="194"/>
      <c r="G87" s="194"/>
      <c r="H87" s="194"/>
      <c r="I87" s="194"/>
      <c r="J87" s="194"/>
      <c r="K87" s="194"/>
      <c r="L87" s="194"/>
      <c r="O87" s="366">
        <f t="shared" si="14"/>
        <v>10000</v>
      </c>
      <c r="P87" s="393">
        <f t="shared" si="13"/>
        <v>10000</v>
      </c>
      <c r="Q87" s="396">
        <f t="shared" si="11"/>
        <v>0</v>
      </c>
      <c r="R87" s="374" t="str">
        <f t="shared" si="12"/>
        <v/>
      </c>
      <c r="S87" s="367"/>
      <c r="T87" s="553"/>
      <c r="U87" s="368"/>
      <c r="V87" s="4"/>
      <c r="W87" s="4"/>
      <c r="X87" s="4"/>
    </row>
    <row r="88" spans="1:24" x14ac:dyDescent="0.25">
      <c r="A88" s="724">
        <v>5443</v>
      </c>
      <c r="B88" s="369" t="s">
        <v>1164</v>
      </c>
      <c r="C88" s="373">
        <v>16245.85</v>
      </c>
      <c r="D88" s="365">
        <v>20320.52</v>
      </c>
      <c r="E88" s="365">
        <v>16077.74</v>
      </c>
      <c r="F88" s="194"/>
      <c r="G88" s="194"/>
      <c r="H88" s="194"/>
      <c r="I88" s="194"/>
      <c r="J88" s="194"/>
      <c r="K88" s="194"/>
      <c r="L88" s="194"/>
      <c r="O88" s="366">
        <f t="shared" si="14"/>
        <v>57000</v>
      </c>
      <c r="P88" s="393">
        <f t="shared" si="13"/>
        <v>57000</v>
      </c>
      <c r="Q88" s="396">
        <f t="shared" si="11"/>
        <v>0</v>
      </c>
      <c r="R88" s="374" t="str">
        <f t="shared" si="12"/>
        <v/>
      </c>
      <c r="S88" s="367"/>
      <c r="T88" s="553"/>
      <c r="U88" s="368"/>
      <c r="V88" s="4"/>
      <c r="W88" s="4"/>
      <c r="X88" s="4"/>
    </row>
    <row r="89" spans="1:24" x14ac:dyDescent="0.25">
      <c r="A89" s="724">
        <v>5481</v>
      </c>
      <c r="B89" s="369" t="s">
        <v>1037</v>
      </c>
      <c r="C89" s="373">
        <v>23072.400000000001</v>
      </c>
      <c r="D89" s="373">
        <v>32924.959999999999</v>
      </c>
      <c r="E89" s="373">
        <v>27697.48</v>
      </c>
      <c r="F89" s="194"/>
      <c r="G89" s="194"/>
      <c r="H89" s="194"/>
      <c r="I89" s="194"/>
      <c r="J89" s="194"/>
      <c r="K89" s="194"/>
      <c r="L89" s="194"/>
      <c r="O89" s="366">
        <f t="shared" si="14"/>
        <v>63140</v>
      </c>
      <c r="P89" s="393">
        <f t="shared" si="13"/>
        <v>63140</v>
      </c>
      <c r="Q89" s="396">
        <f t="shared" si="11"/>
        <v>0</v>
      </c>
      <c r="R89" s="374" t="str">
        <f t="shared" si="12"/>
        <v/>
      </c>
      <c r="S89" s="367"/>
      <c r="T89" s="553"/>
      <c r="U89" s="368"/>
      <c r="V89" s="4"/>
      <c r="W89" s="4"/>
      <c r="X89" s="4"/>
    </row>
    <row r="90" spans="1:24" x14ac:dyDescent="0.25">
      <c r="A90" s="724">
        <v>5482</v>
      </c>
      <c r="B90" s="369" t="s">
        <v>1166</v>
      </c>
      <c r="C90" s="373">
        <v>55086.99</v>
      </c>
      <c r="D90" s="373">
        <v>73803.73</v>
      </c>
      <c r="E90" s="373">
        <v>75053.789999999994</v>
      </c>
      <c r="F90" s="194"/>
      <c r="G90" s="194"/>
      <c r="H90" s="194"/>
      <c r="I90" s="194"/>
      <c r="J90" s="194"/>
      <c r="K90" s="194"/>
      <c r="L90" s="194"/>
      <c r="O90" s="366">
        <f t="shared" si="14"/>
        <v>67200</v>
      </c>
      <c r="P90" s="393">
        <f t="shared" si="13"/>
        <v>67200</v>
      </c>
      <c r="Q90" s="396">
        <f t="shared" si="11"/>
        <v>0</v>
      </c>
      <c r="R90" s="374" t="str">
        <f t="shared" si="12"/>
        <v/>
      </c>
      <c r="S90" s="367"/>
      <c r="T90" s="553"/>
      <c r="U90" s="368"/>
      <c r="V90" s="4"/>
      <c r="W90" s="4"/>
      <c r="X90" s="4"/>
    </row>
    <row r="91" spans="1:24" x14ac:dyDescent="0.25">
      <c r="A91" s="724">
        <v>5484</v>
      </c>
      <c r="B91" s="369" t="s">
        <v>1167</v>
      </c>
      <c r="C91" s="373">
        <v>41019.53</v>
      </c>
      <c r="D91" s="365">
        <v>46732</v>
      </c>
      <c r="E91" s="365">
        <v>75705.59</v>
      </c>
      <c r="F91" s="194"/>
      <c r="G91" s="194"/>
      <c r="H91" s="194"/>
      <c r="I91" s="194"/>
      <c r="J91" s="194"/>
      <c r="K91" s="194"/>
      <c r="L91" s="194"/>
      <c r="O91" s="366">
        <f t="shared" si="14"/>
        <v>85000</v>
      </c>
      <c r="P91" s="393">
        <f t="shared" si="13"/>
        <v>85000</v>
      </c>
      <c r="Q91" s="396">
        <f t="shared" si="11"/>
        <v>0</v>
      </c>
      <c r="R91" s="374" t="str">
        <f t="shared" si="12"/>
        <v/>
      </c>
      <c r="S91" s="367"/>
      <c r="T91" s="553"/>
      <c r="U91" s="368"/>
      <c r="V91" s="4"/>
      <c r="W91" s="4"/>
      <c r="X91" s="4"/>
    </row>
    <row r="92" spans="1:24" x14ac:dyDescent="0.25">
      <c r="A92" s="724">
        <v>5500</v>
      </c>
      <c r="B92" s="369" t="s">
        <v>1168</v>
      </c>
      <c r="C92" s="373"/>
      <c r="D92" s="365"/>
      <c r="E92" s="365">
        <v>11.94</v>
      </c>
      <c r="F92" s="194"/>
      <c r="G92" s="194"/>
      <c r="H92" s="194"/>
      <c r="I92" s="194"/>
      <c r="J92" s="194"/>
      <c r="K92" s="194"/>
      <c r="L92" s="194"/>
      <c r="O92" s="366">
        <f t="shared" si="14"/>
        <v>200</v>
      </c>
      <c r="P92" s="393">
        <f t="shared" si="13"/>
        <v>250</v>
      </c>
      <c r="Q92" s="396">
        <f t="shared" si="11"/>
        <v>50</v>
      </c>
      <c r="R92" s="374">
        <f t="shared" si="12"/>
        <v>0.25</v>
      </c>
      <c r="S92" s="367" t="s">
        <v>1927</v>
      </c>
      <c r="T92" s="553"/>
      <c r="U92" s="368"/>
      <c r="V92" s="4"/>
      <c r="W92" s="4"/>
      <c r="X92" s="4"/>
    </row>
    <row r="93" spans="1:24" x14ac:dyDescent="0.25">
      <c r="A93" s="724">
        <v>5530</v>
      </c>
      <c r="B93" s="369" t="s">
        <v>1169</v>
      </c>
      <c r="C93" s="373">
        <v>43029.4</v>
      </c>
      <c r="D93" s="365">
        <v>45445.69</v>
      </c>
      <c r="E93" s="365">
        <v>36322.94</v>
      </c>
      <c r="F93" s="194"/>
      <c r="G93" s="194"/>
      <c r="H93" s="194"/>
      <c r="I93" s="194"/>
      <c r="J93" s="194"/>
      <c r="K93" s="194"/>
      <c r="L93" s="194"/>
      <c r="O93" s="366">
        <f t="shared" si="14"/>
        <v>71500</v>
      </c>
      <c r="P93" s="393">
        <f t="shared" si="13"/>
        <v>71500</v>
      </c>
      <c r="Q93" s="396">
        <f t="shared" si="11"/>
        <v>0</v>
      </c>
      <c r="R93" s="374" t="str">
        <f t="shared" si="12"/>
        <v/>
      </c>
      <c r="S93" s="379"/>
      <c r="T93" s="553"/>
      <c r="U93" s="368"/>
      <c r="V93" s="4"/>
      <c r="W93" s="4"/>
      <c r="X93" s="4"/>
    </row>
    <row r="94" spans="1:24" hidden="1" x14ac:dyDescent="0.25">
      <c r="A94" s="724">
        <v>5534</v>
      </c>
      <c r="B94" s="369" t="s">
        <v>1170</v>
      </c>
      <c r="C94" s="373">
        <v>125</v>
      </c>
      <c r="D94" s="365"/>
      <c r="E94" s="365"/>
      <c r="F94" s="194"/>
      <c r="G94" s="194"/>
      <c r="H94" s="194"/>
      <c r="I94" s="194"/>
      <c r="J94" s="194"/>
      <c r="K94" s="194"/>
      <c r="L94" s="194"/>
      <c r="O94" s="366">
        <f>+O42</f>
        <v>0</v>
      </c>
      <c r="P94" s="393">
        <f t="shared" si="13"/>
        <v>0</v>
      </c>
      <c r="Q94" s="396">
        <f t="shared" si="11"/>
        <v>0</v>
      </c>
      <c r="R94" s="374" t="str">
        <f t="shared" si="12"/>
        <v/>
      </c>
      <c r="S94" s="367"/>
      <c r="T94" s="553"/>
      <c r="U94" s="368"/>
      <c r="V94" s="4"/>
      <c r="W94" s="4"/>
      <c r="X94" s="4"/>
    </row>
    <row r="95" spans="1:24" hidden="1" x14ac:dyDescent="0.25">
      <c r="A95" s="724">
        <v>5580</v>
      </c>
      <c r="B95" s="369" t="s">
        <v>757</v>
      </c>
      <c r="C95" s="373"/>
      <c r="D95" s="365"/>
      <c r="E95" s="365"/>
      <c r="F95" s="194"/>
      <c r="G95" s="194"/>
      <c r="H95" s="194"/>
      <c r="I95" s="194"/>
      <c r="J95" s="194"/>
      <c r="K95" s="194"/>
      <c r="L95" s="194"/>
      <c r="O95" s="366">
        <f>+O43</f>
        <v>0</v>
      </c>
      <c r="P95" s="393">
        <f t="shared" si="13"/>
        <v>0</v>
      </c>
      <c r="Q95" s="396">
        <f t="shared" si="11"/>
        <v>0</v>
      </c>
      <c r="R95" s="374"/>
      <c r="S95" s="367"/>
      <c r="T95" s="553"/>
      <c r="U95" s="368"/>
      <c r="V95" s="4"/>
      <c r="W95" s="4"/>
      <c r="X95" s="4"/>
    </row>
    <row r="96" spans="1:24" x14ac:dyDescent="0.25">
      <c r="A96" s="724">
        <v>5582</v>
      </c>
      <c r="B96" s="369" t="s">
        <v>1040</v>
      </c>
      <c r="C96" s="373">
        <v>2596.34</v>
      </c>
      <c r="D96" s="365">
        <v>2080.9699999999998</v>
      </c>
      <c r="E96" s="365">
        <v>3880.7</v>
      </c>
      <c r="F96" s="194"/>
      <c r="G96" s="194"/>
      <c r="H96" s="194"/>
      <c r="I96" s="194"/>
      <c r="J96" s="194"/>
      <c r="K96" s="194"/>
      <c r="L96" s="194"/>
      <c r="O96" s="366">
        <f>+Q44</f>
        <v>15500</v>
      </c>
      <c r="P96" s="393">
        <f t="shared" si="13"/>
        <v>15500</v>
      </c>
      <c r="Q96" s="396">
        <f t="shared" si="11"/>
        <v>0</v>
      </c>
      <c r="R96" s="374" t="str">
        <f t="shared" ref="R96:R101" si="15">IF(O96+P96&lt;&gt;0,IF(O96&lt;&gt;0,IF(Q96&lt;&gt;0,ROUND((+Q96/O96),4),""),1),"")</f>
        <v/>
      </c>
      <c r="S96" s="367"/>
      <c r="T96" s="553"/>
      <c r="U96" s="368"/>
      <c r="V96" s="4"/>
      <c r="W96" s="4"/>
      <c r="X96" s="4"/>
    </row>
    <row r="97" spans="1:24" x14ac:dyDescent="0.25">
      <c r="A97" s="724">
        <v>5588</v>
      </c>
      <c r="B97" s="397" t="s">
        <v>1171</v>
      </c>
      <c r="C97" s="373"/>
      <c r="D97" s="365"/>
      <c r="E97" s="365"/>
      <c r="F97" s="194"/>
      <c r="G97" s="194"/>
      <c r="H97" s="194"/>
      <c r="I97" s="194"/>
      <c r="J97" s="194"/>
      <c r="K97" s="194"/>
      <c r="L97" s="194"/>
      <c r="O97" s="366">
        <f>+Q45</f>
        <v>500</v>
      </c>
      <c r="P97" s="393">
        <f t="shared" si="13"/>
        <v>500</v>
      </c>
      <c r="Q97" s="396">
        <f t="shared" si="11"/>
        <v>0</v>
      </c>
      <c r="R97" s="374" t="str">
        <f t="shared" si="15"/>
        <v/>
      </c>
      <c r="S97" s="367"/>
      <c r="T97" s="553"/>
      <c r="U97" s="368"/>
      <c r="V97" s="4"/>
      <c r="W97" s="4"/>
      <c r="X97" s="4"/>
    </row>
    <row r="98" spans="1:24" x14ac:dyDescent="0.25">
      <c r="A98" s="724">
        <v>5710</v>
      </c>
      <c r="B98" s="369" t="s">
        <v>758</v>
      </c>
      <c r="C98" s="377">
        <v>44.78</v>
      </c>
      <c r="D98" s="365">
        <v>22.6</v>
      </c>
      <c r="E98" s="365"/>
      <c r="F98" s="194"/>
      <c r="G98" s="194"/>
      <c r="H98" s="194"/>
      <c r="I98" s="194"/>
      <c r="J98" s="194"/>
      <c r="K98" s="194"/>
      <c r="L98" s="194"/>
      <c r="O98" s="366">
        <f>+Q46</f>
        <v>125</v>
      </c>
      <c r="P98" s="393">
        <f t="shared" si="13"/>
        <v>125</v>
      </c>
      <c r="Q98" s="396">
        <f t="shared" si="11"/>
        <v>0</v>
      </c>
      <c r="R98" s="374" t="str">
        <f t="shared" si="15"/>
        <v/>
      </c>
      <c r="S98" s="367"/>
      <c r="T98" s="553"/>
      <c r="U98" s="368"/>
      <c r="V98" s="4"/>
      <c r="W98" s="4"/>
      <c r="X98" s="4"/>
    </row>
    <row r="99" spans="1:24" x14ac:dyDescent="0.25">
      <c r="A99" s="724">
        <v>5730</v>
      </c>
      <c r="B99" s="369" t="s">
        <v>759</v>
      </c>
      <c r="C99" s="375">
        <v>361</v>
      </c>
      <c r="D99" s="365">
        <v>233</v>
      </c>
      <c r="E99" s="365">
        <v>381</v>
      </c>
      <c r="F99" s="194"/>
      <c r="G99" s="194"/>
      <c r="H99" s="194"/>
      <c r="I99" s="194"/>
      <c r="J99" s="194"/>
      <c r="K99" s="194"/>
      <c r="L99" s="194"/>
      <c r="O99" s="366">
        <f>+Q47</f>
        <v>500</v>
      </c>
      <c r="P99" s="393">
        <f t="shared" si="13"/>
        <v>500</v>
      </c>
      <c r="Q99" s="396">
        <f t="shared" si="11"/>
        <v>0</v>
      </c>
      <c r="R99" s="374" t="str">
        <f t="shared" si="15"/>
        <v/>
      </c>
      <c r="S99" s="367"/>
      <c r="T99" s="553"/>
      <c r="U99" s="368"/>
      <c r="V99" s="4"/>
      <c r="W99" s="4"/>
      <c r="X99" s="4"/>
    </row>
    <row r="100" spans="1:24" ht="13.8" thickBot="1" x14ac:dyDescent="0.3">
      <c r="A100" s="730">
        <v>5783</v>
      </c>
      <c r="B100" s="397" t="s">
        <v>1173</v>
      </c>
      <c r="C100" s="371">
        <v>780</v>
      </c>
      <c r="D100" s="371">
        <v>1710</v>
      </c>
      <c r="E100" s="371">
        <v>1440</v>
      </c>
      <c r="F100" s="194"/>
      <c r="G100" s="194"/>
      <c r="H100" s="194"/>
      <c r="I100" s="194"/>
      <c r="J100" s="194"/>
      <c r="K100" s="194"/>
      <c r="L100" s="194"/>
      <c r="O100" s="366">
        <f>+Q49</f>
        <v>1500</v>
      </c>
      <c r="P100" s="393">
        <f>+S49</f>
        <v>1500</v>
      </c>
      <c r="Q100" s="396">
        <f t="shared" si="11"/>
        <v>0</v>
      </c>
      <c r="R100" s="374" t="str">
        <f t="shared" si="15"/>
        <v/>
      </c>
      <c r="S100" s="367"/>
      <c r="T100" s="553"/>
      <c r="U100" s="368"/>
      <c r="V100" s="4"/>
      <c r="W100" s="4"/>
      <c r="X100" s="4"/>
    </row>
    <row r="101" spans="1:24" ht="13.8" thickBot="1" x14ac:dyDescent="0.3">
      <c r="A101" s="730">
        <v>5800</v>
      </c>
      <c r="B101" s="397" t="s">
        <v>1218</v>
      </c>
      <c r="C101" s="371">
        <v>780</v>
      </c>
      <c r="D101" s="371">
        <v>1710</v>
      </c>
      <c r="E101" s="371">
        <v>1440</v>
      </c>
      <c r="F101" s="194"/>
      <c r="G101" s="194"/>
      <c r="H101" s="194"/>
      <c r="I101" s="194"/>
      <c r="J101" s="194"/>
      <c r="K101" s="194"/>
      <c r="L101" s="194"/>
      <c r="O101" s="366">
        <f>+Q52</f>
        <v>0</v>
      </c>
      <c r="P101" s="393">
        <f>+S52</f>
        <v>0</v>
      </c>
      <c r="Q101" s="396">
        <f t="shared" si="11"/>
        <v>0</v>
      </c>
      <c r="R101" s="374" t="str">
        <f t="shared" si="15"/>
        <v/>
      </c>
      <c r="S101" s="367"/>
      <c r="T101" s="553"/>
      <c r="U101" s="368"/>
      <c r="V101" s="4"/>
      <c r="W101" s="4"/>
      <c r="X101" s="4"/>
    </row>
    <row r="102" spans="1:24" x14ac:dyDescent="0.25">
      <c r="A102" s="703"/>
      <c r="B102" s="4"/>
      <c r="C102" s="23"/>
      <c r="D102" s="23"/>
      <c r="E102" s="23"/>
      <c r="F102" s="23"/>
      <c r="G102" s="23"/>
      <c r="H102" s="194"/>
      <c r="I102" s="194"/>
      <c r="J102" s="194"/>
      <c r="K102" s="194"/>
      <c r="L102" s="194"/>
      <c r="O102" s="23"/>
      <c r="P102" s="23"/>
      <c r="Q102" s="23"/>
      <c r="R102" s="4"/>
      <c r="S102" s="23"/>
      <c r="T102" s="23"/>
      <c r="U102" s="23"/>
      <c r="V102" s="4"/>
      <c r="W102" s="4"/>
      <c r="X102" s="4"/>
    </row>
    <row r="103" spans="1:24" x14ac:dyDescent="0.25">
      <c r="A103" s="703"/>
      <c r="B103" s="4" t="s">
        <v>735</v>
      </c>
      <c r="C103" s="23"/>
      <c r="D103" s="23"/>
      <c r="E103" s="23"/>
      <c r="F103" s="23"/>
      <c r="G103" s="23"/>
      <c r="H103" s="194"/>
      <c r="I103" s="194"/>
      <c r="J103" s="194"/>
      <c r="K103" s="194"/>
      <c r="L103" s="194"/>
      <c r="O103" s="597">
        <f>SUM(O63:O101)</f>
        <v>1330939</v>
      </c>
      <c r="P103" s="597">
        <f>SUM(P63:P101)</f>
        <v>1359855</v>
      </c>
      <c r="Q103" s="25">
        <f>+P103-O103</f>
        <v>28916</v>
      </c>
      <c r="R103" s="598">
        <f>IF(O103+P103&lt;&gt;0,IF(O103&lt;&gt;0,IF(Q103&lt;&gt;0,ROUND((+Q103/O103),4),""),1),"")</f>
        <v>2.1700000000000001E-2</v>
      </c>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5">
      <c r="A124" s="703"/>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5">
      <c r="A125" s="703"/>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5">
      <c r="A126" s="703"/>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5">
      <c r="A127" s="703"/>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5">
      <c r="A128" s="703"/>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5">
      <c r="A129" s="703"/>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5">
      <c r="A130" s="703"/>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5">
      <c r="A131" s="703"/>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5">
      <c r="C132" s="194"/>
      <c r="D132" s="194"/>
      <c r="E132" s="194"/>
      <c r="F132" s="194"/>
      <c r="G132" s="194"/>
      <c r="H132" s="194"/>
      <c r="I132" s="194"/>
      <c r="J132" s="194"/>
      <c r="K132" s="194"/>
      <c r="L132" s="194"/>
      <c r="M132" s="194"/>
      <c r="N132" s="194"/>
      <c r="O132" s="194"/>
      <c r="P132" s="194"/>
      <c r="Q132" s="194"/>
    </row>
    <row r="133" spans="1:24" x14ac:dyDescent="0.25">
      <c r="C133" s="194"/>
      <c r="D133" s="194"/>
      <c r="E133" s="194"/>
      <c r="F133" s="194"/>
      <c r="G133" s="194"/>
      <c r="H133" s="194"/>
      <c r="I133" s="194"/>
      <c r="J133" s="194"/>
      <c r="K133" s="194"/>
      <c r="L133" s="194"/>
      <c r="M133" s="194"/>
      <c r="N133" s="194"/>
      <c r="O133" s="194"/>
      <c r="P133" s="194"/>
      <c r="Q133" s="194"/>
    </row>
    <row r="134" spans="1:24" x14ac:dyDescent="0.25">
      <c r="C134" s="194"/>
      <c r="D134" s="194"/>
      <c r="E134" s="194"/>
      <c r="F134" s="194"/>
      <c r="G134" s="194"/>
      <c r="H134" s="194"/>
      <c r="I134" s="194"/>
      <c r="J134" s="194"/>
      <c r="K134" s="194"/>
      <c r="L134" s="194"/>
      <c r="M134" s="194"/>
      <c r="N134" s="194"/>
      <c r="O134" s="194"/>
      <c r="P134" s="194"/>
      <c r="Q134" s="194"/>
    </row>
    <row r="135" spans="1:24" x14ac:dyDescent="0.25">
      <c r="C135" s="194"/>
      <c r="D135" s="194"/>
      <c r="E135" s="194"/>
      <c r="F135" s="194"/>
      <c r="G135" s="194"/>
      <c r="H135" s="194"/>
      <c r="I135" s="194"/>
      <c r="J135" s="194"/>
      <c r="K135" s="194"/>
      <c r="L135" s="194"/>
      <c r="M135" s="194"/>
      <c r="N135" s="194"/>
      <c r="O135" s="194"/>
      <c r="P135" s="194"/>
      <c r="Q135" s="194"/>
    </row>
    <row r="136" spans="1:24" x14ac:dyDescent="0.25">
      <c r="C136" s="194"/>
      <c r="D136" s="194"/>
      <c r="E136" s="194"/>
      <c r="F136" s="194"/>
      <c r="G136" s="194"/>
      <c r="H136" s="194"/>
      <c r="I136" s="194"/>
      <c r="J136" s="194"/>
      <c r="K136" s="194"/>
      <c r="L136" s="194"/>
      <c r="M136" s="194"/>
      <c r="N136" s="194"/>
      <c r="O136" s="194"/>
      <c r="P136" s="194"/>
      <c r="Q136" s="194"/>
    </row>
    <row r="137" spans="1:24" x14ac:dyDescent="0.25">
      <c r="C137" s="194"/>
      <c r="D137" s="194"/>
      <c r="E137" s="194"/>
      <c r="F137" s="194"/>
      <c r="G137" s="194"/>
      <c r="H137" s="194"/>
      <c r="I137" s="194"/>
      <c r="J137" s="194"/>
      <c r="K137" s="194"/>
      <c r="L137" s="194"/>
      <c r="M137" s="194"/>
      <c r="N137" s="194"/>
      <c r="O137" s="194"/>
      <c r="P137" s="194"/>
      <c r="Q137" s="194"/>
    </row>
    <row r="138" spans="1:24" x14ac:dyDescent="0.25">
      <c r="C138" s="194"/>
      <c r="D138" s="194"/>
      <c r="E138" s="194"/>
      <c r="F138" s="194"/>
      <c r="G138" s="194"/>
      <c r="H138" s="194"/>
      <c r="I138" s="194"/>
      <c r="J138" s="194"/>
      <c r="K138" s="194"/>
      <c r="L138" s="194"/>
      <c r="M138" s="194"/>
      <c r="N138" s="194"/>
      <c r="O138" s="194"/>
      <c r="P138" s="194"/>
      <c r="Q138" s="194"/>
    </row>
    <row r="139" spans="1:24" x14ac:dyDescent="0.25">
      <c r="C139" s="194"/>
      <c r="D139" s="194"/>
      <c r="E139" s="194"/>
      <c r="F139" s="194"/>
      <c r="G139" s="194"/>
      <c r="H139" s="194"/>
      <c r="I139" s="194"/>
      <c r="J139" s="194"/>
      <c r="K139" s="194"/>
      <c r="L139" s="194"/>
      <c r="M139" s="194"/>
      <c r="N139" s="194"/>
      <c r="O139" s="194"/>
      <c r="P139" s="194"/>
      <c r="Q139" s="194"/>
    </row>
    <row r="140" spans="1:24" x14ac:dyDescent="0.25">
      <c r="C140" s="194"/>
      <c r="D140" s="194"/>
      <c r="E140" s="194"/>
      <c r="F140" s="194"/>
      <c r="G140" s="194"/>
      <c r="H140" s="194"/>
      <c r="I140" s="194"/>
      <c r="J140" s="194"/>
      <c r="K140" s="194"/>
      <c r="L140" s="194"/>
      <c r="M140" s="194"/>
      <c r="N140" s="194"/>
      <c r="O140" s="194"/>
      <c r="P140" s="194"/>
      <c r="Q140" s="194"/>
    </row>
    <row r="141" spans="1:24" x14ac:dyDescent="0.25">
      <c r="C141" s="194"/>
      <c r="D141" s="194"/>
      <c r="E141" s="194"/>
      <c r="F141" s="194"/>
      <c r="G141" s="194"/>
      <c r="H141" s="194"/>
      <c r="I141" s="194"/>
      <c r="J141" s="194"/>
      <c r="K141" s="194"/>
      <c r="L141" s="194"/>
      <c r="M141" s="194"/>
      <c r="N141" s="194"/>
      <c r="O141" s="194"/>
      <c r="P141" s="194"/>
      <c r="Q141" s="194"/>
    </row>
    <row r="142" spans="1:24" x14ac:dyDescent="0.25">
      <c r="C142" s="194"/>
      <c r="D142" s="194"/>
      <c r="E142" s="194"/>
      <c r="F142" s="194"/>
      <c r="G142" s="194"/>
      <c r="H142" s="194"/>
      <c r="I142" s="194"/>
      <c r="J142" s="194"/>
      <c r="K142" s="194"/>
      <c r="L142" s="194"/>
      <c r="M142" s="194"/>
      <c r="N142" s="194"/>
      <c r="O142" s="194"/>
      <c r="P142" s="194"/>
      <c r="Q142" s="194"/>
    </row>
    <row r="143" spans="1:24" x14ac:dyDescent="0.25">
      <c r="C143" s="194"/>
      <c r="D143" s="194"/>
      <c r="E143" s="194"/>
      <c r="F143" s="194"/>
      <c r="G143" s="194"/>
      <c r="H143" s="194"/>
      <c r="I143" s="194"/>
      <c r="J143" s="194"/>
      <c r="K143" s="194"/>
      <c r="L143" s="194"/>
      <c r="M143" s="194"/>
      <c r="N143" s="194"/>
      <c r="O143" s="194"/>
      <c r="P143" s="194"/>
      <c r="Q143" s="194"/>
    </row>
    <row r="144" spans="1:24" x14ac:dyDescent="0.25">
      <c r="C144" s="194"/>
      <c r="D144" s="194"/>
      <c r="E144" s="194"/>
      <c r="F144" s="194"/>
      <c r="G144" s="194"/>
      <c r="H144" s="194"/>
      <c r="I144" s="194"/>
      <c r="J144" s="194"/>
      <c r="K144" s="194"/>
      <c r="L144" s="194"/>
      <c r="M144" s="194"/>
      <c r="N144" s="194"/>
      <c r="O144" s="194"/>
      <c r="P144" s="194"/>
      <c r="Q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row r="180" spans="3:3" x14ac:dyDescent="0.25">
      <c r="C180" s="194"/>
    </row>
  </sheetData>
  <phoneticPr fontId="0" type="noConversion"/>
  <hyperlinks>
    <hyperlink ref="A1" location="'420 DPW'!A1" display="Main 440" xr:uid="{00000000-0004-0000-2400-000000000000}"/>
    <hyperlink ref="B1" location="'Table of Contents'!A1" display="TOC" xr:uid="{00000000-0004-0000-2400-000001000000}"/>
  </hyperlinks>
  <pageMargins left="0.75" right="0.75" top="1" bottom="1" header="0.5" footer="0.5"/>
  <pageSetup scale="90" fitToHeight="0" orientation="landscape" r:id="rId1"/>
  <headerFooter alignWithMargins="0">
    <oddFooter>&amp;L&amp;D     &amp;T&amp;C&amp;F&amp;R&amp;A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pageSetUpPr fitToPage="1"/>
  </sheetPr>
  <dimension ref="A1:Y178"/>
  <sheetViews>
    <sheetView workbookViewId="0">
      <selection activeCell="S15" sqref="S15"/>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1202</v>
      </c>
      <c r="B1" s="290" t="s">
        <v>194</v>
      </c>
      <c r="D1" s="194"/>
      <c r="E1" s="194"/>
      <c r="F1" s="194"/>
      <c r="G1" s="194"/>
      <c r="H1" s="194"/>
      <c r="I1" s="194"/>
      <c r="J1" s="194"/>
      <c r="K1" s="194"/>
      <c r="L1" s="194"/>
      <c r="M1" s="194"/>
      <c r="N1" s="194"/>
      <c r="O1" s="194"/>
      <c r="P1" s="194"/>
      <c r="Q1" s="194"/>
      <c r="U1"/>
    </row>
    <row r="2" spans="1:24" ht="13.8" x14ac:dyDescent="0.25">
      <c r="A2" s="702" t="s">
        <v>1142</v>
      </c>
      <c r="B2" s="43"/>
      <c r="D2" s="194"/>
      <c r="E2" s="125"/>
      <c r="F2" s="194"/>
      <c r="G2" s="194"/>
      <c r="H2" s="194"/>
      <c r="I2" s="125" t="s">
        <v>706</v>
      </c>
      <c r="J2" s="125"/>
      <c r="K2" s="125"/>
      <c r="L2" s="125"/>
      <c r="M2" s="125"/>
      <c r="N2" s="125"/>
      <c r="O2" s="125"/>
      <c r="P2" s="125"/>
      <c r="Q2" s="125"/>
      <c r="R2" s="58" t="s">
        <v>1219</v>
      </c>
      <c r="U2" s="44" t="s">
        <v>1220</v>
      </c>
      <c r="W2" s="44"/>
    </row>
    <row r="3" spans="1:24" ht="13.8" thickBot="1" x14ac:dyDescent="0.3">
      <c r="A3" s="703"/>
      <c r="B3" s="4"/>
      <c r="C3" s="23"/>
      <c r="D3" s="23"/>
      <c r="E3" s="23"/>
      <c r="F3" s="23"/>
      <c r="G3" s="23"/>
      <c r="H3" s="23"/>
      <c r="I3" s="23"/>
      <c r="J3" s="23"/>
      <c r="K3" s="23"/>
      <c r="L3" s="23"/>
      <c r="M3" s="23"/>
      <c r="N3" s="23"/>
      <c r="O3" s="23"/>
      <c r="P3" s="23"/>
      <c r="Q3" s="23"/>
      <c r="R3" s="4"/>
      <c r="S3" s="23"/>
      <c r="T3" s="23"/>
      <c r="U3" s="4"/>
      <c r="W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07"/>
      <c r="B8" s="156"/>
      <c r="C8" s="114"/>
      <c r="D8" s="250"/>
      <c r="E8" s="250"/>
      <c r="F8" s="250"/>
      <c r="G8" s="250"/>
      <c r="H8" s="250"/>
      <c r="I8" s="250"/>
      <c r="J8" s="250"/>
      <c r="K8" s="145"/>
      <c r="L8" s="145"/>
      <c r="M8" s="145"/>
      <c r="N8" s="145"/>
      <c r="O8" s="145"/>
      <c r="P8" s="145"/>
      <c r="Q8" s="145"/>
      <c r="R8" s="59"/>
      <c r="S8" s="10"/>
      <c r="T8" s="10"/>
      <c r="U8" s="10"/>
    </row>
    <row r="9" spans="1:24" x14ac:dyDescent="0.25">
      <c r="A9" s="708">
        <v>5112</v>
      </c>
      <c r="B9" s="60" t="s">
        <v>1205</v>
      </c>
      <c r="C9" s="311">
        <v>41932.800000000003</v>
      </c>
      <c r="D9" s="13">
        <f>2803.4+57361.7</f>
        <v>60165.1</v>
      </c>
      <c r="E9" s="127">
        <v>81342.8</v>
      </c>
      <c r="F9" s="127">
        <v>83923.6</v>
      </c>
      <c r="G9" s="127">
        <v>121300</v>
      </c>
      <c r="H9" s="127">
        <v>128377.60000000001</v>
      </c>
      <c r="I9" s="13">
        <v>134014.39999999999</v>
      </c>
      <c r="J9" s="13">
        <v>140448</v>
      </c>
      <c r="K9" s="14">
        <v>145004</v>
      </c>
      <c r="L9" s="13">
        <v>142739.15</v>
      </c>
      <c r="M9" s="14">
        <v>148491</v>
      </c>
      <c r="N9" s="13">
        <v>129845.92</v>
      </c>
      <c r="O9" s="14">
        <f>4098+136885</f>
        <v>140983</v>
      </c>
      <c r="P9" s="13">
        <v>127419.29</v>
      </c>
      <c r="Q9" s="14">
        <v>147909</v>
      </c>
      <c r="R9" s="127">
        <v>65357.2</v>
      </c>
      <c r="S9" s="14">
        <f>+'420 DPW'!R78+'420 DPW'!R79+'420 DPW'!R80</f>
        <v>152256.5</v>
      </c>
      <c r="T9" s="14"/>
      <c r="U9" s="14"/>
    </row>
    <row r="10" spans="1:24" x14ac:dyDescent="0.25">
      <c r="A10" s="708">
        <v>5124</v>
      </c>
      <c r="B10" s="60" t="s">
        <v>776</v>
      </c>
      <c r="C10" s="311">
        <v>4630</v>
      </c>
      <c r="D10" s="13">
        <f>65.57+4175</f>
        <v>4240.57</v>
      </c>
      <c r="E10" s="127">
        <v>3855</v>
      </c>
      <c r="F10" s="127">
        <v>5060</v>
      </c>
      <c r="G10" s="127">
        <v>3335</v>
      </c>
      <c r="H10" s="127">
        <v>4303.75</v>
      </c>
      <c r="I10" s="13">
        <v>3720</v>
      </c>
      <c r="J10" s="13">
        <v>9017.6299999999992</v>
      </c>
      <c r="K10" s="14">
        <v>6000</v>
      </c>
      <c r="L10" s="13">
        <v>9774.94</v>
      </c>
      <c r="M10" s="14">
        <v>12000</v>
      </c>
      <c r="N10" s="13">
        <v>9792.3799999999992</v>
      </c>
      <c r="O10" s="14">
        <v>19000</v>
      </c>
      <c r="P10" s="13">
        <v>6112.5</v>
      </c>
      <c r="Q10" s="14">
        <v>21600</v>
      </c>
      <c r="R10" s="13">
        <v>3637.5</v>
      </c>
      <c r="S10" s="14">
        <f>+'420 DPW'!R93+'420 DPW'!R94+'420 DPW'!R95</f>
        <v>21600</v>
      </c>
      <c r="T10" s="14"/>
      <c r="U10" s="14"/>
    </row>
    <row r="11" spans="1:24" x14ac:dyDescent="0.25">
      <c r="A11" s="708">
        <v>5132</v>
      </c>
      <c r="B11" s="60" t="s">
        <v>1221</v>
      </c>
      <c r="C11" s="311">
        <v>3754.23</v>
      </c>
      <c r="D11" s="13">
        <v>1646.91</v>
      </c>
      <c r="E11" s="127">
        <v>1559.88</v>
      </c>
      <c r="F11" s="127">
        <v>2932.54</v>
      </c>
      <c r="G11" s="127">
        <v>3098.86</v>
      </c>
      <c r="H11" s="127">
        <v>1788.23</v>
      </c>
      <c r="I11" s="13">
        <v>3413.58</v>
      </c>
      <c r="J11" s="13">
        <v>4165.6499999999996</v>
      </c>
      <c r="K11" s="14">
        <v>5000</v>
      </c>
      <c r="L11" s="13">
        <v>7423.58</v>
      </c>
      <c r="M11" s="14">
        <v>6000</v>
      </c>
      <c r="N11" s="13">
        <v>1381.29</v>
      </c>
      <c r="O11" s="14">
        <v>6250</v>
      </c>
      <c r="P11" s="13">
        <v>652.30999999999995</v>
      </c>
      <c r="Q11" s="14">
        <v>6000</v>
      </c>
      <c r="R11" s="13"/>
      <c r="S11" s="14">
        <v>6000</v>
      </c>
      <c r="T11" s="14"/>
      <c r="U11" s="14"/>
    </row>
    <row r="12" spans="1:24" ht="13.8" thickBot="1" x14ac:dyDescent="0.3">
      <c r="A12" s="708">
        <v>5142</v>
      </c>
      <c r="B12" s="60" t="s">
        <v>1016</v>
      </c>
      <c r="C12" s="313">
        <v>3.3</v>
      </c>
      <c r="D12" s="15"/>
      <c r="E12" s="15"/>
      <c r="F12" s="15"/>
      <c r="G12" s="15"/>
      <c r="H12" s="15"/>
      <c r="I12" s="15"/>
      <c r="J12" s="15"/>
      <c r="K12" s="16"/>
      <c r="L12" s="15"/>
      <c r="M12" s="16"/>
      <c r="N12" s="15"/>
      <c r="O12" s="16"/>
      <c r="P12" s="15"/>
      <c r="Q12" s="16"/>
      <c r="R12" s="15"/>
      <c r="S12" s="16"/>
      <c r="T12" s="16"/>
      <c r="U12" s="16"/>
    </row>
    <row r="13" spans="1:24" x14ac:dyDescent="0.25">
      <c r="A13" s="708"/>
      <c r="B13" s="61" t="s">
        <v>718</v>
      </c>
      <c r="C13" s="312">
        <f t="shared" ref="C13:R13" si="0">SUM(C9:C12)</f>
        <v>50320.330000000009</v>
      </c>
      <c r="D13" s="18">
        <f t="shared" si="0"/>
        <v>66052.58</v>
      </c>
      <c r="E13" s="18">
        <f t="shared" si="0"/>
        <v>86757.680000000008</v>
      </c>
      <c r="F13" s="18">
        <f>SUM(F9:F12)</f>
        <v>91916.14</v>
      </c>
      <c r="G13" s="18">
        <f>SUM(G9:G12)</f>
        <v>127733.86</v>
      </c>
      <c r="H13" s="18">
        <f>SUM(H9:H12)</f>
        <v>134469.58000000002</v>
      </c>
      <c r="I13" s="18">
        <f t="shared" si="0"/>
        <v>141147.97999999998</v>
      </c>
      <c r="J13" s="18">
        <f t="shared" si="0"/>
        <v>153631.28</v>
      </c>
      <c r="K13" s="19">
        <f t="shared" ref="K13:Q13" si="1">SUM(K9:K12)</f>
        <v>156004</v>
      </c>
      <c r="L13" s="18">
        <f t="shared" si="1"/>
        <v>159937.66999999998</v>
      </c>
      <c r="M13" s="19">
        <f t="shared" si="1"/>
        <v>166491</v>
      </c>
      <c r="N13" s="18">
        <f t="shared" si="1"/>
        <v>141019.59</v>
      </c>
      <c r="O13" s="19">
        <f t="shared" si="1"/>
        <v>166233</v>
      </c>
      <c r="P13" s="18">
        <f t="shared" si="1"/>
        <v>134184.09999999998</v>
      </c>
      <c r="Q13" s="19">
        <f t="shared" si="1"/>
        <v>175509</v>
      </c>
      <c r="R13" s="18">
        <f t="shared" si="0"/>
        <v>68994.7</v>
      </c>
      <c r="S13" s="19">
        <f>SUM(S9:S12)</f>
        <v>179856.5</v>
      </c>
      <c r="T13" s="19">
        <f>SUM(T9:T12)</f>
        <v>0</v>
      </c>
      <c r="U13" s="19">
        <f>SUM(U9:U12)</f>
        <v>0</v>
      </c>
    </row>
    <row r="14" spans="1:24" x14ac:dyDescent="0.25">
      <c r="A14" s="708"/>
      <c r="B14" s="60"/>
      <c r="C14" s="311"/>
      <c r="D14" s="13"/>
      <c r="E14" s="13"/>
      <c r="F14" s="13"/>
      <c r="G14" s="13"/>
      <c r="H14" s="13"/>
      <c r="I14" s="13"/>
      <c r="J14" s="13"/>
      <c r="K14" s="14"/>
      <c r="L14" s="13"/>
      <c r="M14" s="14"/>
      <c r="N14" s="13"/>
      <c r="O14" s="14"/>
      <c r="P14" s="13"/>
      <c r="Q14" s="14"/>
      <c r="R14" s="13"/>
      <c r="S14" s="14"/>
      <c r="T14" s="14"/>
      <c r="U14" s="14"/>
    </row>
    <row r="15" spans="1:24" x14ac:dyDescent="0.25">
      <c r="A15" s="708">
        <v>5315</v>
      </c>
      <c r="B15" s="60" t="s">
        <v>1222</v>
      </c>
      <c r="C15" s="311"/>
      <c r="D15" s="13"/>
      <c r="E15" s="13"/>
      <c r="F15" s="13"/>
      <c r="G15" s="13"/>
      <c r="H15" s="13"/>
      <c r="I15" s="13"/>
      <c r="J15" s="13"/>
      <c r="K15" s="14"/>
      <c r="L15" s="13">
        <v>400</v>
      </c>
      <c r="M15" s="14"/>
      <c r="N15" s="13"/>
      <c r="O15" s="14"/>
      <c r="P15" s="13">
        <v>2369</v>
      </c>
      <c r="Q15" s="14">
        <v>3500</v>
      </c>
      <c r="R15" s="13">
        <v>1925</v>
      </c>
      <c r="S15" s="14">
        <v>3500</v>
      </c>
      <c r="T15" s="14"/>
      <c r="U15" s="14"/>
    </row>
    <row r="16" spans="1:24" x14ac:dyDescent="0.25">
      <c r="A16" s="708">
        <v>5443</v>
      </c>
      <c r="B16" s="60" t="s">
        <v>1164</v>
      </c>
      <c r="C16" s="311">
        <v>4952.8900000000003</v>
      </c>
      <c r="D16" s="13">
        <v>5225.26</v>
      </c>
      <c r="E16" s="127">
        <v>8534.39</v>
      </c>
      <c r="F16" s="127">
        <v>9126.2199999999993</v>
      </c>
      <c r="G16" s="127">
        <v>10174.370000000001</v>
      </c>
      <c r="H16" s="127">
        <v>8223.6</v>
      </c>
      <c r="I16" s="13">
        <v>9133.7099999999991</v>
      </c>
      <c r="J16" s="13">
        <v>5633.89</v>
      </c>
      <c r="K16" s="14">
        <v>9000</v>
      </c>
      <c r="L16" s="13">
        <v>9201.35</v>
      </c>
      <c r="M16" s="14">
        <v>9000</v>
      </c>
      <c r="N16" s="13">
        <v>3717.78</v>
      </c>
      <c r="O16" s="14">
        <v>9000</v>
      </c>
      <c r="P16" s="13">
        <v>6820.59</v>
      </c>
      <c r="Q16" s="14">
        <v>9000</v>
      </c>
      <c r="R16" s="13">
        <v>2889.82</v>
      </c>
      <c r="S16" s="14">
        <v>9000</v>
      </c>
      <c r="T16" s="14"/>
      <c r="U16" s="14"/>
    </row>
    <row r="17" spans="1:24" x14ac:dyDescent="0.25">
      <c r="A17" s="708">
        <v>5450</v>
      </c>
      <c r="B17" s="60" t="s">
        <v>754</v>
      </c>
      <c r="C17" s="568"/>
      <c r="D17" s="35"/>
      <c r="E17" s="200"/>
      <c r="F17" s="200"/>
      <c r="G17" s="200"/>
      <c r="H17" s="200"/>
      <c r="I17" s="35"/>
      <c r="J17" s="35"/>
      <c r="K17" s="36"/>
      <c r="L17" s="35"/>
      <c r="M17" s="36"/>
      <c r="N17" s="35"/>
      <c r="O17" s="36"/>
      <c r="P17" s="35"/>
      <c r="Q17" s="36"/>
      <c r="R17" s="35"/>
      <c r="S17" s="36">
        <v>4000</v>
      </c>
      <c r="T17" s="36"/>
      <c r="U17" s="36"/>
    </row>
    <row r="18" spans="1:24" ht="13.8" thickBot="1" x14ac:dyDescent="0.3">
      <c r="A18" s="708">
        <v>5460</v>
      </c>
      <c r="B18" s="60" t="s">
        <v>1165</v>
      </c>
      <c r="C18" s="313">
        <v>512</v>
      </c>
      <c r="D18" s="15">
        <v>2052.3200000000002</v>
      </c>
      <c r="E18" s="15"/>
      <c r="F18" s="15">
        <v>40</v>
      </c>
      <c r="G18" s="15">
        <v>0</v>
      </c>
      <c r="H18" s="15"/>
      <c r="I18" s="15">
        <v>0</v>
      </c>
      <c r="J18" s="15"/>
      <c r="K18" s="16">
        <v>2000</v>
      </c>
      <c r="L18" s="15"/>
      <c r="M18" s="16">
        <v>2000</v>
      </c>
      <c r="N18" s="15">
        <v>3694.08</v>
      </c>
      <c r="O18" s="16">
        <v>2000</v>
      </c>
      <c r="P18" s="15">
        <v>4022.07</v>
      </c>
      <c r="Q18" s="16">
        <v>3000</v>
      </c>
      <c r="R18" s="15">
        <v>421</v>
      </c>
      <c r="S18" s="16">
        <v>3000</v>
      </c>
      <c r="T18" s="16"/>
      <c r="U18" s="16"/>
    </row>
    <row r="19" spans="1:24" x14ac:dyDescent="0.25">
      <c r="A19" s="708"/>
      <c r="B19" s="61" t="s">
        <v>728</v>
      </c>
      <c r="C19" s="117">
        <f t="shared" ref="C19:E19" si="2">SUM(C16:C18)</f>
        <v>5464.89</v>
      </c>
      <c r="D19" s="18">
        <f t="shared" si="2"/>
        <v>7277.58</v>
      </c>
      <c r="E19" s="18">
        <f t="shared" si="2"/>
        <v>8534.39</v>
      </c>
      <c r="F19" s="18">
        <f>SUM(F16:F18)</f>
        <v>9166.2199999999993</v>
      </c>
      <c r="G19" s="18">
        <f>SUM(G16:G18)</f>
        <v>10174.370000000001</v>
      </c>
      <c r="H19" s="18">
        <f>SUM(H16:H18)</f>
        <v>8223.6</v>
      </c>
      <c r="I19" s="18">
        <f t="shared" ref="I19:S19" si="3">SUM(I15:I18)</f>
        <v>9133.7099999999991</v>
      </c>
      <c r="J19" s="18">
        <f t="shared" si="3"/>
        <v>5633.89</v>
      </c>
      <c r="K19" s="19">
        <f t="shared" si="3"/>
        <v>11000</v>
      </c>
      <c r="L19" s="18">
        <f t="shared" si="3"/>
        <v>9601.35</v>
      </c>
      <c r="M19" s="19">
        <f t="shared" ref="M19" si="4">SUM(M15:M18)</f>
        <v>11000</v>
      </c>
      <c r="N19" s="18">
        <f t="shared" ref="N19" si="5">SUM(N15:N18)</f>
        <v>7411.8600000000006</v>
      </c>
      <c r="O19" s="19">
        <f t="shared" si="3"/>
        <v>11000</v>
      </c>
      <c r="P19" s="18">
        <f t="shared" ref="P19" si="6">SUM(P15:P18)</f>
        <v>13211.66</v>
      </c>
      <c r="Q19" s="19">
        <f t="shared" ref="Q19" si="7">SUM(Q15:Q18)</f>
        <v>15500</v>
      </c>
      <c r="R19" s="18">
        <f t="shared" si="3"/>
        <v>5235.82</v>
      </c>
      <c r="S19" s="19">
        <f t="shared" si="3"/>
        <v>19500</v>
      </c>
      <c r="T19" s="19">
        <f t="shared" ref="T19" si="8">SUM(T15:T18)</f>
        <v>0</v>
      </c>
      <c r="U19" s="19">
        <f>SUM(U16:U18)</f>
        <v>0</v>
      </c>
    </row>
    <row r="20" spans="1:24" x14ac:dyDescent="0.25">
      <c r="A20" s="708"/>
      <c r="B20" s="60"/>
      <c r="C20" s="115"/>
      <c r="D20" s="13"/>
      <c r="E20" s="13"/>
      <c r="F20" s="13"/>
      <c r="G20" s="13"/>
      <c r="H20" s="13"/>
      <c r="I20" s="13"/>
      <c r="J20" s="13"/>
      <c r="K20" s="14"/>
      <c r="L20" s="13"/>
      <c r="M20" s="14"/>
      <c r="N20" s="13"/>
      <c r="O20" s="14"/>
      <c r="P20" s="13"/>
      <c r="Q20" s="14"/>
      <c r="R20" s="13"/>
      <c r="S20" s="14"/>
      <c r="T20" s="14"/>
      <c r="U20" s="14"/>
    </row>
    <row r="21" spans="1:24" ht="13.8" thickBot="1" x14ac:dyDescent="0.3">
      <c r="A21" s="709"/>
      <c r="B21" s="20" t="s">
        <v>1223</v>
      </c>
      <c r="C21" s="21">
        <f t="shared" ref="C21:S21" si="9">+C19+C13</f>
        <v>55785.220000000008</v>
      </c>
      <c r="D21" s="21">
        <f t="shared" si="9"/>
        <v>73330.16</v>
      </c>
      <c r="E21" s="21">
        <f t="shared" ref="E21:J21" si="10">+E19+E13</f>
        <v>95292.07</v>
      </c>
      <c r="F21" s="21">
        <f t="shared" si="10"/>
        <v>101082.36</v>
      </c>
      <c r="G21" s="21">
        <f t="shared" si="10"/>
        <v>137908.23000000001</v>
      </c>
      <c r="H21" s="21">
        <f t="shared" si="10"/>
        <v>142693.18000000002</v>
      </c>
      <c r="I21" s="21">
        <f t="shared" si="10"/>
        <v>150281.68999999997</v>
      </c>
      <c r="J21" s="21">
        <f t="shared" si="10"/>
        <v>159265.17000000001</v>
      </c>
      <c r="K21" s="22">
        <f t="shared" ref="K21:M21" si="11">+K19+K13</f>
        <v>167004</v>
      </c>
      <c r="L21" s="21">
        <f t="shared" si="11"/>
        <v>169539.02</v>
      </c>
      <c r="M21" s="22">
        <f t="shared" si="11"/>
        <v>177491</v>
      </c>
      <c r="N21" s="21">
        <f t="shared" ref="N21" si="12">+N19+N13</f>
        <v>148431.45000000001</v>
      </c>
      <c r="O21" s="22">
        <f t="shared" ref="O21" si="13">+O19+O13</f>
        <v>177233</v>
      </c>
      <c r="P21" s="21">
        <f t="shared" ref="P21" si="14">+P19+P13</f>
        <v>147395.75999999998</v>
      </c>
      <c r="Q21" s="22">
        <f t="shared" ref="Q21" si="15">+Q19+Q13</f>
        <v>191009</v>
      </c>
      <c r="R21" s="21">
        <f t="shared" si="9"/>
        <v>74230.51999999999</v>
      </c>
      <c r="S21" s="22">
        <f t="shared" si="9"/>
        <v>199356.5</v>
      </c>
      <c r="T21" s="22">
        <f>+S21</f>
        <v>199356.5</v>
      </c>
      <c r="U21" s="22">
        <f>+S21</f>
        <v>199356.5</v>
      </c>
    </row>
    <row r="22" spans="1:24" ht="13.8" thickTop="1" x14ac:dyDescent="0.25">
      <c r="A22" s="63"/>
      <c r="B22" s="4"/>
      <c r="C22" s="23"/>
      <c r="D22" s="23"/>
      <c r="E22" s="23"/>
      <c r="F22" s="23"/>
      <c r="G22" s="23"/>
      <c r="H22" s="23"/>
      <c r="I22" s="23"/>
      <c r="J22" s="23"/>
      <c r="K22" s="23"/>
      <c r="L22" s="23"/>
      <c r="M22" s="23"/>
      <c r="N22" s="23"/>
      <c r="O22" s="23"/>
      <c r="P22" s="23"/>
      <c r="Q22" s="23"/>
      <c r="R22" s="181" t="s">
        <v>732</v>
      </c>
      <c r="S22" s="1001">
        <f>+S21-Q21</f>
        <v>8347.5</v>
      </c>
      <c r="T22" s="1002">
        <f>ROUND((+S22/Q21),4)</f>
        <v>4.3700000000000003E-2</v>
      </c>
      <c r="U22" s="23"/>
      <c r="V22" s="25"/>
      <c r="W22" s="25"/>
      <c r="X22" s="25"/>
    </row>
    <row r="23" spans="1:24" ht="13.8" thickBot="1" x14ac:dyDescent="0.3">
      <c r="A23" s="703"/>
      <c r="B23" s="4"/>
      <c r="C23" s="23"/>
      <c r="D23" s="23"/>
      <c r="E23" s="23"/>
      <c r="F23" s="23"/>
      <c r="G23" s="23"/>
      <c r="H23" s="23"/>
      <c r="I23" s="23"/>
      <c r="J23" s="23"/>
      <c r="K23" s="23"/>
      <c r="L23" s="23"/>
      <c r="M23" s="23"/>
      <c r="N23" s="23"/>
      <c r="O23" s="23"/>
      <c r="P23" s="23"/>
      <c r="Q23" s="23"/>
      <c r="R23" s="25"/>
      <c r="S23" s="23"/>
      <c r="T23" s="23"/>
      <c r="U23" s="25"/>
      <c r="V23" s="25"/>
      <c r="W23" s="25"/>
      <c r="X23" s="25"/>
    </row>
    <row r="24" spans="1:24" ht="13.8" thickTop="1" x14ac:dyDescent="0.25">
      <c r="A24" s="718"/>
      <c r="B24" s="349"/>
      <c r="C24" s="350" t="s">
        <v>256</v>
      </c>
      <c r="D24" s="351" t="s">
        <v>256</v>
      </c>
      <c r="E24" s="351" t="s">
        <v>256</v>
      </c>
      <c r="F24" s="194"/>
      <c r="G24" s="194"/>
      <c r="H24" s="194"/>
      <c r="I24" s="194"/>
      <c r="J24" s="194"/>
      <c r="K24" s="194"/>
      <c r="L24" s="194"/>
      <c r="O24" s="352" t="s">
        <v>255</v>
      </c>
      <c r="P24" s="353" t="s">
        <v>716</v>
      </c>
      <c r="Q24" s="354" t="s">
        <v>730</v>
      </c>
      <c r="R24" s="353" t="s">
        <v>731</v>
      </c>
      <c r="S24" s="355"/>
      <c r="T24" s="550"/>
      <c r="U24" s="354"/>
      <c r="V24" s="25"/>
      <c r="W24" s="25"/>
      <c r="X24" s="25"/>
    </row>
    <row r="25" spans="1:24" ht="13.8" thickBot="1" x14ac:dyDescent="0.3">
      <c r="A25" s="719" t="s">
        <v>715</v>
      </c>
      <c r="B25" s="356"/>
      <c r="C25" s="357" t="s">
        <v>243</v>
      </c>
      <c r="D25" s="357" t="s">
        <v>244</v>
      </c>
      <c r="E25" s="358" t="s">
        <v>245</v>
      </c>
      <c r="F25" s="194"/>
      <c r="G25" s="194"/>
      <c r="H25" s="194"/>
      <c r="I25" s="194"/>
      <c r="J25" s="194"/>
      <c r="K25" s="194"/>
      <c r="L25" s="194"/>
      <c r="O25" s="359" t="s">
        <v>469</v>
      </c>
      <c r="P25" s="359" t="s">
        <v>1345</v>
      </c>
      <c r="Q25" s="358" t="s">
        <v>732</v>
      </c>
      <c r="R25" s="360" t="s">
        <v>732</v>
      </c>
      <c r="S25" s="361" t="s">
        <v>733</v>
      </c>
      <c r="T25" s="551"/>
      <c r="U25" s="359"/>
      <c r="V25" s="25"/>
      <c r="W25" s="25"/>
      <c r="X25" s="25"/>
    </row>
    <row r="26" spans="1:24" ht="13.8" thickTop="1" x14ac:dyDescent="0.25">
      <c r="A26" s="723"/>
      <c r="B26" s="383"/>
      <c r="C26" s="384"/>
      <c r="D26" s="385"/>
      <c r="E26" s="385"/>
      <c r="F26" s="194"/>
      <c r="G26" s="194"/>
      <c r="H26" s="194"/>
      <c r="I26" s="194"/>
      <c r="J26" s="194"/>
      <c r="K26" s="194"/>
      <c r="L26" s="194"/>
      <c r="O26" s="386"/>
      <c r="P26" s="385"/>
      <c r="Q26" s="386"/>
      <c r="R26" s="384"/>
      <c r="S26" s="367"/>
      <c r="T26" s="553"/>
      <c r="U26" s="368"/>
      <c r="V26" s="25"/>
      <c r="W26" s="25"/>
      <c r="X26" s="25"/>
    </row>
    <row r="27" spans="1:24" x14ac:dyDescent="0.25">
      <c r="A27" s="724">
        <v>5112</v>
      </c>
      <c r="B27" s="369" t="s">
        <v>1205</v>
      </c>
      <c r="C27" s="373">
        <v>41932.800000000003</v>
      </c>
      <c r="D27" s="373">
        <f>2803.4+57361.7</f>
        <v>60165.1</v>
      </c>
      <c r="E27" s="373">
        <v>81342.8</v>
      </c>
      <c r="F27" s="194"/>
      <c r="G27" s="194"/>
      <c r="H27" s="194"/>
      <c r="I27" s="194"/>
      <c r="J27" s="194"/>
      <c r="K27" s="194"/>
      <c r="L27" s="194"/>
      <c r="O27" s="372">
        <f>+Q9</f>
        <v>147909</v>
      </c>
      <c r="P27" s="393">
        <f>+S9</f>
        <v>152256.5</v>
      </c>
      <c r="Q27" s="396">
        <f t="shared" ref="Q27:Q33" si="16">+P27-O27</f>
        <v>4347.5</v>
      </c>
      <c r="R27" s="374">
        <f t="shared" ref="R27:R33" si="17">IF(O27+P27&lt;&gt;0,IF(O27&lt;&gt;0,IF(Q27&lt;&gt;0,ROUND((+Q27/O27),4),""),1),"")</f>
        <v>2.9399999999999999E-2</v>
      </c>
      <c r="S27" s="367" t="s">
        <v>2410</v>
      </c>
      <c r="T27" s="553"/>
      <c r="U27" s="368"/>
      <c r="V27" s="25"/>
      <c r="W27" s="25"/>
      <c r="X27" s="25"/>
    </row>
    <row r="28" spans="1:24" x14ac:dyDescent="0.25">
      <c r="A28" s="724">
        <v>5124</v>
      </c>
      <c r="B28" s="369" t="s">
        <v>776</v>
      </c>
      <c r="C28" s="373">
        <v>4630</v>
      </c>
      <c r="D28" s="373">
        <f>65.57+4175</f>
        <v>4240.57</v>
      </c>
      <c r="E28" s="373">
        <v>3855</v>
      </c>
      <c r="F28" s="194"/>
      <c r="G28" s="194"/>
      <c r="H28" s="194"/>
      <c r="I28" s="194"/>
      <c r="J28" s="194"/>
      <c r="K28" s="194"/>
      <c r="L28" s="194"/>
      <c r="O28" s="372">
        <f>+Q10</f>
        <v>21600</v>
      </c>
      <c r="P28" s="393">
        <f>+S10</f>
        <v>21600</v>
      </c>
      <c r="Q28" s="396">
        <f t="shared" si="16"/>
        <v>0</v>
      </c>
      <c r="R28" s="374" t="str">
        <f t="shared" si="17"/>
        <v/>
      </c>
      <c r="S28" s="367"/>
      <c r="T28" s="553"/>
      <c r="U28" s="368"/>
      <c r="V28" s="25"/>
      <c r="W28" s="25"/>
      <c r="X28" s="25"/>
    </row>
    <row r="29" spans="1:24" x14ac:dyDescent="0.25">
      <c r="A29" s="724">
        <v>5132</v>
      </c>
      <c r="B29" s="369" t="s">
        <v>1221</v>
      </c>
      <c r="C29" s="373">
        <v>3754.23</v>
      </c>
      <c r="D29" s="373">
        <v>1646.91</v>
      </c>
      <c r="E29" s="373">
        <v>1559.88</v>
      </c>
      <c r="F29" s="194"/>
      <c r="G29" s="194"/>
      <c r="H29" s="194"/>
      <c r="I29" s="194"/>
      <c r="J29" s="194"/>
      <c r="K29" s="194"/>
      <c r="L29" s="194"/>
      <c r="O29" s="372">
        <f>+Q11</f>
        <v>6000</v>
      </c>
      <c r="P29" s="393">
        <f>+S11</f>
        <v>6000</v>
      </c>
      <c r="Q29" s="396">
        <f t="shared" si="16"/>
        <v>0</v>
      </c>
      <c r="R29" s="374" t="str">
        <f t="shared" si="17"/>
        <v/>
      </c>
      <c r="S29" s="367"/>
      <c r="T29" s="553"/>
      <c r="U29" s="368"/>
      <c r="V29" s="25"/>
      <c r="W29" s="25"/>
      <c r="X29" s="25"/>
    </row>
    <row r="30" spans="1:24" x14ac:dyDescent="0.25">
      <c r="A30" s="724">
        <v>5315</v>
      </c>
      <c r="B30" s="397" t="s">
        <v>1222</v>
      </c>
      <c r="C30" s="373"/>
      <c r="D30" s="373"/>
      <c r="E30" s="373"/>
      <c r="F30" s="194"/>
      <c r="G30" s="194"/>
      <c r="H30" s="194"/>
      <c r="I30" s="194"/>
      <c r="J30" s="194"/>
      <c r="K30" s="194"/>
      <c r="L30" s="194"/>
      <c r="O30" s="372">
        <f>+Q15</f>
        <v>3500</v>
      </c>
      <c r="P30" s="393">
        <f>+S15</f>
        <v>3500</v>
      </c>
      <c r="Q30" s="396">
        <f t="shared" si="16"/>
        <v>0</v>
      </c>
      <c r="R30" s="374" t="str">
        <f t="shared" si="17"/>
        <v/>
      </c>
      <c r="S30" s="367"/>
      <c r="T30" s="553"/>
      <c r="U30" s="368"/>
      <c r="V30" s="25"/>
      <c r="W30" s="25"/>
      <c r="X30" s="25"/>
    </row>
    <row r="31" spans="1:24" x14ac:dyDescent="0.25">
      <c r="A31" s="724">
        <v>5443</v>
      </c>
      <c r="B31" s="369" t="s">
        <v>1164</v>
      </c>
      <c r="C31" s="373">
        <v>4952.8900000000003</v>
      </c>
      <c r="D31" s="373">
        <v>5225.26</v>
      </c>
      <c r="E31" s="373">
        <v>8534.39</v>
      </c>
      <c r="F31" s="194"/>
      <c r="G31" s="194"/>
      <c r="H31" s="194"/>
      <c r="I31" s="194"/>
      <c r="J31" s="194"/>
      <c r="K31" s="194"/>
      <c r="L31" s="194"/>
      <c r="O31" s="372">
        <f>+Q16</f>
        <v>9000</v>
      </c>
      <c r="P31" s="393">
        <f>+S16</f>
        <v>9000</v>
      </c>
      <c r="Q31" s="396">
        <f t="shared" si="16"/>
        <v>0</v>
      </c>
      <c r="R31" s="374" t="str">
        <f t="shared" si="17"/>
        <v/>
      </c>
      <c r="S31" s="367"/>
      <c r="T31" s="553"/>
      <c r="U31" s="368"/>
      <c r="V31" s="25"/>
      <c r="W31" s="25"/>
      <c r="X31" s="25"/>
    </row>
    <row r="32" spans="1:24" x14ac:dyDescent="0.25">
      <c r="A32" s="724">
        <v>5450</v>
      </c>
      <c r="B32" s="369" t="s">
        <v>754</v>
      </c>
      <c r="C32" s="375"/>
      <c r="D32" s="375"/>
      <c r="E32" s="375"/>
      <c r="F32" s="194"/>
      <c r="G32" s="194"/>
      <c r="H32" s="194"/>
      <c r="I32" s="194"/>
      <c r="J32" s="194"/>
      <c r="K32" s="194"/>
      <c r="L32" s="194"/>
      <c r="O32" s="372">
        <f>+Q17</f>
        <v>0</v>
      </c>
      <c r="P32" s="393">
        <f>+S17</f>
        <v>4000</v>
      </c>
      <c r="Q32" s="396">
        <f t="shared" ref="Q32" si="18">+P32-O32</f>
        <v>4000</v>
      </c>
      <c r="R32" s="374">
        <f t="shared" ref="R32" si="19">IF(O32+P32&lt;&gt;0,IF(O32&lt;&gt;0,IF(Q32&lt;&gt;0,ROUND((+Q32/O32),4),""),1),"")</f>
        <v>1</v>
      </c>
      <c r="S32" s="367" t="s">
        <v>2411</v>
      </c>
      <c r="T32" s="553"/>
      <c r="U32" s="368"/>
      <c r="V32" s="25"/>
      <c r="W32" s="25"/>
      <c r="X32" s="25"/>
    </row>
    <row r="33" spans="1:24" ht="13.8" thickBot="1" x14ac:dyDescent="0.3">
      <c r="A33" s="724">
        <v>5460</v>
      </c>
      <c r="B33" s="369" t="s">
        <v>1165</v>
      </c>
      <c r="C33" s="371">
        <v>512</v>
      </c>
      <c r="D33" s="371">
        <v>2052.3200000000002</v>
      </c>
      <c r="E33" s="371"/>
      <c r="F33" s="194"/>
      <c r="G33" s="194"/>
      <c r="H33" s="194"/>
      <c r="I33" s="194"/>
      <c r="J33" s="194"/>
      <c r="K33" s="194"/>
      <c r="L33" s="194"/>
      <c r="O33" s="372">
        <f>+Q18</f>
        <v>3000</v>
      </c>
      <c r="P33" s="393">
        <f>+S18</f>
        <v>3000</v>
      </c>
      <c r="Q33" s="396">
        <f t="shared" si="16"/>
        <v>0</v>
      </c>
      <c r="R33" s="374" t="str">
        <f t="shared" si="17"/>
        <v/>
      </c>
      <c r="S33" s="367"/>
      <c r="T33" s="553"/>
      <c r="U33" s="368"/>
      <c r="V33" s="25"/>
      <c r="W33" s="25"/>
      <c r="X33" s="25"/>
    </row>
    <row r="34" spans="1:24" x14ac:dyDescent="0.25">
      <c r="A34" s="703"/>
      <c r="B34" s="4"/>
      <c r="C34" s="23"/>
      <c r="D34" s="23"/>
      <c r="E34" s="23"/>
      <c r="F34" s="23"/>
      <c r="G34" s="23"/>
      <c r="H34" s="194"/>
      <c r="I34" s="194"/>
      <c r="J34" s="194"/>
      <c r="K34" s="194"/>
      <c r="L34" s="194"/>
      <c r="O34" s="23"/>
      <c r="P34" s="23"/>
      <c r="Q34" s="23"/>
      <c r="R34" s="25"/>
      <c r="S34" s="23"/>
      <c r="T34" s="23"/>
      <c r="U34" s="23"/>
      <c r="V34" s="25"/>
      <c r="W34" s="25"/>
      <c r="X34" s="25"/>
    </row>
    <row r="35" spans="1:24" x14ac:dyDescent="0.25">
      <c r="A35" s="703"/>
      <c r="B35" s="4" t="s">
        <v>735</v>
      </c>
      <c r="C35" s="23"/>
      <c r="D35" s="23"/>
      <c r="E35" s="23"/>
      <c r="F35" s="23"/>
      <c r="G35" s="23"/>
      <c r="H35" s="194"/>
      <c r="I35" s="194"/>
      <c r="J35" s="194"/>
      <c r="K35" s="194"/>
      <c r="L35" s="194"/>
      <c r="O35" s="597">
        <f>SUM(O26:O34)</f>
        <v>191009</v>
      </c>
      <c r="P35" s="597">
        <f>SUM(P26:P34)</f>
        <v>199356.5</v>
      </c>
      <c r="Q35" s="25">
        <f>+P35-O35</f>
        <v>8347.5</v>
      </c>
      <c r="R35" s="598">
        <f>IF(O35+P35&lt;&gt;0,IF(O35&lt;&gt;0,IF(Q35&lt;&gt;0,ROUND((+Q35/O35),4),""),1),"")</f>
        <v>4.3700000000000003E-2</v>
      </c>
      <c r="S35" s="23"/>
      <c r="T35" s="23"/>
      <c r="U35" s="23"/>
      <c r="V35" s="25"/>
      <c r="W35" s="25"/>
      <c r="X35" s="25"/>
    </row>
    <row r="36" spans="1:24" x14ac:dyDescent="0.25">
      <c r="A36" s="703"/>
      <c r="B36" s="4"/>
      <c r="C36" s="23"/>
      <c r="D36" s="23"/>
      <c r="E36" s="23"/>
      <c r="F36" s="23"/>
      <c r="G36" s="23"/>
      <c r="H36" s="23"/>
      <c r="I36" s="23"/>
      <c r="J36" s="23"/>
      <c r="K36" s="194"/>
      <c r="L36" s="194"/>
      <c r="M36" s="23"/>
      <c r="N36" s="23"/>
      <c r="O36" s="23"/>
      <c r="P36" s="23"/>
      <c r="Q36" s="23"/>
      <c r="R36" s="25"/>
      <c r="S36" s="23"/>
      <c r="T36" s="23"/>
      <c r="U36" s="23"/>
      <c r="V36" s="25"/>
      <c r="W36" s="25"/>
      <c r="X36" s="25"/>
    </row>
    <row r="37" spans="1:24" x14ac:dyDescent="0.25">
      <c r="A37" s="703"/>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5">
      <c r="A38" s="703"/>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5">
      <c r="A39" s="703"/>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5">
      <c r="A40" s="703"/>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5">
      <c r="A41" s="703"/>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5">
      <c r="A44" s="703"/>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5">
      <c r="A45" s="703"/>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5">
      <c r="A46" s="703"/>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5">
      <c r="A47" s="703"/>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5">
      <c r="A48" s="703"/>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5">
      <c r="A49" s="703"/>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5">
      <c r="A50" s="703"/>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5">
      <c r="A51" s="703"/>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5">
      <c r="A52" s="703"/>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5">
      <c r="A53" s="703"/>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5">
      <c r="A54" s="703"/>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5">
      <c r="A55" s="703"/>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5">
      <c r="A56" s="703"/>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5">
      <c r="A57" s="703"/>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5">
      <c r="A58" s="703"/>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5">
      <c r="A59" s="703"/>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5">
      <c r="A60" s="703"/>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5">
      <c r="A61" s="703"/>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5">
      <c r="A62" s="703"/>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5">
      <c r="A63" s="703"/>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5">
      <c r="A64" s="703"/>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5">
      <c r="A65" s="703"/>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5">
      <c r="A66" s="703"/>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5">
      <c r="A67" s="703"/>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5">
      <c r="A68" s="703"/>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5">
      <c r="A69" s="703"/>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5">
      <c r="A70" s="703"/>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5">
      <c r="A71" s="703"/>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5">
      <c r="A72" s="703"/>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5">
      <c r="A73" s="703"/>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5">
      <c r="C123" s="194"/>
      <c r="D123" s="194"/>
      <c r="E123" s="194"/>
      <c r="F123" s="194"/>
      <c r="G123" s="194"/>
      <c r="H123" s="194"/>
      <c r="I123" s="194"/>
      <c r="J123" s="194"/>
      <c r="K123" s="194"/>
      <c r="L123" s="194"/>
      <c r="M123" s="194"/>
      <c r="N123" s="194"/>
      <c r="O123" s="194"/>
      <c r="P123" s="194"/>
      <c r="Q123" s="194"/>
    </row>
    <row r="124" spans="1:24" x14ac:dyDescent="0.25">
      <c r="C124" s="194"/>
      <c r="D124" s="194"/>
      <c r="E124" s="194"/>
      <c r="F124" s="194"/>
      <c r="G124" s="194"/>
      <c r="H124" s="194"/>
      <c r="I124" s="194"/>
      <c r="J124" s="194"/>
      <c r="K124" s="194"/>
      <c r="L124" s="194"/>
      <c r="M124" s="194"/>
      <c r="N124" s="194"/>
      <c r="O124" s="194"/>
      <c r="P124" s="194"/>
      <c r="Q124" s="194"/>
    </row>
    <row r="125" spans="1:24" x14ac:dyDescent="0.25">
      <c r="C125" s="194"/>
      <c r="D125" s="194"/>
      <c r="E125" s="194"/>
      <c r="F125" s="194"/>
      <c r="G125" s="194"/>
      <c r="H125" s="194"/>
      <c r="I125" s="194"/>
      <c r="J125" s="194"/>
      <c r="K125" s="194"/>
      <c r="L125" s="194"/>
      <c r="M125" s="194"/>
      <c r="N125" s="194"/>
      <c r="O125" s="194"/>
      <c r="P125" s="194"/>
      <c r="Q125" s="194"/>
    </row>
    <row r="126" spans="1:24" x14ac:dyDescent="0.25">
      <c r="C126" s="194"/>
      <c r="D126" s="194"/>
      <c r="E126" s="194"/>
      <c r="F126" s="194"/>
      <c r="G126" s="194"/>
      <c r="H126" s="194"/>
      <c r="I126" s="194"/>
      <c r="J126" s="194"/>
      <c r="K126" s="194"/>
      <c r="L126" s="194"/>
      <c r="M126" s="194"/>
      <c r="N126" s="194"/>
      <c r="O126" s="194"/>
      <c r="P126" s="194"/>
      <c r="Q126" s="194"/>
    </row>
    <row r="127" spans="1:24" x14ac:dyDescent="0.25">
      <c r="C127" s="194"/>
      <c r="D127" s="194"/>
      <c r="E127" s="194"/>
      <c r="F127" s="194"/>
      <c r="G127" s="194"/>
      <c r="H127" s="194"/>
      <c r="I127" s="194"/>
      <c r="J127" s="194"/>
      <c r="K127" s="194"/>
      <c r="L127" s="194"/>
      <c r="M127" s="194"/>
      <c r="N127" s="194"/>
      <c r="O127" s="194"/>
      <c r="P127" s="194"/>
      <c r="Q127" s="194"/>
    </row>
    <row r="128" spans="1:24" x14ac:dyDescent="0.25">
      <c r="C128" s="194"/>
      <c r="D128" s="194"/>
      <c r="E128" s="194"/>
      <c r="F128" s="194"/>
      <c r="G128" s="194"/>
      <c r="H128" s="194"/>
      <c r="I128" s="194"/>
      <c r="J128" s="194"/>
      <c r="K128" s="194"/>
      <c r="L128" s="194"/>
      <c r="M128" s="194"/>
      <c r="N128" s="194"/>
      <c r="O128" s="194"/>
      <c r="P128" s="194"/>
      <c r="Q128" s="194"/>
    </row>
    <row r="129" spans="3:17" x14ac:dyDescent="0.25">
      <c r="C129" s="194"/>
      <c r="D129" s="194"/>
      <c r="E129" s="194"/>
      <c r="F129" s="194"/>
      <c r="G129" s="194"/>
      <c r="H129" s="194"/>
      <c r="I129" s="194"/>
      <c r="J129" s="194"/>
      <c r="K129" s="194"/>
      <c r="L129" s="194"/>
      <c r="M129" s="194"/>
      <c r="N129" s="194"/>
      <c r="O129" s="194"/>
      <c r="P129" s="194"/>
      <c r="Q129" s="194"/>
    </row>
    <row r="130" spans="3:17" x14ac:dyDescent="0.25">
      <c r="C130" s="194"/>
      <c r="D130" s="194"/>
      <c r="E130" s="194"/>
      <c r="F130" s="194"/>
      <c r="G130" s="194"/>
      <c r="H130" s="194"/>
      <c r="I130" s="194"/>
      <c r="J130" s="194"/>
      <c r="K130" s="194"/>
      <c r="L130" s="194"/>
      <c r="M130" s="194"/>
      <c r="N130" s="194"/>
      <c r="O130" s="194"/>
      <c r="P130" s="194"/>
      <c r="Q130" s="194"/>
    </row>
    <row r="131" spans="3:17" x14ac:dyDescent="0.25">
      <c r="C131" s="194"/>
    </row>
    <row r="132" spans="3:17" x14ac:dyDescent="0.25">
      <c r="C132" s="194"/>
    </row>
    <row r="133" spans="3:17" x14ac:dyDescent="0.25">
      <c r="C133" s="194"/>
    </row>
    <row r="134" spans="3:17" x14ac:dyDescent="0.25">
      <c r="C134" s="194"/>
    </row>
    <row r="135" spans="3:17" x14ac:dyDescent="0.25">
      <c r="C135" s="194"/>
    </row>
    <row r="136" spans="3:17" x14ac:dyDescent="0.25">
      <c r="C136" s="194"/>
    </row>
    <row r="137" spans="3:17" x14ac:dyDescent="0.25">
      <c r="C137" s="194"/>
    </row>
    <row r="138" spans="3:17" x14ac:dyDescent="0.25">
      <c r="C138" s="194"/>
    </row>
    <row r="139" spans="3:17" x14ac:dyDescent="0.25">
      <c r="C139" s="194"/>
    </row>
    <row r="140" spans="3:17" x14ac:dyDescent="0.25">
      <c r="C140" s="194"/>
    </row>
    <row r="141" spans="3:17" x14ac:dyDescent="0.25">
      <c r="C141" s="194"/>
    </row>
    <row r="142" spans="3:17" x14ac:dyDescent="0.25">
      <c r="C142" s="194"/>
    </row>
    <row r="143" spans="3:17" x14ac:dyDescent="0.25">
      <c r="C143" s="194"/>
    </row>
    <row r="144" spans="3:17"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sheetData>
  <phoneticPr fontId="0" type="noConversion"/>
  <hyperlinks>
    <hyperlink ref="A1" location="'420 DPW'!A1" display="Main 440" xr:uid="{00000000-0004-0000-2500-000000000000}"/>
    <hyperlink ref="B1" location="'Table of Contents'!A1" display="TOC" xr:uid="{00000000-0004-0000-2500-000001000000}"/>
  </hyperlinks>
  <pageMargins left="0.75" right="0.75" top="1" bottom="1" header="0.5" footer="0.5"/>
  <pageSetup scale="92" orientation="landscape" r:id="rId1"/>
  <headerFooter alignWithMargins="0">
    <oddFooter>&amp;L&amp;D     &amp;T&amp;C&amp;F&amp;R&amp;A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pageSetUpPr fitToPage="1"/>
  </sheetPr>
  <dimension ref="A1:Y178"/>
  <sheetViews>
    <sheetView workbookViewId="0">
      <selection activeCell="S15" sqref="S15"/>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1142</v>
      </c>
      <c r="B2" s="43"/>
      <c r="D2" s="194"/>
      <c r="E2" s="125"/>
      <c r="F2" s="194"/>
      <c r="G2" s="194"/>
      <c r="H2" s="194"/>
      <c r="I2" s="125" t="s">
        <v>706</v>
      </c>
      <c r="J2" s="125"/>
      <c r="K2" s="125"/>
      <c r="L2" s="125"/>
      <c r="M2" s="125"/>
      <c r="N2" s="125"/>
      <c r="O2" s="125"/>
      <c r="P2" s="125"/>
      <c r="Q2" s="125"/>
      <c r="R2" s="58" t="s">
        <v>544</v>
      </c>
      <c r="U2" s="44" t="s">
        <v>1224</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8"/>
      <c r="J8" s="18"/>
      <c r="K8" s="19"/>
      <c r="L8" s="19"/>
      <c r="M8" s="19"/>
      <c r="N8" s="19"/>
      <c r="O8" s="19"/>
      <c r="P8" s="19"/>
      <c r="Q8" s="19"/>
      <c r="R8" s="18"/>
      <c r="S8" s="19"/>
      <c r="T8" s="19"/>
      <c r="U8" s="19"/>
    </row>
    <row r="9" spans="1:24" x14ac:dyDescent="0.25">
      <c r="A9" s="725">
        <v>5124</v>
      </c>
      <c r="B9" s="101" t="s">
        <v>1225</v>
      </c>
      <c r="C9" s="117">
        <v>640</v>
      </c>
      <c r="D9" s="18">
        <v>305</v>
      </c>
      <c r="E9" s="18">
        <v>335</v>
      </c>
      <c r="F9" s="18">
        <v>135</v>
      </c>
      <c r="G9" s="18"/>
      <c r="H9" s="18">
        <v>0</v>
      </c>
      <c r="I9" s="111">
        <v>0</v>
      </c>
      <c r="J9" s="111"/>
      <c r="K9" s="19">
        <v>2000</v>
      </c>
      <c r="L9" s="111"/>
      <c r="M9" s="19">
        <v>2000</v>
      </c>
      <c r="N9" s="111">
        <v>0</v>
      </c>
      <c r="O9" s="19">
        <v>2000</v>
      </c>
      <c r="P9" s="18"/>
      <c r="Q9" s="19">
        <v>2000</v>
      </c>
      <c r="R9" s="18"/>
      <c r="S9" s="19">
        <v>2000</v>
      </c>
      <c r="T9" s="19"/>
      <c r="U9" s="19"/>
    </row>
    <row r="10" spans="1:24" x14ac:dyDescent="0.25">
      <c r="A10" s="708">
        <v>5132</v>
      </c>
      <c r="B10" s="60" t="s">
        <v>1147</v>
      </c>
      <c r="C10" s="115">
        <v>40717.339999999997</v>
      </c>
      <c r="D10" s="13">
        <f>1377.54+63082.85</f>
        <v>64460.39</v>
      </c>
      <c r="E10" s="13">
        <v>82691.58</v>
      </c>
      <c r="F10" s="13">
        <v>22371.74</v>
      </c>
      <c r="G10" s="13">
        <v>68334</v>
      </c>
      <c r="H10" s="13">
        <v>70028.600000000006</v>
      </c>
      <c r="I10" s="127">
        <v>55481.56</v>
      </c>
      <c r="J10" s="127">
        <v>39043.360000000001</v>
      </c>
      <c r="K10" s="14">
        <v>77000</v>
      </c>
      <c r="L10" s="127">
        <v>40754.160000000003</v>
      </c>
      <c r="M10" s="14">
        <v>77000</v>
      </c>
      <c r="N10" s="127">
        <v>47675.72</v>
      </c>
      <c r="O10" s="14">
        <v>77000</v>
      </c>
      <c r="P10" s="13">
        <v>53408.53</v>
      </c>
      <c r="Q10" s="14">
        <v>77000</v>
      </c>
      <c r="R10" s="13">
        <v>2162.39</v>
      </c>
      <c r="S10" s="14">
        <v>77000</v>
      </c>
      <c r="T10" s="14"/>
      <c r="U10" s="14"/>
    </row>
    <row r="11" spans="1:24" ht="13.8" thickBot="1" x14ac:dyDescent="0.3">
      <c r="A11" s="708">
        <v>5142</v>
      </c>
      <c r="B11" s="60" t="s">
        <v>1226</v>
      </c>
      <c r="C11" s="210">
        <v>12342.85</v>
      </c>
      <c r="D11" s="35">
        <v>12942.86</v>
      </c>
      <c r="E11" s="35">
        <v>12719.9</v>
      </c>
      <c r="F11" s="35">
        <v>8482.24</v>
      </c>
      <c r="G11" s="35">
        <v>14840</v>
      </c>
      <c r="H11" s="35">
        <v>14320</v>
      </c>
      <c r="I11" s="200">
        <v>14040</v>
      </c>
      <c r="J11" s="200">
        <v>15720</v>
      </c>
      <c r="K11" s="36">
        <f>(170*11)*15</f>
        <v>28050</v>
      </c>
      <c r="L11" s="200">
        <v>15570</v>
      </c>
      <c r="M11" s="36">
        <f>(170*11)*15</f>
        <v>28050</v>
      </c>
      <c r="N11" s="21">
        <v>16360</v>
      </c>
      <c r="O11" s="36">
        <f>((170*11)*15)-6000+3000</f>
        <v>25050</v>
      </c>
      <c r="P11" s="35">
        <v>18930</v>
      </c>
      <c r="Q11" s="36">
        <v>18000</v>
      </c>
      <c r="R11" s="35">
        <v>1080</v>
      </c>
      <c r="S11" s="36">
        <v>18000</v>
      </c>
      <c r="T11" s="36"/>
      <c r="U11" s="36"/>
    </row>
    <row r="12" spans="1:24" ht="13.8" thickTop="1" x14ac:dyDescent="0.25">
      <c r="A12" s="708"/>
      <c r="B12" s="61" t="s">
        <v>718</v>
      </c>
      <c r="C12" s="573">
        <f t="shared" ref="C12:U12" si="0">SUM(C9:C11)</f>
        <v>53700.189999999995</v>
      </c>
      <c r="D12" s="30">
        <f t="shared" si="0"/>
        <v>77708.25</v>
      </c>
      <c r="E12" s="30">
        <f t="shared" si="0"/>
        <v>95746.48</v>
      </c>
      <c r="F12" s="30">
        <f t="shared" ref="F12:N12" si="1">SUM(F9:F11)</f>
        <v>30988.980000000003</v>
      </c>
      <c r="G12" s="30">
        <f t="shared" si="1"/>
        <v>83174</v>
      </c>
      <c r="H12" s="30">
        <f t="shared" si="1"/>
        <v>84348.6</v>
      </c>
      <c r="I12" s="256">
        <f t="shared" si="1"/>
        <v>69521.56</v>
      </c>
      <c r="J12" s="256">
        <f t="shared" si="1"/>
        <v>54763.360000000001</v>
      </c>
      <c r="K12" s="31">
        <f t="shared" si="1"/>
        <v>107050</v>
      </c>
      <c r="L12" s="256">
        <f t="shared" si="1"/>
        <v>56324.160000000003</v>
      </c>
      <c r="M12" s="31">
        <f>SUM(M9:M11)</f>
        <v>107050</v>
      </c>
      <c r="N12" s="256">
        <f t="shared" si="1"/>
        <v>64035.72</v>
      </c>
      <c r="O12" s="31">
        <f>SUM(O9:O11)</f>
        <v>104050</v>
      </c>
      <c r="P12" s="30">
        <f>SUM(P9:P11)</f>
        <v>72338.53</v>
      </c>
      <c r="Q12" s="31">
        <f>SUM(Q9:Q11)</f>
        <v>97000</v>
      </c>
      <c r="R12" s="30">
        <f t="shared" si="0"/>
        <v>3242.39</v>
      </c>
      <c r="S12" s="31">
        <f>SUM(S9:S11)</f>
        <v>97000</v>
      </c>
      <c r="T12" s="31"/>
      <c r="U12" s="31">
        <f t="shared" si="0"/>
        <v>0</v>
      </c>
    </row>
    <row r="13" spans="1:24" x14ac:dyDescent="0.25">
      <c r="A13" s="708"/>
      <c r="B13" s="60"/>
      <c r="C13" s="115"/>
      <c r="D13" s="13"/>
      <c r="E13" s="13"/>
      <c r="F13" s="13"/>
      <c r="G13" s="13"/>
      <c r="H13" s="13"/>
      <c r="I13" s="127"/>
      <c r="J13" s="127"/>
      <c r="K13" s="14"/>
      <c r="L13" s="127"/>
      <c r="M13" s="14"/>
      <c r="N13" s="127"/>
      <c r="O13" s="14"/>
      <c r="P13" s="13"/>
      <c r="Q13" s="14"/>
      <c r="R13" s="13"/>
      <c r="S13" s="14"/>
      <c r="T13" s="14"/>
      <c r="U13" s="14"/>
    </row>
    <row r="14" spans="1:24" x14ac:dyDescent="0.25">
      <c r="A14" s="708">
        <v>5350</v>
      </c>
      <c r="B14" s="60" t="s">
        <v>933</v>
      </c>
      <c r="C14" s="115"/>
      <c r="D14" s="13">
        <v>0</v>
      </c>
      <c r="E14" s="13"/>
      <c r="F14" s="13"/>
      <c r="G14" s="13"/>
      <c r="H14" s="13"/>
      <c r="I14" s="127">
        <v>0</v>
      </c>
      <c r="J14" s="127"/>
      <c r="K14" s="14">
        <v>1000</v>
      </c>
      <c r="L14" s="127"/>
      <c r="M14" s="14">
        <v>1000</v>
      </c>
      <c r="N14" s="127">
        <v>600</v>
      </c>
      <c r="O14" s="14">
        <v>1000</v>
      </c>
      <c r="P14" s="13"/>
      <c r="Q14" s="14">
        <v>1000</v>
      </c>
      <c r="R14" s="13"/>
      <c r="S14" s="14">
        <v>1000</v>
      </c>
      <c r="T14" s="14"/>
      <c r="U14" s="14"/>
    </row>
    <row r="15" spans="1:24" x14ac:dyDescent="0.25">
      <c r="A15" s="708">
        <v>5532</v>
      </c>
      <c r="B15" s="60" t="s">
        <v>1227</v>
      </c>
      <c r="C15" s="115">
        <v>57995.07</v>
      </c>
      <c r="D15" s="18">
        <v>57239.44</v>
      </c>
      <c r="E15" s="18">
        <v>61212.41</v>
      </c>
      <c r="F15" s="18">
        <v>59100.23</v>
      </c>
      <c r="G15" s="18">
        <v>54605.77</v>
      </c>
      <c r="H15" s="18">
        <v>53550.54</v>
      </c>
      <c r="I15" s="111">
        <v>78251.64</v>
      </c>
      <c r="J15" s="111">
        <v>60127.33</v>
      </c>
      <c r="K15" s="19">
        <v>80000</v>
      </c>
      <c r="L15" s="111">
        <v>56865</v>
      </c>
      <c r="M15" s="19">
        <v>80000</v>
      </c>
      <c r="N15" s="111">
        <v>134381.6</v>
      </c>
      <c r="O15" s="19">
        <v>80000</v>
      </c>
      <c r="P15" s="18">
        <v>134823.07999999999</v>
      </c>
      <c r="Q15" s="19">
        <v>138250</v>
      </c>
      <c r="R15" s="13">
        <v>16485.59</v>
      </c>
      <c r="S15" s="19">
        <v>140000</v>
      </c>
      <c r="T15" s="19"/>
      <c r="U15" s="19"/>
    </row>
    <row r="16" spans="1:24" x14ac:dyDescent="0.25">
      <c r="A16" s="708">
        <v>5533</v>
      </c>
      <c r="B16" s="60" t="s">
        <v>1228</v>
      </c>
      <c r="C16" s="210">
        <v>36656.76</v>
      </c>
      <c r="D16" s="18">
        <v>60400.06</v>
      </c>
      <c r="E16" s="18">
        <v>52174.22</v>
      </c>
      <c r="F16" s="18">
        <v>21420.54</v>
      </c>
      <c r="G16" s="18">
        <v>39101.39</v>
      </c>
      <c r="H16" s="18">
        <v>49696.36</v>
      </c>
      <c r="I16" s="111">
        <v>37999.449999999997</v>
      </c>
      <c r="J16" s="111">
        <v>37589.589999999997</v>
      </c>
      <c r="K16" s="19">
        <v>65000</v>
      </c>
      <c r="L16" s="254">
        <v>6328.46</v>
      </c>
      <c r="M16" s="19">
        <v>56000</v>
      </c>
      <c r="N16" s="254">
        <v>6506.35</v>
      </c>
      <c r="O16" s="19">
        <v>56000</v>
      </c>
      <c r="P16" s="28">
        <v>10178.15</v>
      </c>
      <c r="Q16" s="19">
        <v>35000</v>
      </c>
      <c r="R16" s="35"/>
      <c r="S16" s="19">
        <v>33250</v>
      </c>
      <c r="T16" s="19"/>
      <c r="U16" s="19"/>
    </row>
    <row r="17" spans="1:24" ht="13.8" thickBot="1" x14ac:dyDescent="0.3">
      <c r="A17" s="708">
        <v>5590</v>
      </c>
      <c r="B17" s="60" t="s">
        <v>1229</v>
      </c>
      <c r="C17" s="116">
        <v>12092.28</v>
      </c>
      <c r="D17" s="15">
        <v>14792.81</v>
      </c>
      <c r="E17" s="15">
        <v>10111.780000000001</v>
      </c>
      <c r="F17" s="15">
        <v>12249.29</v>
      </c>
      <c r="G17" s="15">
        <v>28447.74</v>
      </c>
      <c r="H17" s="15">
        <v>35002.49</v>
      </c>
      <c r="I17" s="252">
        <v>14368.52</v>
      </c>
      <c r="J17" s="252">
        <v>30839.51</v>
      </c>
      <c r="K17" s="16">
        <v>25000</v>
      </c>
      <c r="L17" s="252">
        <v>41761.58</v>
      </c>
      <c r="M17" s="16">
        <v>34000</v>
      </c>
      <c r="N17" s="252">
        <v>31072.11</v>
      </c>
      <c r="O17" s="16">
        <v>40000</v>
      </c>
      <c r="P17" s="15">
        <v>25724.98</v>
      </c>
      <c r="Q17" s="16">
        <v>40000</v>
      </c>
      <c r="R17" s="15">
        <v>29888.97</v>
      </c>
      <c r="S17" s="16">
        <v>50000</v>
      </c>
      <c r="T17" s="16"/>
      <c r="U17" s="16"/>
    </row>
    <row r="18" spans="1:24" x14ac:dyDescent="0.25">
      <c r="A18" s="708"/>
      <c r="B18" s="61" t="s">
        <v>728</v>
      </c>
      <c r="C18" s="117">
        <f t="shared" ref="C18:U18" si="2">SUM(C14:C17)</f>
        <v>106744.11</v>
      </c>
      <c r="D18" s="18">
        <f t="shared" si="2"/>
        <v>132432.31</v>
      </c>
      <c r="E18" s="18">
        <f t="shared" si="2"/>
        <v>123498.41</v>
      </c>
      <c r="F18" s="18">
        <f>SUM(F14:F17)</f>
        <v>92770.06</v>
      </c>
      <c r="G18" s="18">
        <f>SUM(G14:G17)</f>
        <v>122154.90000000001</v>
      </c>
      <c r="H18" s="18">
        <f>SUM(H14:H17)</f>
        <v>138249.38999999998</v>
      </c>
      <c r="I18" s="18">
        <f t="shared" si="2"/>
        <v>130619.61</v>
      </c>
      <c r="J18" s="18">
        <f t="shared" ref="J18" si="3">SUM(J14:J17)</f>
        <v>128556.43</v>
      </c>
      <c r="K18" s="209">
        <f>SUM(K14:K17)</f>
        <v>171000</v>
      </c>
      <c r="L18" s="111">
        <f t="shared" ref="L18:O18" si="4">SUM(L14:L17)</f>
        <v>104955.04000000001</v>
      </c>
      <c r="M18" s="209">
        <f t="shared" si="4"/>
        <v>171000</v>
      </c>
      <c r="N18" s="111">
        <f t="shared" ref="N18" si="5">SUM(N14:N17)</f>
        <v>172560.06</v>
      </c>
      <c r="O18" s="209">
        <f t="shared" si="4"/>
        <v>177000</v>
      </c>
      <c r="P18" s="111">
        <f t="shared" ref="P18" si="6">SUM(P14:P17)</f>
        <v>170726.21</v>
      </c>
      <c r="Q18" s="209">
        <f>SUM(Q14:Q17)</f>
        <v>214250</v>
      </c>
      <c r="R18" s="18">
        <f t="shared" si="2"/>
        <v>46374.559999999998</v>
      </c>
      <c r="S18" s="209">
        <f>SUM(S14:S17)</f>
        <v>224250</v>
      </c>
      <c r="T18" s="209"/>
      <c r="U18" s="209">
        <f t="shared" si="2"/>
        <v>0</v>
      </c>
    </row>
    <row r="19" spans="1:24" x14ac:dyDescent="0.25">
      <c r="A19" s="708"/>
      <c r="B19" s="12"/>
      <c r="C19" s="13"/>
      <c r="D19" s="13"/>
      <c r="E19" s="13"/>
      <c r="F19" s="13"/>
      <c r="G19" s="13"/>
      <c r="H19" s="13"/>
      <c r="I19" s="13"/>
      <c r="J19" s="13"/>
      <c r="K19" s="14"/>
      <c r="L19" s="127"/>
      <c r="M19" s="14"/>
      <c r="N19" s="127"/>
      <c r="O19" s="14"/>
      <c r="P19" s="13"/>
      <c r="Q19" s="14"/>
      <c r="R19" s="13"/>
      <c r="S19" s="14"/>
      <c r="T19" s="14"/>
      <c r="U19" s="14"/>
    </row>
    <row r="20" spans="1:24" ht="13.8" thickBot="1" x14ac:dyDescent="0.3">
      <c r="A20" s="709"/>
      <c r="B20" s="20" t="s">
        <v>1230</v>
      </c>
      <c r="C20" s="21">
        <f t="shared" ref="C20:S20" si="7">+C18+C12</f>
        <v>160444.29999999999</v>
      </c>
      <c r="D20" s="21">
        <f t="shared" si="7"/>
        <v>210140.56</v>
      </c>
      <c r="E20" s="21">
        <f t="shared" si="7"/>
        <v>219244.89</v>
      </c>
      <c r="F20" s="21">
        <f>+F18+F12</f>
        <v>123759.04000000001</v>
      </c>
      <c r="G20" s="21">
        <f>+G18+G12</f>
        <v>205328.90000000002</v>
      </c>
      <c r="H20" s="21">
        <f>+H18+H12</f>
        <v>222597.99</v>
      </c>
      <c r="I20" s="21">
        <f t="shared" si="7"/>
        <v>200141.16999999998</v>
      </c>
      <c r="J20" s="21">
        <f t="shared" ref="J20" si="8">+J18+J12</f>
        <v>183319.78999999998</v>
      </c>
      <c r="K20" s="22">
        <f t="shared" ref="K20:O20" si="9">+K18+K12</f>
        <v>278050</v>
      </c>
      <c r="L20" s="21">
        <f t="shared" si="9"/>
        <v>161279.20000000001</v>
      </c>
      <c r="M20" s="22">
        <f t="shared" si="9"/>
        <v>278050</v>
      </c>
      <c r="N20" s="21">
        <f t="shared" ref="N20" si="10">+N18+N12</f>
        <v>236595.78</v>
      </c>
      <c r="O20" s="22">
        <f t="shared" si="9"/>
        <v>281050</v>
      </c>
      <c r="P20" s="21">
        <f t="shared" ref="P20" si="11">+P18+P12</f>
        <v>243064.74</v>
      </c>
      <c r="Q20" s="22">
        <f t="shared" ref="Q20" si="12">+Q18+Q12</f>
        <v>311250</v>
      </c>
      <c r="R20" s="21">
        <f t="shared" si="7"/>
        <v>49616.95</v>
      </c>
      <c r="S20" s="22">
        <f t="shared" si="7"/>
        <v>321250</v>
      </c>
      <c r="T20" s="22">
        <f>+S20</f>
        <v>321250</v>
      </c>
      <c r="U20" s="22">
        <f>+S20</f>
        <v>321250</v>
      </c>
    </row>
    <row r="21" spans="1:24" ht="13.8" thickTop="1" x14ac:dyDescent="0.25">
      <c r="A21" s="63"/>
      <c r="B21" s="4"/>
      <c r="C21" s="23"/>
      <c r="D21" s="23"/>
      <c r="E21" s="23" t="s">
        <v>1231</v>
      </c>
      <c r="F21" s="23"/>
      <c r="G21" s="23"/>
      <c r="H21" s="23"/>
      <c r="I21" s="23"/>
      <c r="J21" s="23"/>
      <c r="K21" s="23"/>
      <c r="L21" s="23"/>
      <c r="M21" s="23"/>
      <c r="N21" s="23"/>
      <c r="O21" s="23"/>
      <c r="P21" s="23"/>
      <c r="Q21" s="23"/>
      <c r="R21" s="181" t="s">
        <v>732</v>
      </c>
      <c r="S21" s="1001">
        <f>+S20-Q20</f>
        <v>10000</v>
      </c>
      <c r="T21" s="1002">
        <f>ROUND((+S21/Q20),4)</f>
        <v>3.2099999999999997E-2</v>
      </c>
      <c r="U21" s="23"/>
      <c r="V21" s="25"/>
      <c r="W21" s="25"/>
      <c r="X21" s="25"/>
    </row>
    <row r="22" spans="1:24" ht="13.8" thickBot="1" x14ac:dyDescent="0.3">
      <c r="A22" s="703"/>
      <c r="B22" s="4"/>
      <c r="C22" s="24"/>
      <c r="D22" s="23"/>
      <c r="E22" s="23"/>
      <c r="F22" s="23"/>
      <c r="G22" s="23"/>
      <c r="H22" s="23"/>
      <c r="I22" s="23"/>
      <c r="J22" s="23"/>
      <c r="K22" s="23"/>
      <c r="L22" s="23"/>
      <c r="M22" s="23"/>
      <c r="N22" s="23"/>
      <c r="O22" s="23"/>
      <c r="P22" s="23"/>
      <c r="Q22" s="23"/>
      <c r="R22" s="25"/>
      <c r="S22" s="23"/>
      <c r="T22" s="23"/>
      <c r="U22" s="25"/>
      <c r="V22" s="25"/>
      <c r="W22" s="25"/>
      <c r="X22" s="25"/>
    </row>
    <row r="23" spans="1:24" ht="13.8" thickTop="1" x14ac:dyDescent="0.25">
      <c r="A23" s="718"/>
      <c r="B23" s="349"/>
      <c r="C23" s="350" t="s">
        <v>256</v>
      </c>
      <c r="D23" s="351" t="s">
        <v>256</v>
      </c>
      <c r="E23" s="351" t="s">
        <v>256</v>
      </c>
      <c r="F23" s="194"/>
      <c r="G23" s="194"/>
      <c r="H23" s="194"/>
      <c r="I23" s="194"/>
      <c r="J23" s="194"/>
      <c r="K23" s="194"/>
      <c r="L23" s="194"/>
      <c r="O23" s="352" t="s">
        <v>255</v>
      </c>
      <c r="P23" s="353" t="s">
        <v>716</v>
      </c>
      <c r="Q23" s="354" t="s">
        <v>730</v>
      </c>
      <c r="R23" s="353" t="s">
        <v>731</v>
      </c>
      <c r="S23" s="355"/>
      <c r="T23" s="550"/>
      <c r="U23" s="354"/>
      <c r="V23" s="25"/>
      <c r="W23" s="25"/>
      <c r="X23" s="25"/>
    </row>
    <row r="24" spans="1:24" ht="13.8" thickBot="1" x14ac:dyDescent="0.3">
      <c r="A24" s="719" t="s">
        <v>715</v>
      </c>
      <c r="B24" s="356"/>
      <c r="C24" s="357" t="s">
        <v>243</v>
      </c>
      <c r="D24" s="357" t="s">
        <v>244</v>
      </c>
      <c r="E24" s="358" t="s">
        <v>245</v>
      </c>
      <c r="F24" s="194"/>
      <c r="G24" s="194"/>
      <c r="H24" s="194"/>
      <c r="I24" s="194"/>
      <c r="J24" s="194"/>
      <c r="K24" s="194"/>
      <c r="L24" s="194"/>
      <c r="O24" s="359" t="s">
        <v>469</v>
      </c>
      <c r="P24" s="359" t="s">
        <v>1345</v>
      </c>
      <c r="Q24" s="358" t="s">
        <v>732</v>
      </c>
      <c r="R24" s="360" t="s">
        <v>732</v>
      </c>
      <c r="S24" s="361" t="s">
        <v>733</v>
      </c>
      <c r="T24" s="551"/>
      <c r="U24" s="359"/>
      <c r="V24" s="25"/>
      <c r="W24" s="25"/>
      <c r="X24" s="25"/>
    </row>
    <row r="25" spans="1:24" ht="13.8" thickTop="1" x14ac:dyDescent="0.25">
      <c r="A25" s="726"/>
      <c r="B25" s="376"/>
      <c r="C25" s="365"/>
      <c r="D25" s="365"/>
      <c r="E25" s="365"/>
      <c r="F25" s="194"/>
      <c r="G25" s="194"/>
      <c r="H25" s="194"/>
      <c r="I25" s="194"/>
      <c r="J25" s="194"/>
      <c r="K25" s="194"/>
      <c r="L25" s="194"/>
      <c r="O25" s="366"/>
      <c r="P25" s="365"/>
      <c r="Q25" s="396"/>
      <c r="R25" s="374"/>
      <c r="S25" s="367"/>
      <c r="T25" s="553"/>
      <c r="U25" s="368"/>
      <c r="V25" s="25"/>
      <c r="W25" s="25"/>
      <c r="X25" s="25"/>
    </row>
    <row r="26" spans="1:24" x14ac:dyDescent="0.25">
      <c r="A26" s="726">
        <v>5124</v>
      </c>
      <c r="B26" s="376" t="s">
        <v>1225</v>
      </c>
      <c r="C26" s="365">
        <v>640</v>
      </c>
      <c r="D26" s="365">
        <v>305</v>
      </c>
      <c r="E26" s="365">
        <v>335</v>
      </c>
      <c r="F26" s="194"/>
      <c r="G26" s="194"/>
      <c r="H26" s="194"/>
      <c r="I26" s="194"/>
      <c r="J26" s="194"/>
      <c r="K26" s="194"/>
      <c r="L26" s="194"/>
      <c r="O26" s="366">
        <f>+Q9</f>
        <v>2000</v>
      </c>
      <c r="P26" s="392">
        <f>+S9</f>
        <v>2000</v>
      </c>
      <c r="Q26" s="396">
        <f t="shared" ref="Q26:Q32" si="13">+P26-O26</f>
        <v>0</v>
      </c>
      <c r="R26" s="374" t="str">
        <f t="shared" ref="R26:R32" si="14">IF(O26+P26&lt;&gt;0,IF(O26&lt;&gt;0,IF(Q26&lt;&gt;0,ROUND((+Q26/O26),4),""),1),"")</f>
        <v/>
      </c>
      <c r="S26" s="367"/>
      <c r="T26" s="553"/>
      <c r="U26" s="368"/>
      <c r="V26" s="25"/>
      <c r="W26" s="25"/>
      <c r="X26" s="25"/>
    </row>
    <row r="27" spans="1:24" x14ac:dyDescent="0.25">
      <c r="A27" s="724">
        <v>5132</v>
      </c>
      <c r="B27" s="369" t="s">
        <v>1147</v>
      </c>
      <c r="C27" s="373">
        <v>40717.339999999997</v>
      </c>
      <c r="D27" s="373">
        <f>1377.54+63082.85</f>
        <v>64460.39</v>
      </c>
      <c r="E27" s="373">
        <v>82691.58</v>
      </c>
      <c r="F27" s="194"/>
      <c r="G27" s="194"/>
      <c r="H27" s="194"/>
      <c r="I27" s="194"/>
      <c r="J27" s="194"/>
      <c r="K27" s="194"/>
      <c r="L27" s="194"/>
      <c r="O27" s="366">
        <f>+Q10</f>
        <v>77000</v>
      </c>
      <c r="P27" s="392">
        <f>+S10</f>
        <v>77000</v>
      </c>
      <c r="Q27" s="396">
        <f t="shared" si="13"/>
        <v>0</v>
      </c>
      <c r="R27" s="374" t="str">
        <f t="shared" si="14"/>
        <v/>
      </c>
      <c r="S27" s="367"/>
      <c r="T27" s="553"/>
      <c r="U27" s="368"/>
      <c r="V27" s="25"/>
      <c r="W27" s="25"/>
      <c r="X27" s="25"/>
    </row>
    <row r="28" spans="1:24" x14ac:dyDescent="0.25">
      <c r="A28" s="724">
        <v>5142</v>
      </c>
      <c r="B28" s="369" t="s">
        <v>1226</v>
      </c>
      <c r="C28" s="375">
        <v>12342.85</v>
      </c>
      <c r="D28" s="375">
        <v>12942.86</v>
      </c>
      <c r="E28" s="375">
        <v>12719.9</v>
      </c>
      <c r="F28" s="194"/>
      <c r="G28" s="194"/>
      <c r="H28" s="194"/>
      <c r="I28" s="194"/>
      <c r="J28" s="194"/>
      <c r="K28" s="194"/>
      <c r="L28" s="194"/>
      <c r="O28" s="366">
        <f>+Q11</f>
        <v>18000</v>
      </c>
      <c r="P28" s="392">
        <f>+S11</f>
        <v>18000</v>
      </c>
      <c r="Q28" s="396">
        <f t="shared" si="13"/>
        <v>0</v>
      </c>
      <c r="R28" s="374" t="str">
        <f t="shared" si="14"/>
        <v/>
      </c>
      <c r="S28" s="367"/>
      <c r="T28" s="553"/>
      <c r="U28" s="368"/>
      <c r="V28" s="25"/>
      <c r="W28" s="25"/>
      <c r="X28" s="25"/>
    </row>
    <row r="29" spans="1:24" x14ac:dyDescent="0.25">
      <c r="A29" s="724">
        <v>5350</v>
      </c>
      <c r="B29" s="369" t="s">
        <v>933</v>
      </c>
      <c r="C29" s="373"/>
      <c r="D29" s="373">
        <v>0</v>
      </c>
      <c r="E29" s="373"/>
      <c r="F29" s="194"/>
      <c r="G29" s="194"/>
      <c r="H29" s="194"/>
      <c r="I29" s="194"/>
      <c r="J29" s="194"/>
      <c r="K29" s="194"/>
      <c r="L29" s="194"/>
      <c r="O29" s="372">
        <f>+Q14</f>
        <v>1000</v>
      </c>
      <c r="P29" s="392">
        <f>+S14</f>
        <v>1000</v>
      </c>
      <c r="Q29" s="396">
        <f t="shared" si="13"/>
        <v>0</v>
      </c>
      <c r="R29" s="374" t="str">
        <f t="shared" si="14"/>
        <v/>
      </c>
      <c r="S29" s="367"/>
      <c r="T29" s="553"/>
      <c r="U29" s="368"/>
      <c r="V29" s="25"/>
      <c r="W29" s="25"/>
      <c r="X29" s="25"/>
    </row>
    <row r="30" spans="1:24" x14ac:dyDescent="0.25">
      <c r="A30" s="724">
        <v>5532</v>
      </c>
      <c r="B30" s="369" t="s">
        <v>1227</v>
      </c>
      <c r="C30" s="373">
        <v>57995.07</v>
      </c>
      <c r="D30" s="365">
        <v>57239.44</v>
      </c>
      <c r="E30" s="365">
        <v>61212.41</v>
      </c>
      <c r="F30" s="194"/>
      <c r="G30" s="194"/>
      <c r="H30" s="194"/>
      <c r="I30" s="194"/>
      <c r="J30" s="194"/>
      <c r="K30" s="194"/>
      <c r="L30" s="194"/>
      <c r="O30" s="372">
        <f>+Q15</f>
        <v>138250</v>
      </c>
      <c r="P30" s="392">
        <f>+S15</f>
        <v>140000</v>
      </c>
      <c r="Q30" s="396">
        <f t="shared" si="13"/>
        <v>1750</v>
      </c>
      <c r="R30" s="374">
        <f t="shared" si="14"/>
        <v>1.2699999999999999E-2</v>
      </c>
      <c r="S30" s="367"/>
      <c r="T30" s="553"/>
      <c r="U30" s="368"/>
      <c r="V30" s="25"/>
      <c r="W30" s="25"/>
      <c r="X30" s="25"/>
    </row>
    <row r="31" spans="1:24" x14ac:dyDescent="0.25">
      <c r="A31" s="724">
        <v>5533</v>
      </c>
      <c r="B31" s="369" t="s">
        <v>1228</v>
      </c>
      <c r="C31" s="375">
        <v>36656.76</v>
      </c>
      <c r="D31" s="365">
        <v>60400.06</v>
      </c>
      <c r="E31" s="365">
        <v>52174.22</v>
      </c>
      <c r="F31" s="194"/>
      <c r="G31" s="194"/>
      <c r="H31" s="194"/>
      <c r="I31" s="194"/>
      <c r="J31" s="194"/>
      <c r="K31" s="194"/>
      <c r="L31" s="194"/>
      <c r="O31" s="372">
        <f>+Q16</f>
        <v>35000</v>
      </c>
      <c r="P31" s="392">
        <f>+S16</f>
        <v>33250</v>
      </c>
      <c r="Q31" s="396">
        <f t="shared" si="13"/>
        <v>-1750</v>
      </c>
      <c r="R31" s="374">
        <f t="shared" si="14"/>
        <v>-0.05</v>
      </c>
      <c r="S31" s="367"/>
      <c r="T31" s="553"/>
      <c r="U31" s="368"/>
      <c r="V31" s="25"/>
      <c r="W31" s="25"/>
      <c r="X31" s="25"/>
    </row>
    <row r="32" spans="1:24" ht="13.8" thickBot="1" x14ac:dyDescent="0.3">
      <c r="A32" s="724">
        <v>5590</v>
      </c>
      <c r="B32" s="369" t="s">
        <v>1229</v>
      </c>
      <c r="C32" s="371">
        <v>12092.28</v>
      </c>
      <c r="D32" s="371">
        <v>14792.81</v>
      </c>
      <c r="E32" s="371">
        <v>10111.780000000001</v>
      </c>
      <c r="F32" s="194"/>
      <c r="G32" s="194"/>
      <c r="H32" s="194"/>
      <c r="I32" s="194"/>
      <c r="J32" s="194"/>
      <c r="K32" s="194"/>
      <c r="L32" s="194"/>
      <c r="O32" s="372">
        <f>+Q17</f>
        <v>40000</v>
      </c>
      <c r="P32" s="392">
        <f>+S17</f>
        <v>50000</v>
      </c>
      <c r="Q32" s="396">
        <f t="shared" si="13"/>
        <v>10000</v>
      </c>
      <c r="R32" s="374">
        <f t="shared" si="14"/>
        <v>0.25</v>
      </c>
      <c r="S32" s="367" t="s">
        <v>2412</v>
      </c>
      <c r="T32" s="553"/>
      <c r="U32" s="368"/>
      <c r="V32" s="25"/>
      <c r="W32" s="25"/>
      <c r="X32" s="25"/>
    </row>
    <row r="33" spans="1:24" x14ac:dyDescent="0.25">
      <c r="A33" s="703"/>
      <c r="B33" s="4"/>
      <c r="C33" s="23"/>
      <c r="D33" s="23"/>
      <c r="E33" s="23"/>
      <c r="F33" s="23"/>
      <c r="G33" s="23"/>
      <c r="H33" s="194"/>
      <c r="I33" s="194"/>
      <c r="J33" s="194"/>
      <c r="K33" s="194"/>
      <c r="L33" s="194"/>
      <c r="O33" s="23"/>
      <c r="P33" s="23"/>
      <c r="Q33" s="23"/>
      <c r="R33" s="25"/>
      <c r="S33" s="23"/>
      <c r="T33" s="23"/>
      <c r="U33" s="23"/>
      <c r="V33" s="25"/>
      <c r="W33" s="25"/>
      <c r="X33" s="25"/>
    </row>
    <row r="34" spans="1:24" x14ac:dyDescent="0.25">
      <c r="A34" s="703"/>
      <c r="B34" s="4" t="s">
        <v>735</v>
      </c>
      <c r="C34" s="23"/>
      <c r="D34" s="23"/>
      <c r="E34" s="23"/>
      <c r="F34" s="23"/>
      <c r="G34" s="23"/>
      <c r="H34" s="194"/>
      <c r="I34" s="194"/>
      <c r="J34" s="194"/>
      <c r="K34" s="194"/>
      <c r="L34" s="194"/>
      <c r="O34" s="597">
        <f>SUM(O26:O33)</f>
        <v>311250</v>
      </c>
      <c r="P34" s="597">
        <f>SUM(P26:P33)</f>
        <v>321250</v>
      </c>
      <c r="Q34" s="25">
        <f>+P34-O34</f>
        <v>10000</v>
      </c>
      <c r="R34" s="598">
        <f>IF(O34+P34&lt;&gt;0,IF(O34&lt;&gt;0,IF(Q34&lt;&gt;0,ROUND((+Q34/O34),4),""),1),"")</f>
        <v>3.2099999999999997E-2</v>
      </c>
      <c r="S34" s="23"/>
      <c r="T34" s="23"/>
      <c r="U34" s="23"/>
      <c r="V34" s="25"/>
      <c r="W34" s="25"/>
      <c r="X34" s="25"/>
    </row>
    <row r="35" spans="1:24" x14ac:dyDescent="0.25">
      <c r="A35" s="703"/>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5">
      <c r="A36" s="703" t="s">
        <v>1232</v>
      </c>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5">
      <c r="A37" s="703"/>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5">
      <c r="A38" s="703"/>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5">
      <c r="A39" s="703"/>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5">
      <c r="A40" s="703"/>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5">
      <c r="A41" s="703"/>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5">
      <c r="A44" s="703"/>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5">
      <c r="A45" s="703"/>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5">
      <c r="A46" s="703"/>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5">
      <c r="A47" s="703"/>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5">
      <c r="A48" s="703"/>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5">
      <c r="A49" s="703"/>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5">
      <c r="A50" s="703"/>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5">
      <c r="A51" s="703"/>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5">
      <c r="A52" s="703"/>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5">
      <c r="A53" s="703"/>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5">
      <c r="A54" s="703"/>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5">
      <c r="A55" s="703"/>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5">
      <c r="A56" s="703"/>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5">
      <c r="A57" s="703"/>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5">
      <c r="A58" s="703"/>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5">
      <c r="A59" s="703"/>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5">
      <c r="A60" s="703"/>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5">
      <c r="A61" s="703"/>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5">
      <c r="A62" s="703"/>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5">
      <c r="A63" s="703"/>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5">
      <c r="A64" s="703"/>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5">
      <c r="A65" s="703"/>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5">
      <c r="A66" s="703"/>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5">
      <c r="A67" s="703"/>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5">
      <c r="A68" s="703"/>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5">
      <c r="A69" s="703"/>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5">
      <c r="A70" s="703"/>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5">
      <c r="A71" s="703"/>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5">
      <c r="A72" s="703"/>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5">
      <c r="A73" s="703"/>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5">
      <c r="C124" s="194"/>
      <c r="D124" s="194"/>
      <c r="E124" s="194"/>
      <c r="F124" s="194"/>
      <c r="G124" s="194"/>
      <c r="H124" s="194"/>
      <c r="I124" s="194"/>
      <c r="J124" s="194"/>
      <c r="K124" s="194"/>
      <c r="L124" s="194"/>
      <c r="M124" s="194"/>
      <c r="N124" s="194"/>
      <c r="O124" s="194"/>
      <c r="P124" s="194"/>
      <c r="Q124" s="194"/>
    </row>
    <row r="125" spans="1:24" x14ac:dyDescent="0.25">
      <c r="C125" s="194"/>
      <c r="D125" s="194"/>
      <c r="E125" s="194"/>
      <c r="F125" s="194"/>
      <c r="G125" s="194"/>
      <c r="H125" s="194"/>
      <c r="I125" s="194"/>
      <c r="J125" s="194"/>
      <c r="K125" s="194"/>
      <c r="L125" s="194"/>
      <c r="M125" s="194"/>
      <c r="N125" s="194"/>
      <c r="O125" s="194"/>
      <c r="P125" s="194"/>
      <c r="Q125" s="194"/>
    </row>
    <row r="126" spans="1:24" x14ac:dyDescent="0.25">
      <c r="C126" s="194"/>
      <c r="D126" s="194"/>
      <c r="E126" s="194"/>
      <c r="F126" s="194"/>
      <c r="G126" s="194"/>
      <c r="H126" s="194"/>
      <c r="I126" s="194"/>
      <c r="J126" s="194"/>
      <c r="K126" s="194"/>
      <c r="L126" s="194"/>
      <c r="M126" s="194"/>
      <c r="N126" s="194"/>
      <c r="O126" s="194"/>
      <c r="P126" s="194"/>
      <c r="Q126" s="194"/>
    </row>
    <row r="127" spans="1:24" x14ac:dyDescent="0.25">
      <c r="C127" s="194"/>
      <c r="D127" s="194"/>
      <c r="E127" s="194"/>
      <c r="F127" s="194"/>
      <c r="G127" s="194"/>
      <c r="H127" s="194"/>
      <c r="I127" s="194"/>
      <c r="J127" s="194"/>
      <c r="K127" s="194"/>
      <c r="L127" s="194"/>
      <c r="M127" s="194"/>
      <c r="N127" s="194"/>
      <c r="O127" s="194"/>
      <c r="P127" s="194"/>
      <c r="Q127" s="194"/>
    </row>
    <row r="128" spans="1:24" x14ac:dyDescent="0.25">
      <c r="C128" s="194"/>
      <c r="D128" s="194"/>
      <c r="E128" s="194"/>
      <c r="F128" s="194"/>
      <c r="G128" s="194"/>
      <c r="H128" s="194"/>
      <c r="I128" s="194"/>
      <c r="J128" s="194"/>
      <c r="K128" s="194"/>
      <c r="L128" s="194"/>
      <c r="M128" s="194"/>
      <c r="N128" s="194"/>
      <c r="O128" s="194"/>
      <c r="P128" s="194"/>
      <c r="Q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sheetData>
  <phoneticPr fontId="0" type="noConversion"/>
  <hyperlinks>
    <hyperlink ref="A1" location="'Working Budget with funding det'!A1" display="Main " xr:uid="{00000000-0004-0000-2600-000000000000}"/>
    <hyperlink ref="B1" location="'Table of Contents'!A1" display="TOC" xr:uid="{00000000-0004-0000-26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A1:V179"/>
  <sheetViews>
    <sheetView topLeftCell="A13" zoomScaleNormal="100" workbookViewId="0">
      <selection activeCell="S15" sqref="S15"/>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s>
  <sheetData>
    <row r="1" spans="1:22" x14ac:dyDescent="0.25">
      <c r="A1" s="701" t="s">
        <v>736</v>
      </c>
      <c r="B1" s="290" t="s">
        <v>194</v>
      </c>
      <c r="D1" s="194"/>
      <c r="E1" s="194"/>
      <c r="F1" s="194"/>
      <c r="G1" s="194"/>
      <c r="H1" s="194"/>
      <c r="I1" s="194"/>
      <c r="J1" s="194"/>
      <c r="K1" s="194"/>
      <c r="L1" s="194"/>
      <c r="M1" s="194"/>
      <c r="N1" s="194"/>
      <c r="O1" s="194"/>
      <c r="P1" s="194"/>
      <c r="Q1" s="194"/>
      <c r="U1"/>
      <c r="V1"/>
    </row>
    <row r="2" spans="1:22" ht="13.8" x14ac:dyDescent="0.25">
      <c r="A2" s="702" t="s">
        <v>1142</v>
      </c>
      <c r="B2" s="43"/>
      <c r="D2" s="194"/>
      <c r="E2" s="125"/>
      <c r="F2" s="194"/>
      <c r="G2" s="194"/>
      <c r="H2" s="194"/>
      <c r="I2" s="125" t="s">
        <v>706</v>
      </c>
      <c r="J2" s="125"/>
      <c r="K2" s="125"/>
      <c r="L2" s="125"/>
      <c r="M2" s="125"/>
      <c r="N2" s="125"/>
      <c r="O2" s="125"/>
      <c r="P2" s="125"/>
      <c r="Q2" s="125"/>
      <c r="R2" s="58" t="s">
        <v>545</v>
      </c>
      <c r="T2" s="194"/>
      <c r="U2" s="44" t="s">
        <v>1233</v>
      </c>
      <c r="V2" s="44"/>
    </row>
    <row r="3" spans="1:22" ht="13.8" thickBot="1" x14ac:dyDescent="0.3">
      <c r="A3" s="703"/>
      <c r="B3" s="4"/>
      <c r="C3" s="23"/>
      <c r="D3" s="23"/>
      <c r="E3" s="23"/>
      <c r="F3" s="23"/>
      <c r="G3" s="23"/>
      <c r="H3" s="23"/>
      <c r="I3" s="23"/>
      <c r="J3" s="23"/>
      <c r="K3" s="23"/>
      <c r="L3" s="23"/>
      <c r="M3" s="23"/>
      <c r="N3" s="23"/>
      <c r="O3" s="23"/>
      <c r="P3" s="23"/>
      <c r="Q3" s="23"/>
      <c r="R3" s="4"/>
      <c r="S3" s="23"/>
      <c r="T3" s="23"/>
      <c r="U3" s="4"/>
      <c r="V3" s="4"/>
    </row>
    <row r="4" spans="1:22"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c r="V4" s="83"/>
    </row>
    <row r="5" spans="1:22" x14ac:dyDescent="0.25">
      <c r="A5" s="705"/>
      <c r="B5" s="184"/>
      <c r="C5" s="112"/>
      <c r="D5" s="82"/>
      <c r="E5" s="104"/>
      <c r="F5" s="82"/>
      <c r="G5" s="82"/>
      <c r="H5" s="104"/>
      <c r="I5" s="229"/>
      <c r="J5" s="229"/>
      <c r="K5" s="229"/>
      <c r="L5" s="229"/>
      <c r="M5" s="229"/>
      <c r="N5" s="229"/>
      <c r="O5" s="229"/>
      <c r="P5" s="229"/>
      <c r="Q5" s="229"/>
      <c r="R5" s="104" t="s">
        <v>709</v>
      </c>
      <c r="S5" s="83" t="s">
        <v>710</v>
      </c>
      <c r="T5" s="83" t="s">
        <v>1234</v>
      </c>
      <c r="U5" s="178" t="s">
        <v>1235</v>
      </c>
      <c r="V5" s="956"/>
    </row>
    <row r="6" spans="1:22" x14ac:dyDescent="0.25">
      <c r="A6" s="705"/>
      <c r="B6" s="184"/>
      <c r="C6" s="112"/>
      <c r="D6" s="112"/>
      <c r="E6" s="112"/>
      <c r="F6" s="112"/>
      <c r="G6" s="112"/>
      <c r="H6" s="112"/>
      <c r="I6" s="83"/>
      <c r="J6" s="83"/>
      <c r="K6" s="83"/>
      <c r="L6" s="83"/>
      <c r="M6" s="83"/>
      <c r="N6" s="83"/>
      <c r="O6" s="83"/>
      <c r="P6" s="83"/>
      <c r="Q6" s="83"/>
      <c r="R6" s="112"/>
      <c r="S6" s="83" t="s">
        <v>713</v>
      </c>
      <c r="T6" s="83"/>
      <c r="U6" s="45" t="s">
        <v>1236</v>
      </c>
      <c r="V6" s="83"/>
    </row>
    <row r="7" spans="1:22" ht="13.8" thickBot="1" x14ac:dyDescent="0.3">
      <c r="A7" s="706"/>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c r="V7" s="45"/>
    </row>
    <row r="8" spans="1:22" ht="13.8" thickTop="1" x14ac:dyDescent="0.25">
      <c r="A8" s="725"/>
      <c r="B8" s="185"/>
      <c r="C8" s="117"/>
      <c r="D8" s="18"/>
      <c r="E8" s="18"/>
      <c r="F8" s="18"/>
      <c r="G8" s="18"/>
      <c r="H8" s="18"/>
      <c r="I8" s="18"/>
      <c r="J8" s="18"/>
      <c r="K8" s="19"/>
      <c r="L8" s="19"/>
      <c r="M8" s="19"/>
      <c r="N8" s="19"/>
      <c r="O8" s="19"/>
      <c r="P8" s="19"/>
      <c r="Q8" s="19"/>
      <c r="R8" s="18"/>
      <c r="S8" s="19"/>
      <c r="T8" s="19"/>
      <c r="U8" s="19"/>
      <c r="V8" s="25"/>
    </row>
    <row r="9" spans="1:22" x14ac:dyDescent="0.25">
      <c r="A9" s="708">
        <v>5112</v>
      </c>
      <c r="B9" s="60" t="s">
        <v>1205</v>
      </c>
      <c r="C9" s="115">
        <v>16950</v>
      </c>
      <c r="D9" s="13">
        <v>16247.6</v>
      </c>
      <c r="E9" s="13">
        <v>17402</v>
      </c>
      <c r="F9" s="13">
        <v>17716.599999999999</v>
      </c>
      <c r="G9" s="13">
        <v>7797</v>
      </c>
      <c r="H9" s="13">
        <v>268.99</v>
      </c>
      <c r="I9" s="13">
        <v>382.2</v>
      </c>
      <c r="J9" s="13">
        <v>1601.8</v>
      </c>
      <c r="K9" s="14">
        <v>500</v>
      </c>
      <c r="L9" s="127"/>
      <c r="M9" s="14">
        <v>500</v>
      </c>
      <c r="N9" s="127"/>
      <c r="O9" s="14">
        <v>500</v>
      </c>
      <c r="P9" s="13"/>
      <c r="Q9" s="14">
        <v>500</v>
      </c>
      <c r="R9" s="13"/>
      <c r="S9" s="14">
        <v>500</v>
      </c>
      <c r="T9" s="14"/>
      <c r="U9" s="14"/>
      <c r="V9" s="25"/>
    </row>
    <row r="10" spans="1:22" x14ac:dyDescent="0.25">
      <c r="A10" s="708">
        <v>5114</v>
      </c>
      <c r="B10" s="60" t="s">
        <v>1012</v>
      </c>
      <c r="C10" s="115"/>
      <c r="D10" s="13"/>
      <c r="E10" s="13"/>
      <c r="F10" s="13"/>
      <c r="G10" s="13">
        <v>4961.8500000000004</v>
      </c>
      <c r="H10" s="13">
        <v>9840.9500000000007</v>
      </c>
      <c r="I10" s="13">
        <v>10335.69</v>
      </c>
      <c r="J10" s="13">
        <v>10198.530000000001</v>
      </c>
      <c r="K10" s="14">
        <v>12236</v>
      </c>
      <c r="L10" s="127">
        <v>10749.16</v>
      </c>
      <c r="M10" s="14">
        <v>11546</v>
      </c>
      <c r="N10" s="127">
        <v>11245.99</v>
      </c>
      <c r="O10" s="14">
        <f>353+11835</f>
        <v>12188</v>
      </c>
      <c r="P10" s="13">
        <v>12720.93</v>
      </c>
      <c r="Q10" s="14">
        <v>13471</v>
      </c>
      <c r="R10" s="13">
        <v>6700.77</v>
      </c>
      <c r="S10" s="14">
        <f>ROUND((+'420 DPW'!R81),0)</f>
        <v>14126</v>
      </c>
      <c r="T10" s="14"/>
      <c r="U10" s="14"/>
      <c r="V10" s="25"/>
    </row>
    <row r="11" spans="1:22" x14ac:dyDescent="0.25">
      <c r="A11" s="708">
        <v>5132</v>
      </c>
      <c r="B11" s="60" t="s">
        <v>1147</v>
      </c>
      <c r="C11" s="115">
        <v>271.2</v>
      </c>
      <c r="D11" s="13">
        <f>27.6+241.65</f>
        <v>269.25</v>
      </c>
      <c r="E11" s="13"/>
      <c r="F11" s="13">
        <v>410.68</v>
      </c>
      <c r="G11" s="13">
        <v>146.85</v>
      </c>
      <c r="H11" s="13">
        <v>518.64</v>
      </c>
      <c r="I11" s="13">
        <v>881.94</v>
      </c>
      <c r="J11" s="13">
        <v>2021.06</v>
      </c>
      <c r="K11" s="14">
        <v>750</v>
      </c>
      <c r="L11" s="13"/>
      <c r="M11" s="14">
        <v>750</v>
      </c>
      <c r="N11" s="13"/>
      <c r="O11" s="14">
        <v>750</v>
      </c>
      <c r="P11" s="13"/>
      <c r="Q11" s="14">
        <v>750</v>
      </c>
      <c r="R11" s="13">
        <v>399.96</v>
      </c>
      <c r="S11" s="14">
        <v>750</v>
      </c>
      <c r="T11" s="14"/>
      <c r="U11" s="14"/>
      <c r="V11" s="25"/>
    </row>
    <row r="12" spans="1:22" ht="13.8" thickBot="1" x14ac:dyDescent="0.3">
      <c r="A12" s="708">
        <v>5142</v>
      </c>
      <c r="B12" s="60" t="s">
        <v>1016</v>
      </c>
      <c r="C12" s="116"/>
      <c r="D12" s="15"/>
      <c r="E12" s="15"/>
      <c r="F12" s="15"/>
      <c r="G12" s="15"/>
      <c r="H12" s="15"/>
      <c r="I12" s="15"/>
      <c r="J12" s="15"/>
      <c r="K12" s="16"/>
      <c r="L12" s="15"/>
      <c r="M12" s="16"/>
      <c r="N12" s="15"/>
      <c r="O12" s="16"/>
      <c r="P12" s="15"/>
      <c r="Q12" s="16"/>
      <c r="R12" s="15"/>
      <c r="S12" s="16"/>
      <c r="T12" s="16"/>
      <c r="U12" s="16"/>
      <c r="V12" s="25"/>
    </row>
    <row r="13" spans="1:22" x14ac:dyDescent="0.25">
      <c r="A13" s="708"/>
      <c r="B13" s="61" t="s">
        <v>718</v>
      </c>
      <c r="C13" s="117">
        <f t="shared" ref="C13:R13" si="0">SUM(C9:C12)</f>
        <v>17221.2</v>
      </c>
      <c r="D13" s="18">
        <f t="shared" si="0"/>
        <v>16516.849999999999</v>
      </c>
      <c r="E13" s="18">
        <f t="shared" si="0"/>
        <v>17402</v>
      </c>
      <c r="F13" s="18">
        <f>SUM(F9:F12)</f>
        <v>18127.28</v>
      </c>
      <c r="G13" s="18">
        <f>SUM(G9:G12)</f>
        <v>12905.7</v>
      </c>
      <c r="H13" s="18">
        <f>SUM(H9:H12)</f>
        <v>10628.58</v>
      </c>
      <c r="I13" s="18">
        <f t="shared" si="0"/>
        <v>11599.830000000002</v>
      </c>
      <c r="J13" s="18">
        <f t="shared" si="0"/>
        <v>13821.39</v>
      </c>
      <c r="K13" s="19">
        <f>SUM(K9:K12)</f>
        <v>13486</v>
      </c>
      <c r="L13" s="18">
        <f t="shared" ref="L13:N13" si="1">SUM(L9:L12)</f>
        <v>10749.16</v>
      </c>
      <c r="M13" s="19">
        <f>SUM(M9:M12)</f>
        <v>12796</v>
      </c>
      <c r="N13" s="18">
        <f t="shared" si="1"/>
        <v>11245.99</v>
      </c>
      <c r="O13" s="19">
        <f>SUM(O9:O12)</f>
        <v>13438</v>
      </c>
      <c r="P13" s="18">
        <f>SUM(P9:P12)</f>
        <v>12720.93</v>
      </c>
      <c r="Q13" s="19">
        <f>SUM(Q9:Q12)</f>
        <v>14721</v>
      </c>
      <c r="R13" s="18">
        <f t="shared" si="0"/>
        <v>7100.7300000000005</v>
      </c>
      <c r="S13" s="19">
        <f>SUM(S9:S12)</f>
        <v>15376</v>
      </c>
      <c r="T13" s="19">
        <f>SUM(T9:T12)</f>
        <v>0</v>
      </c>
      <c r="U13" s="19">
        <f>+S13</f>
        <v>15376</v>
      </c>
      <c r="V13" s="25"/>
    </row>
    <row r="14" spans="1:22" x14ac:dyDescent="0.25">
      <c r="A14" s="708"/>
      <c r="B14" s="60"/>
      <c r="C14" s="115"/>
      <c r="D14" s="13"/>
      <c r="E14" s="13"/>
      <c r="F14" s="13"/>
      <c r="G14" s="13"/>
      <c r="H14" s="13"/>
      <c r="I14" s="13"/>
      <c r="J14" s="13"/>
      <c r="K14" s="14"/>
      <c r="L14" s="127"/>
      <c r="M14" s="14"/>
      <c r="N14" s="127"/>
      <c r="O14" s="14"/>
      <c r="P14" s="13"/>
      <c r="Q14" s="14"/>
      <c r="R14" s="13"/>
      <c r="S14" s="14"/>
      <c r="T14" s="14"/>
      <c r="U14" s="14"/>
      <c r="V14" s="25"/>
    </row>
    <row r="15" spans="1:22" x14ac:dyDescent="0.25">
      <c r="A15" s="708">
        <v>5280</v>
      </c>
      <c r="B15" s="60" t="s">
        <v>1237</v>
      </c>
      <c r="C15" s="311">
        <v>279469.99</v>
      </c>
      <c r="D15" s="111">
        <v>283691.19</v>
      </c>
      <c r="E15" s="111">
        <v>236050.71</v>
      </c>
      <c r="F15" s="111">
        <v>268195.77</v>
      </c>
      <c r="G15" s="111">
        <v>267920.34999999998</v>
      </c>
      <c r="H15" s="111">
        <v>282465.24</v>
      </c>
      <c r="I15" s="111">
        <v>287843.42</v>
      </c>
      <c r="J15" s="111">
        <v>218312.36</v>
      </c>
      <c r="K15" s="19">
        <v>228200</v>
      </c>
      <c r="L15" s="111">
        <v>227997.97</v>
      </c>
      <c r="M15" s="19">
        <v>240000</v>
      </c>
      <c r="N15" s="111">
        <v>237299.87</v>
      </c>
      <c r="O15" s="19">
        <v>252000</v>
      </c>
      <c r="P15" s="18">
        <v>259875.96</v>
      </c>
      <c r="Q15" s="19">
        <v>260000</v>
      </c>
      <c r="R15" s="127">
        <v>110538.06</v>
      </c>
      <c r="S15" s="19">
        <v>332000</v>
      </c>
      <c r="T15" s="19"/>
      <c r="U15" s="19"/>
      <c r="V15" s="25"/>
    </row>
    <row r="16" spans="1:22" x14ac:dyDescent="0.25">
      <c r="A16" s="708">
        <v>5281</v>
      </c>
      <c r="B16" s="60" t="s">
        <v>1238</v>
      </c>
      <c r="C16" s="115">
        <v>90976.54</v>
      </c>
      <c r="D16" s="18">
        <v>91840.23</v>
      </c>
      <c r="E16" s="18">
        <v>107166.88</v>
      </c>
      <c r="F16" s="18">
        <v>94196.47</v>
      </c>
      <c r="G16" s="18">
        <v>100475.88</v>
      </c>
      <c r="H16" s="18">
        <v>101142.96</v>
      </c>
      <c r="I16" s="111">
        <v>109404.98</v>
      </c>
      <c r="J16" s="111">
        <v>93541.08</v>
      </c>
      <c r="K16" s="19">
        <v>177000</v>
      </c>
      <c r="L16" s="111">
        <v>81853.899999999994</v>
      </c>
      <c r="M16" s="19">
        <v>140000</v>
      </c>
      <c r="N16" s="111">
        <v>97044.62</v>
      </c>
      <c r="O16" s="19">
        <v>115000</v>
      </c>
      <c r="P16" s="18">
        <v>106352.82</v>
      </c>
      <c r="Q16" s="19">
        <v>120000</v>
      </c>
      <c r="R16" s="127">
        <v>45237.09</v>
      </c>
      <c r="S16" s="19">
        <v>153500</v>
      </c>
      <c r="T16" s="19"/>
      <c r="U16" s="19"/>
      <c r="V16" s="25"/>
    </row>
    <row r="17" spans="1:22" x14ac:dyDescent="0.25">
      <c r="A17" s="708">
        <v>5282</v>
      </c>
      <c r="B17" s="60" t="s">
        <v>1239</v>
      </c>
      <c r="C17" s="115">
        <v>18401.03</v>
      </c>
      <c r="D17" s="18">
        <v>19114.689999999999</v>
      </c>
      <c r="E17" s="18">
        <v>26908.31</v>
      </c>
      <c r="F17" s="18">
        <v>22310.400000000001</v>
      </c>
      <c r="G17" s="18">
        <v>17300.37</v>
      </c>
      <c r="H17" s="18">
        <v>21473</v>
      </c>
      <c r="I17" s="111">
        <v>30257.25</v>
      </c>
      <c r="J17" s="111">
        <v>38225.019999999997</v>
      </c>
      <c r="K17" s="19">
        <v>32700</v>
      </c>
      <c r="L17" s="111">
        <v>46886.03</v>
      </c>
      <c r="M17" s="19">
        <v>48000</v>
      </c>
      <c r="N17" s="111">
        <v>52539.1</v>
      </c>
      <c r="O17" s="19">
        <v>50400</v>
      </c>
      <c r="P17" s="18">
        <v>40515.86</v>
      </c>
      <c r="Q17" s="19">
        <v>55000</v>
      </c>
      <c r="R17" s="127">
        <v>27400.720000000001</v>
      </c>
      <c r="S17" s="19">
        <v>55000</v>
      </c>
      <c r="T17" s="19"/>
      <c r="U17" s="19"/>
      <c r="V17" s="25"/>
    </row>
    <row r="18" spans="1:22" x14ac:dyDescent="0.25">
      <c r="A18" s="708">
        <v>5283</v>
      </c>
      <c r="B18" s="60" t="s">
        <v>1240</v>
      </c>
      <c r="C18" s="115">
        <v>3302.24</v>
      </c>
      <c r="D18" s="18">
        <v>2617.9699999999998</v>
      </c>
      <c r="E18" s="18">
        <v>3665.4</v>
      </c>
      <c r="F18" s="18">
        <v>4660.2299999999996</v>
      </c>
      <c r="G18" s="18">
        <v>4331.24</v>
      </c>
      <c r="H18" s="18">
        <v>4549.66</v>
      </c>
      <c r="I18" s="111">
        <v>4531.5200000000004</v>
      </c>
      <c r="J18" s="111">
        <v>4905.32</v>
      </c>
      <c r="K18" s="19">
        <v>5500</v>
      </c>
      <c r="L18" s="111">
        <v>4336.66</v>
      </c>
      <c r="M18" s="19">
        <v>5500</v>
      </c>
      <c r="N18" s="111">
        <v>3573</v>
      </c>
      <c r="O18" s="19">
        <v>5500</v>
      </c>
      <c r="P18" s="18">
        <v>3574</v>
      </c>
      <c r="Q18" s="19">
        <v>5500</v>
      </c>
      <c r="R18" s="127"/>
      <c r="S18" s="19">
        <v>5500</v>
      </c>
      <c r="T18" s="19"/>
      <c r="U18" s="19"/>
      <c r="V18" s="25"/>
    </row>
    <row r="19" spans="1:22" x14ac:dyDescent="0.25">
      <c r="A19" s="708">
        <v>5284</v>
      </c>
      <c r="B19" s="12" t="s">
        <v>1241</v>
      </c>
      <c r="C19" s="13">
        <v>12531.6</v>
      </c>
      <c r="D19" s="18">
        <v>12690.59</v>
      </c>
      <c r="E19" s="18">
        <v>12756.08</v>
      </c>
      <c r="F19" s="18">
        <v>12699.72</v>
      </c>
      <c r="G19" s="18">
        <v>13099.3</v>
      </c>
      <c r="H19" s="18">
        <v>13526.98</v>
      </c>
      <c r="I19" s="111">
        <v>13542.32</v>
      </c>
      <c r="J19" s="111">
        <v>16234.27</v>
      </c>
      <c r="K19" s="19">
        <v>18000</v>
      </c>
      <c r="L19" s="111">
        <v>16244.84</v>
      </c>
      <c r="M19" s="19">
        <v>18000</v>
      </c>
      <c r="N19" s="111">
        <v>18982.650000000001</v>
      </c>
      <c r="O19" s="19">
        <v>20000</v>
      </c>
      <c r="P19" s="18">
        <v>20692.32</v>
      </c>
      <c r="Q19" s="19">
        <v>20000</v>
      </c>
      <c r="R19" s="127"/>
      <c r="S19" s="19">
        <v>24400</v>
      </c>
      <c r="T19" s="19"/>
      <c r="U19" s="19"/>
      <c r="V19" s="25"/>
    </row>
    <row r="20" spans="1:22" x14ac:dyDescent="0.25">
      <c r="A20" s="708">
        <v>5285</v>
      </c>
      <c r="B20" s="12" t="s">
        <v>1242</v>
      </c>
      <c r="C20" s="200"/>
      <c r="D20" s="254"/>
      <c r="E20" s="254"/>
      <c r="F20" s="111"/>
      <c r="G20" s="111"/>
      <c r="H20" s="111"/>
      <c r="I20" s="111"/>
      <c r="J20" s="111">
        <v>108924.95</v>
      </c>
      <c r="K20" s="19">
        <v>115000</v>
      </c>
      <c r="L20" s="111">
        <v>139194.21</v>
      </c>
      <c r="M20" s="19">
        <v>150000</v>
      </c>
      <c r="N20" s="111">
        <v>122880.03</v>
      </c>
      <c r="O20" s="19">
        <v>157500</v>
      </c>
      <c r="P20" s="18">
        <v>114929.9</v>
      </c>
      <c r="Q20" s="19">
        <v>157500</v>
      </c>
      <c r="R20" s="127">
        <v>51931.5</v>
      </c>
      <c r="S20" s="19">
        <v>157500</v>
      </c>
      <c r="T20" s="19"/>
      <c r="U20" s="19"/>
      <c r="V20" s="25"/>
    </row>
    <row r="21" spans="1:22" s="202" customFormat="1" x14ac:dyDescent="0.25">
      <c r="A21" s="708">
        <v>5286</v>
      </c>
      <c r="B21" s="12" t="s">
        <v>2492</v>
      </c>
      <c r="C21" s="200"/>
      <c r="D21" s="254"/>
      <c r="E21" s="254"/>
      <c r="F21" s="111"/>
      <c r="G21" s="111"/>
      <c r="H21" s="111"/>
      <c r="I21" s="111"/>
      <c r="J21" s="111">
        <v>16626.84</v>
      </c>
      <c r="K21" s="19"/>
      <c r="L21" s="111">
        <v>22095.95</v>
      </c>
      <c r="M21" s="150"/>
      <c r="N21" s="111">
        <v>11715.77</v>
      </c>
      <c r="O21" s="19">
        <v>32000</v>
      </c>
      <c r="P21" s="18">
        <v>47698.29</v>
      </c>
      <c r="Q21" s="19">
        <v>32000</v>
      </c>
      <c r="R21" s="127">
        <v>31622.85</v>
      </c>
      <c r="S21" s="19">
        <v>45000</v>
      </c>
      <c r="T21" s="19"/>
      <c r="U21" s="19"/>
      <c r="V21" s="25"/>
    </row>
    <row r="22" spans="1:22" x14ac:dyDescent="0.25">
      <c r="A22" s="708">
        <v>5315</v>
      </c>
      <c r="B22" s="12" t="s">
        <v>1244</v>
      </c>
      <c r="C22" s="35"/>
      <c r="D22" s="28"/>
      <c r="E22" s="28"/>
      <c r="F22" s="13">
        <v>6910.1</v>
      </c>
      <c r="G22" s="13">
        <v>195</v>
      </c>
      <c r="H22" s="13">
        <v>400</v>
      </c>
      <c r="I22" s="127">
        <v>150</v>
      </c>
      <c r="J22" s="127">
        <v>400</v>
      </c>
      <c r="K22" s="14">
        <v>1500</v>
      </c>
      <c r="L22" s="127">
        <v>150</v>
      </c>
      <c r="M22" s="19">
        <v>1500</v>
      </c>
      <c r="N22" s="111">
        <v>175</v>
      </c>
      <c r="O22" s="19">
        <v>1500</v>
      </c>
      <c r="P22" s="18">
        <v>175</v>
      </c>
      <c r="Q22" s="19">
        <v>500</v>
      </c>
      <c r="R22" s="13">
        <v>175</v>
      </c>
      <c r="S22" s="19">
        <v>500</v>
      </c>
      <c r="T22" s="19"/>
      <c r="U22" s="19"/>
      <c r="V22" s="25"/>
    </row>
    <row r="23" spans="1:22" x14ac:dyDescent="0.25">
      <c r="A23" s="708">
        <v>5380</v>
      </c>
      <c r="B23" s="12" t="s">
        <v>1245</v>
      </c>
      <c r="C23" s="35"/>
      <c r="D23" s="28"/>
      <c r="E23" s="28"/>
      <c r="F23" s="28"/>
      <c r="G23" s="28">
        <v>1116.5</v>
      </c>
      <c r="H23" s="28">
        <v>159.94999999999999</v>
      </c>
      <c r="I23" s="254"/>
      <c r="J23" s="254"/>
      <c r="K23" s="29"/>
      <c r="L23" s="254">
        <v>219</v>
      </c>
      <c r="M23" s="29"/>
      <c r="N23" s="254">
        <v>305</v>
      </c>
      <c r="O23" s="29"/>
      <c r="P23" s="28">
        <v>1618.11</v>
      </c>
      <c r="Q23" s="29">
        <v>1000</v>
      </c>
      <c r="R23" s="28"/>
      <c r="S23" s="29">
        <v>1000</v>
      </c>
      <c r="T23" s="29"/>
      <c r="U23" s="29"/>
      <c r="V23" s="25"/>
    </row>
    <row r="24" spans="1:22" ht="13.8" thickBot="1" x14ac:dyDescent="0.3">
      <c r="A24" s="708">
        <v>5420</v>
      </c>
      <c r="B24" s="12" t="s">
        <v>753</v>
      </c>
      <c r="C24" s="15">
        <v>7536.34</v>
      </c>
      <c r="D24" s="15">
        <v>4635.58</v>
      </c>
      <c r="E24" s="15">
        <v>4881.71</v>
      </c>
      <c r="F24" s="15">
        <v>5984.95</v>
      </c>
      <c r="G24" s="15">
        <v>6735.54</v>
      </c>
      <c r="H24" s="15">
        <v>6956.43</v>
      </c>
      <c r="I24" s="252">
        <v>818.2</v>
      </c>
      <c r="J24" s="252">
        <v>6907.06</v>
      </c>
      <c r="K24" s="16">
        <v>7500</v>
      </c>
      <c r="L24" s="252">
        <v>14564.7</v>
      </c>
      <c r="M24" s="16">
        <v>9000</v>
      </c>
      <c r="N24" s="252">
        <v>9584.1200000000008</v>
      </c>
      <c r="O24" s="16">
        <v>9000</v>
      </c>
      <c r="P24" s="15">
        <v>8944.9</v>
      </c>
      <c r="Q24" s="16">
        <v>13000</v>
      </c>
      <c r="R24" s="15">
        <v>1015.63</v>
      </c>
      <c r="S24" s="16">
        <v>13000</v>
      </c>
      <c r="T24" s="16"/>
      <c r="U24" s="16"/>
      <c r="V24" s="25"/>
    </row>
    <row r="25" spans="1:22" x14ac:dyDescent="0.25">
      <c r="A25" s="708"/>
      <c r="B25" s="17" t="s">
        <v>728</v>
      </c>
      <c r="C25" s="18">
        <f t="shared" ref="C25:T25" si="2">SUM(C15:C24)</f>
        <v>412217.73999999993</v>
      </c>
      <c r="D25" s="18">
        <f t="shared" si="2"/>
        <v>414590.25</v>
      </c>
      <c r="E25" s="18">
        <f t="shared" si="2"/>
        <v>391429.09</v>
      </c>
      <c r="F25" s="18">
        <f t="shared" si="2"/>
        <v>414957.63999999996</v>
      </c>
      <c r="G25" s="18">
        <f t="shared" si="2"/>
        <v>411174.17999999993</v>
      </c>
      <c r="H25" s="18">
        <f t="shared" si="2"/>
        <v>430674.22</v>
      </c>
      <c r="I25" s="18">
        <f t="shared" si="2"/>
        <v>446547.69</v>
      </c>
      <c r="J25" s="18">
        <f t="shared" si="2"/>
        <v>504076.90000000008</v>
      </c>
      <c r="K25" s="19">
        <f t="shared" si="2"/>
        <v>585400</v>
      </c>
      <c r="L25" s="111">
        <f t="shared" si="2"/>
        <v>553543.25999999989</v>
      </c>
      <c r="M25" s="19">
        <f t="shared" si="2"/>
        <v>612000</v>
      </c>
      <c r="N25" s="111">
        <f t="shared" ref="N25" si="3">SUM(N15:N24)</f>
        <v>554099.16</v>
      </c>
      <c r="O25" s="19">
        <f t="shared" si="2"/>
        <v>642900</v>
      </c>
      <c r="P25" s="18">
        <f t="shared" ref="P25" si="4">SUM(P15:P24)</f>
        <v>604377.16</v>
      </c>
      <c r="Q25" s="19">
        <f t="shared" ref="Q25" si="5">SUM(Q15:Q24)</f>
        <v>664500</v>
      </c>
      <c r="R25" s="18">
        <f t="shared" si="2"/>
        <v>267920.84999999998</v>
      </c>
      <c r="S25" s="19">
        <f t="shared" si="2"/>
        <v>787400</v>
      </c>
      <c r="T25" s="19">
        <f t="shared" si="2"/>
        <v>0</v>
      </c>
      <c r="U25" s="19">
        <f>+S25</f>
        <v>787400</v>
      </c>
      <c r="V25" s="25"/>
    </row>
    <row r="26" spans="1:22" x14ac:dyDescent="0.25">
      <c r="A26" s="708"/>
      <c r="B26" s="17"/>
      <c r="C26" s="13"/>
      <c r="D26" s="13"/>
      <c r="E26" s="13"/>
      <c r="F26" s="13"/>
      <c r="G26" s="13"/>
      <c r="H26" s="13"/>
      <c r="I26" s="13"/>
      <c r="J26" s="13"/>
      <c r="K26" s="14"/>
      <c r="L26" s="13"/>
      <c r="M26" s="14"/>
      <c r="N26" s="13"/>
      <c r="O26" s="14"/>
      <c r="P26" s="13"/>
      <c r="Q26" s="14"/>
      <c r="R26" s="13"/>
      <c r="S26" s="14"/>
      <c r="T26" s="14"/>
      <c r="U26" s="14"/>
      <c r="V26" s="25"/>
    </row>
    <row r="27" spans="1:22" ht="13.8" thickBot="1" x14ac:dyDescent="0.3">
      <c r="A27" s="709"/>
      <c r="B27" s="20" t="s">
        <v>1246</v>
      </c>
      <c r="C27" s="21">
        <f t="shared" ref="C27:H27" si="6">+C25+C13</f>
        <v>429438.93999999994</v>
      </c>
      <c r="D27" s="21">
        <f t="shared" si="6"/>
        <v>431107.1</v>
      </c>
      <c r="E27" s="21">
        <f t="shared" si="6"/>
        <v>408831.09</v>
      </c>
      <c r="F27" s="21">
        <f t="shared" si="6"/>
        <v>433084.91999999993</v>
      </c>
      <c r="G27" s="21">
        <f t="shared" si="6"/>
        <v>424079.87999999995</v>
      </c>
      <c r="H27" s="21">
        <f t="shared" si="6"/>
        <v>441302.8</v>
      </c>
      <c r="I27" s="21">
        <f t="shared" ref="I27:U27" si="7">++I25+I13</f>
        <v>458147.52</v>
      </c>
      <c r="J27" s="21">
        <f t="shared" si="7"/>
        <v>517898.2900000001</v>
      </c>
      <c r="K27" s="22">
        <f t="shared" si="7"/>
        <v>598886</v>
      </c>
      <c r="L27" s="21">
        <f t="shared" si="7"/>
        <v>564292.41999999993</v>
      </c>
      <c r="M27" s="22">
        <f t="shared" si="7"/>
        <v>624796</v>
      </c>
      <c r="N27" s="21">
        <f t="shared" ref="N27" si="8">++N25+N13</f>
        <v>565345.15</v>
      </c>
      <c r="O27" s="22">
        <f t="shared" si="7"/>
        <v>656338</v>
      </c>
      <c r="P27" s="21">
        <f t="shared" ref="P27" si="9">++P25+P13</f>
        <v>617098.09000000008</v>
      </c>
      <c r="Q27" s="22">
        <f t="shared" ref="Q27" si="10">++Q25+Q13</f>
        <v>679221</v>
      </c>
      <c r="R27" s="21">
        <f t="shared" si="7"/>
        <v>275021.57999999996</v>
      </c>
      <c r="S27" s="22">
        <f t="shared" si="7"/>
        <v>802776</v>
      </c>
      <c r="T27" s="22">
        <f t="shared" si="7"/>
        <v>0</v>
      </c>
      <c r="U27" s="22">
        <f t="shared" si="7"/>
        <v>802776</v>
      </c>
      <c r="V27" s="25"/>
    </row>
    <row r="28" spans="1:22" ht="13.8" thickTop="1" x14ac:dyDescent="0.25">
      <c r="A28" s="703"/>
      <c r="B28" s="4"/>
      <c r="C28" s="23"/>
      <c r="D28" s="23"/>
      <c r="E28" s="23"/>
      <c r="F28" s="23"/>
      <c r="G28" s="23"/>
      <c r="H28" s="23"/>
      <c r="I28" s="23"/>
      <c r="J28" s="23"/>
      <c r="K28" s="24"/>
      <c r="L28" s="25"/>
      <c r="M28" s="25"/>
      <c r="N28" s="25"/>
      <c r="O28" s="25"/>
      <c r="P28" s="25"/>
      <c r="Q28" s="25"/>
      <c r="R28" s="181" t="s">
        <v>732</v>
      </c>
      <c r="S28" s="1001">
        <f>+S27-Q27</f>
        <v>123555</v>
      </c>
      <c r="T28" s="1002">
        <f>ROUND((+S28/Q27),4)</f>
        <v>0.18190000000000001</v>
      </c>
      <c r="U28" s="23"/>
      <c r="V28" s="23"/>
    </row>
    <row r="29" spans="1:22" x14ac:dyDescent="0.25">
      <c r="A29" s="703"/>
      <c r="B29" s="4"/>
      <c r="C29" s="23"/>
      <c r="D29" s="23"/>
      <c r="E29" s="23"/>
      <c r="F29" s="23"/>
      <c r="G29" s="23"/>
      <c r="H29" s="23"/>
      <c r="I29" s="23"/>
      <c r="J29" s="23"/>
      <c r="K29" s="24"/>
      <c r="L29" s="25"/>
      <c r="M29" s="25"/>
      <c r="N29" s="25"/>
      <c r="O29" s="25"/>
      <c r="P29" s="25"/>
      <c r="Q29" s="25"/>
      <c r="R29" s="25"/>
      <c r="S29" s="23"/>
      <c r="T29" s="23"/>
      <c r="U29" s="23"/>
      <c r="V29" s="23"/>
    </row>
    <row r="30" spans="1:22" x14ac:dyDescent="0.25">
      <c r="A30" s="63"/>
      <c r="B30" s="4"/>
      <c r="C30" s="23"/>
      <c r="D30" s="23"/>
      <c r="E30" s="23"/>
      <c r="F30" s="23"/>
      <c r="G30" s="23"/>
      <c r="H30" s="23"/>
      <c r="I30" s="23"/>
      <c r="J30" s="23"/>
      <c r="K30" s="23"/>
      <c r="L30" s="23"/>
      <c r="M30" s="23"/>
      <c r="N30" s="23"/>
      <c r="O30" s="23"/>
      <c r="P30" s="23"/>
      <c r="Q30" s="23"/>
      <c r="R30" s="25"/>
      <c r="S30" s="23"/>
      <c r="T30" s="23"/>
      <c r="U30" s="23"/>
      <c r="V30" s="23"/>
    </row>
    <row r="31" spans="1:22" ht="13.8" thickBot="1" x14ac:dyDescent="0.3">
      <c r="A31" s="703"/>
      <c r="B31" s="4"/>
      <c r="C31" s="23"/>
      <c r="D31" s="23"/>
      <c r="E31" s="23"/>
      <c r="F31" s="23"/>
      <c r="G31" s="23"/>
      <c r="H31" s="23"/>
      <c r="I31" s="23"/>
      <c r="J31" s="23"/>
      <c r="K31" s="23"/>
      <c r="L31" s="23"/>
      <c r="M31" s="23"/>
      <c r="N31" s="23"/>
      <c r="O31" s="23"/>
      <c r="P31" s="23"/>
      <c r="Q31" s="23"/>
      <c r="R31" s="25"/>
      <c r="S31" s="23"/>
      <c r="T31" s="23"/>
      <c r="U31" s="25"/>
      <c r="V31" s="25"/>
    </row>
    <row r="32" spans="1:22" ht="13.8" thickTop="1" x14ac:dyDescent="0.25">
      <c r="A32" s="718"/>
      <c r="B32" s="349"/>
      <c r="C32" s="350" t="s">
        <v>256</v>
      </c>
      <c r="D32" s="351" t="s">
        <v>256</v>
      </c>
      <c r="E32" s="351" t="s">
        <v>256</v>
      </c>
      <c r="F32" s="194"/>
      <c r="G32" s="194"/>
      <c r="H32" s="194"/>
      <c r="I32" s="194"/>
      <c r="J32" s="194"/>
      <c r="K32" s="194"/>
      <c r="L32" s="194"/>
      <c r="O32" s="352" t="s">
        <v>255</v>
      </c>
      <c r="P32" s="353" t="s">
        <v>716</v>
      </c>
      <c r="Q32" s="354" t="s">
        <v>730</v>
      </c>
      <c r="R32" s="353" t="s">
        <v>731</v>
      </c>
      <c r="S32" s="355"/>
      <c r="T32" s="550"/>
      <c r="U32" s="354"/>
      <c r="V32" s="922"/>
    </row>
    <row r="33" spans="1:22" ht="13.8" thickBot="1" x14ac:dyDescent="0.3">
      <c r="A33" s="719"/>
      <c r="B33" s="356"/>
      <c r="C33" s="357" t="s">
        <v>243</v>
      </c>
      <c r="D33" s="357" t="s">
        <v>244</v>
      </c>
      <c r="E33" s="358" t="s">
        <v>245</v>
      </c>
      <c r="F33" s="194"/>
      <c r="G33" s="194"/>
      <c r="H33" s="194"/>
      <c r="I33" s="194"/>
      <c r="J33" s="194"/>
      <c r="K33" s="194"/>
      <c r="L33" s="194"/>
      <c r="O33" s="359" t="s">
        <v>469</v>
      </c>
      <c r="P33" s="359" t="s">
        <v>1345</v>
      </c>
      <c r="Q33" s="358" t="s">
        <v>732</v>
      </c>
      <c r="R33" s="360" t="s">
        <v>732</v>
      </c>
      <c r="S33" s="361" t="s">
        <v>733</v>
      </c>
      <c r="T33" s="551"/>
      <c r="U33" s="359"/>
      <c r="V33" s="922"/>
    </row>
    <row r="34" spans="1:22" ht="13.8" thickTop="1" x14ac:dyDescent="0.25">
      <c r="A34" s="726"/>
      <c r="B34" s="376"/>
      <c r="C34" s="365"/>
      <c r="D34" s="365"/>
      <c r="E34" s="365"/>
      <c r="F34" s="194"/>
      <c r="G34" s="194"/>
      <c r="H34" s="194"/>
      <c r="I34" s="194"/>
      <c r="J34" s="194"/>
      <c r="K34" s="194"/>
      <c r="L34" s="194"/>
      <c r="O34" s="366"/>
      <c r="P34" s="365"/>
      <c r="Q34" s="396"/>
      <c r="R34" s="374"/>
      <c r="S34" s="367"/>
      <c r="T34" s="553"/>
      <c r="U34" s="368"/>
      <c r="V34" s="399"/>
    </row>
    <row r="35" spans="1:22" x14ac:dyDescent="0.25">
      <c r="A35" s="724">
        <v>5112</v>
      </c>
      <c r="B35" s="369" t="s">
        <v>1205</v>
      </c>
      <c r="C35" s="373">
        <v>16950</v>
      </c>
      <c r="D35" s="373">
        <v>16247.6</v>
      </c>
      <c r="E35" s="373">
        <v>17402</v>
      </c>
      <c r="F35" s="194"/>
      <c r="G35" s="194"/>
      <c r="H35" s="194"/>
      <c r="I35" s="194"/>
      <c r="J35" s="194"/>
      <c r="K35" s="194"/>
      <c r="L35" s="194"/>
      <c r="O35" s="372">
        <f>+Q9</f>
        <v>500</v>
      </c>
      <c r="P35" s="393">
        <f>+S9</f>
        <v>500</v>
      </c>
      <c r="Q35" s="372"/>
      <c r="R35" s="373"/>
      <c r="S35" s="367"/>
      <c r="T35" s="553"/>
      <c r="U35" s="368"/>
      <c r="V35" s="399"/>
    </row>
    <row r="36" spans="1:22" x14ac:dyDescent="0.25">
      <c r="A36" s="724">
        <v>5114</v>
      </c>
      <c r="B36" s="369" t="s">
        <v>1012</v>
      </c>
      <c r="C36" s="373"/>
      <c r="D36" s="373"/>
      <c r="E36" s="373"/>
      <c r="F36" s="194"/>
      <c r="G36" s="194"/>
      <c r="H36" s="194"/>
      <c r="I36" s="194"/>
      <c r="J36" s="194"/>
      <c r="K36" s="194"/>
      <c r="L36" s="194"/>
      <c r="O36" s="372">
        <f>+Q10</f>
        <v>13471</v>
      </c>
      <c r="P36" s="393">
        <f>+S10</f>
        <v>14126</v>
      </c>
      <c r="Q36" s="396">
        <f t="shared" ref="Q36:Q48" si="11">+P36-O36</f>
        <v>655</v>
      </c>
      <c r="R36" s="374">
        <f t="shared" ref="R36:R48" si="12">IF(O36+P36&lt;&gt;0,IF(O36&lt;&gt;0,IF(Q36&lt;&gt;0,ROUND((+Q36/O36),4),""),1),"")</f>
        <v>4.8599999999999997E-2</v>
      </c>
      <c r="S36" s="367" t="s">
        <v>2413</v>
      </c>
      <c r="T36" s="553"/>
      <c r="U36" s="368"/>
      <c r="V36" s="399"/>
    </row>
    <row r="37" spans="1:22" x14ac:dyDescent="0.25">
      <c r="A37" s="724">
        <v>5132</v>
      </c>
      <c r="B37" s="369" t="s">
        <v>1147</v>
      </c>
      <c r="C37" s="373">
        <v>271.2</v>
      </c>
      <c r="D37" s="373">
        <f>27.6+241.65</f>
        <v>269.25</v>
      </c>
      <c r="E37" s="373"/>
      <c r="F37" s="194"/>
      <c r="G37" s="194"/>
      <c r="H37" s="194"/>
      <c r="I37" s="194"/>
      <c r="J37" s="194"/>
      <c r="K37" s="194"/>
      <c r="L37" s="194"/>
      <c r="O37" s="372">
        <f>+Q11</f>
        <v>750</v>
      </c>
      <c r="P37" s="393">
        <f>+S11</f>
        <v>750</v>
      </c>
      <c r="Q37" s="396">
        <f t="shared" si="11"/>
        <v>0</v>
      </c>
      <c r="R37" s="374" t="str">
        <f t="shared" si="12"/>
        <v/>
      </c>
      <c r="S37" s="367"/>
      <c r="T37" s="553"/>
      <c r="U37" s="368"/>
      <c r="V37" s="399"/>
    </row>
    <row r="38" spans="1:22" ht="13.8" thickBot="1" x14ac:dyDescent="0.3">
      <c r="A38" s="724">
        <v>5142</v>
      </c>
      <c r="B38" s="369" t="s">
        <v>1016</v>
      </c>
      <c r="C38" s="371"/>
      <c r="D38" s="371"/>
      <c r="E38" s="371"/>
      <c r="F38" s="194"/>
      <c r="G38" s="194"/>
      <c r="H38" s="194"/>
      <c r="I38" s="194"/>
      <c r="J38" s="194"/>
      <c r="K38" s="194"/>
      <c r="L38" s="194"/>
      <c r="O38" s="372">
        <f>+Q12</f>
        <v>0</v>
      </c>
      <c r="P38" s="393">
        <f>+S12</f>
        <v>0</v>
      </c>
      <c r="Q38" s="396">
        <f t="shared" si="11"/>
        <v>0</v>
      </c>
      <c r="R38" s="374" t="str">
        <f t="shared" si="12"/>
        <v/>
      </c>
      <c r="S38" s="367"/>
      <c r="T38" s="553"/>
      <c r="U38" s="368"/>
      <c r="V38" s="399"/>
    </row>
    <row r="39" spans="1:22" x14ac:dyDescent="0.25">
      <c r="A39" s="724">
        <v>5280</v>
      </c>
      <c r="B39" s="369" t="s">
        <v>1247</v>
      </c>
      <c r="C39" s="373">
        <v>279469.99</v>
      </c>
      <c r="D39" s="365">
        <v>283691.19</v>
      </c>
      <c r="E39" s="365">
        <v>236050.71</v>
      </c>
      <c r="F39" s="194"/>
      <c r="G39" s="194"/>
      <c r="H39" s="194"/>
      <c r="I39" s="194"/>
      <c r="J39" s="194"/>
      <c r="K39" s="194"/>
      <c r="L39" s="194"/>
      <c r="O39" s="366">
        <f t="shared" ref="O39:O48" si="13">Q15</f>
        <v>260000</v>
      </c>
      <c r="P39" s="393">
        <f t="shared" ref="P39:P48" si="14">+S15</f>
        <v>332000</v>
      </c>
      <c r="Q39" s="396">
        <f t="shared" si="11"/>
        <v>72000</v>
      </c>
      <c r="R39" s="374">
        <f t="shared" si="12"/>
        <v>0.27689999999999998</v>
      </c>
      <c r="S39" s="1270" t="s">
        <v>2414</v>
      </c>
      <c r="T39" s="1271"/>
      <c r="U39" s="1272"/>
      <c r="V39" s="399"/>
    </row>
    <row r="40" spans="1:22" x14ac:dyDescent="0.25">
      <c r="A40" s="724">
        <v>5281</v>
      </c>
      <c r="B40" s="369" t="s">
        <v>1248</v>
      </c>
      <c r="C40" s="373">
        <v>90976.54</v>
      </c>
      <c r="D40" s="365">
        <v>91840.23</v>
      </c>
      <c r="E40" s="365">
        <v>107166.88</v>
      </c>
      <c r="F40" s="194"/>
      <c r="G40" s="194"/>
      <c r="H40" s="194"/>
      <c r="I40" s="194"/>
      <c r="J40" s="194"/>
      <c r="K40" s="194"/>
      <c r="L40" s="194"/>
      <c r="O40" s="366">
        <f t="shared" si="13"/>
        <v>120000</v>
      </c>
      <c r="P40" s="393">
        <f t="shared" si="14"/>
        <v>153500</v>
      </c>
      <c r="Q40" s="396">
        <f t="shared" si="11"/>
        <v>33500</v>
      </c>
      <c r="R40" s="374">
        <f t="shared" si="12"/>
        <v>0.2792</v>
      </c>
      <c r="S40" s="1273" t="s">
        <v>2414</v>
      </c>
      <c r="T40" s="1274"/>
      <c r="U40" s="1275"/>
      <c r="V40" s="399"/>
    </row>
    <row r="41" spans="1:22" x14ac:dyDescent="0.25">
      <c r="A41" s="724">
        <v>5282</v>
      </c>
      <c r="B41" s="369" t="s">
        <v>1239</v>
      </c>
      <c r="C41" s="373">
        <v>18401.03</v>
      </c>
      <c r="D41" s="365">
        <v>19114.689999999999</v>
      </c>
      <c r="E41" s="365">
        <v>26908.31</v>
      </c>
      <c r="F41" s="194"/>
      <c r="G41" s="194"/>
      <c r="H41" s="194"/>
      <c r="I41" s="194"/>
      <c r="J41" s="194"/>
      <c r="K41" s="194"/>
      <c r="L41" s="194"/>
      <c r="O41" s="366">
        <f t="shared" si="13"/>
        <v>55000</v>
      </c>
      <c r="P41" s="393">
        <f t="shared" si="14"/>
        <v>55000</v>
      </c>
      <c r="Q41" s="396">
        <f t="shared" si="11"/>
        <v>0</v>
      </c>
      <c r="R41" s="374" t="str">
        <f t="shared" si="12"/>
        <v/>
      </c>
      <c r="S41" s="367"/>
      <c r="T41" s="553"/>
      <c r="U41" s="368"/>
      <c r="V41" s="399"/>
    </row>
    <row r="42" spans="1:22" x14ac:dyDescent="0.25">
      <c r="A42" s="724">
        <v>5283</v>
      </c>
      <c r="B42" s="369" t="s">
        <v>1240</v>
      </c>
      <c r="C42" s="373">
        <v>3302.24</v>
      </c>
      <c r="D42" s="365">
        <v>2617.9699999999998</v>
      </c>
      <c r="E42" s="365">
        <v>3665.4</v>
      </c>
      <c r="F42" s="194"/>
      <c r="G42" s="194"/>
      <c r="H42" s="194"/>
      <c r="I42" s="194"/>
      <c r="J42" s="194"/>
      <c r="K42" s="194"/>
      <c r="L42" s="194"/>
      <c r="O42" s="366">
        <f t="shared" si="13"/>
        <v>5500</v>
      </c>
      <c r="P42" s="393">
        <f t="shared" si="14"/>
        <v>5500</v>
      </c>
      <c r="Q42" s="396">
        <f t="shared" si="11"/>
        <v>0</v>
      </c>
      <c r="R42" s="374" t="str">
        <f t="shared" si="12"/>
        <v/>
      </c>
      <c r="S42" s="367"/>
      <c r="T42" s="553"/>
      <c r="U42" s="368"/>
      <c r="V42" s="399"/>
    </row>
    <row r="43" spans="1:22" x14ac:dyDescent="0.25">
      <c r="A43" s="724">
        <v>5284</v>
      </c>
      <c r="B43" s="369" t="s">
        <v>1241</v>
      </c>
      <c r="C43" s="373">
        <v>12531.6</v>
      </c>
      <c r="D43" s="365">
        <v>12690.59</v>
      </c>
      <c r="E43" s="365">
        <v>12756.08</v>
      </c>
      <c r="F43" s="194"/>
      <c r="G43" s="194"/>
      <c r="H43" s="194"/>
      <c r="I43" s="194"/>
      <c r="J43" s="194"/>
      <c r="K43" s="194"/>
      <c r="L43" s="194"/>
      <c r="O43" s="366">
        <f t="shared" si="13"/>
        <v>20000</v>
      </c>
      <c r="P43" s="393">
        <f t="shared" si="14"/>
        <v>24400</v>
      </c>
      <c r="Q43" s="396">
        <f t="shared" si="11"/>
        <v>4400</v>
      </c>
      <c r="R43" s="374">
        <f t="shared" si="12"/>
        <v>0.22</v>
      </c>
      <c r="S43" s="367" t="s">
        <v>2415</v>
      </c>
      <c r="T43" s="553"/>
      <c r="U43" s="368"/>
      <c r="V43" s="399"/>
    </row>
    <row r="44" spans="1:22" x14ac:dyDescent="0.25">
      <c r="A44" s="724">
        <v>5285</v>
      </c>
      <c r="B44" s="369" t="s">
        <v>1249</v>
      </c>
      <c r="C44" s="375"/>
      <c r="D44" s="377"/>
      <c r="E44" s="377"/>
      <c r="F44" s="194"/>
      <c r="G44" s="194"/>
      <c r="H44" s="194"/>
      <c r="I44" s="194"/>
      <c r="J44" s="194"/>
      <c r="K44" s="194"/>
      <c r="L44" s="194"/>
      <c r="O44" s="366">
        <f t="shared" si="13"/>
        <v>157500</v>
      </c>
      <c r="P44" s="393">
        <f t="shared" si="14"/>
        <v>157500</v>
      </c>
      <c r="Q44" s="396">
        <f t="shared" si="11"/>
        <v>0</v>
      </c>
      <c r="R44" s="374" t="str">
        <f t="shared" si="12"/>
        <v/>
      </c>
      <c r="S44" s="367"/>
      <c r="T44" s="553"/>
      <c r="U44" s="368"/>
      <c r="V44" s="399"/>
    </row>
    <row r="45" spans="1:22" x14ac:dyDescent="0.25">
      <c r="A45" s="724">
        <v>5286</v>
      </c>
      <c r="B45" s="369" t="s">
        <v>1243</v>
      </c>
      <c r="C45" s="375"/>
      <c r="D45" s="377"/>
      <c r="E45" s="377"/>
      <c r="F45" s="194"/>
      <c r="G45" s="194"/>
      <c r="H45" s="194"/>
      <c r="I45" s="194"/>
      <c r="J45" s="194"/>
      <c r="K45" s="194"/>
      <c r="L45" s="194"/>
      <c r="O45" s="366">
        <f t="shared" si="13"/>
        <v>32000</v>
      </c>
      <c r="P45" s="393">
        <f t="shared" si="14"/>
        <v>45000</v>
      </c>
      <c r="Q45" s="396">
        <f t="shared" ref="Q45" si="15">+P45-O45</f>
        <v>13000</v>
      </c>
      <c r="R45" s="374">
        <f t="shared" si="12"/>
        <v>0.40629999999999999</v>
      </c>
      <c r="S45" s="367" t="s">
        <v>2416</v>
      </c>
      <c r="T45" s="553"/>
      <c r="U45" s="368"/>
      <c r="V45" s="399"/>
    </row>
    <row r="46" spans="1:22" x14ac:dyDescent="0.25">
      <c r="A46" s="724">
        <v>5315</v>
      </c>
      <c r="B46" s="369" t="s">
        <v>1244</v>
      </c>
      <c r="C46" s="375"/>
      <c r="D46" s="377"/>
      <c r="E46" s="377"/>
      <c r="F46" s="194"/>
      <c r="G46" s="194"/>
      <c r="H46" s="194"/>
      <c r="I46" s="194"/>
      <c r="J46" s="194"/>
      <c r="K46" s="194"/>
      <c r="L46" s="194"/>
      <c r="O46" s="366">
        <f t="shared" si="13"/>
        <v>500</v>
      </c>
      <c r="P46" s="393">
        <f t="shared" si="14"/>
        <v>500</v>
      </c>
      <c r="Q46" s="396">
        <f t="shared" si="11"/>
        <v>0</v>
      </c>
      <c r="R46" s="374" t="str">
        <f t="shared" si="12"/>
        <v/>
      </c>
      <c r="S46" s="367"/>
      <c r="T46" s="553"/>
      <c r="U46" s="368"/>
      <c r="V46" s="399"/>
    </row>
    <row r="47" spans="1:22" x14ac:dyDescent="0.25">
      <c r="A47" s="724">
        <v>5380</v>
      </c>
      <c r="B47" s="369" t="s">
        <v>1245</v>
      </c>
      <c r="C47" s="375"/>
      <c r="D47" s="377"/>
      <c r="E47" s="377"/>
      <c r="F47" s="194"/>
      <c r="G47" s="194"/>
      <c r="H47" s="194"/>
      <c r="I47" s="194"/>
      <c r="J47" s="194"/>
      <c r="K47" s="194"/>
      <c r="L47" s="194"/>
      <c r="O47" s="366">
        <f t="shared" si="13"/>
        <v>1000</v>
      </c>
      <c r="P47" s="393">
        <f t="shared" si="14"/>
        <v>1000</v>
      </c>
      <c r="Q47" s="396">
        <f t="shared" si="11"/>
        <v>0</v>
      </c>
      <c r="R47" s="374" t="str">
        <f t="shared" si="12"/>
        <v/>
      </c>
      <c r="S47" s="367"/>
      <c r="T47" s="553"/>
      <c r="U47" s="368"/>
      <c r="V47" s="399"/>
    </row>
    <row r="48" spans="1:22" ht="13.8" thickBot="1" x14ac:dyDescent="0.3">
      <c r="A48" s="724">
        <v>5420</v>
      </c>
      <c r="B48" s="369" t="s">
        <v>753</v>
      </c>
      <c r="C48" s="371">
        <v>7536.34</v>
      </c>
      <c r="D48" s="371">
        <v>4635.58</v>
      </c>
      <c r="E48" s="371">
        <v>4881.71</v>
      </c>
      <c r="F48" s="194"/>
      <c r="G48" s="194"/>
      <c r="H48" s="194"/>
      <c r="I48" s="194"/>
      <c r="J48" s="194"/>
      <c r="K48" s="194"/>
      <c r="L48" s="194"/>
      <c r="O48" s="366">
        <f t="shared" si="13"/>
        <v>13000</v>
      </c>
      <c r="P48" s="393">
        <f t="shared" si="14"/>
        <v>13000</v>
      </c>
      <c r="Q48" s="396">
        <f t="shared" si="11"/>
        <v>0</v>
      </c>
      <c r="R48" s="374" t="str">
        <f t="shared" si="12"/>
        <v/>
      </c>
      <c r="S48" s="367"/>
      <c r="T48" s="553"/>
      <c r="U48" s="368"/>
      <c r="V48" s="399"/>
    </row>
    <row r="49" spans="1:22" x14ac:dyDescent="0.25">
      <c r="A49" s="703"/>
      <c r="B49" s="4"/>
      <c r="C49" s="23"/>
      <c r="D49" s="23"/>
      <c r="E49" s="23"/>
      <c r="F49" s="23"/>
      <c r="G49" s="23"/>
      <c r="H49" s="194"/>
      <c r="I49" s="194"/>
      <c r="J49" s="194"/>
      <c r="K49" s="194"/>
      <c r="L49" s="194"/>
      <c r="O49" s="23"/>
      <c r="P49" s="23"/>
      <c r="Q49" s="23"/>
      <c r="R49" s="25"/>
      <c r="S49" s="23"/>
      <c r="T49" s="23"/>
      <c r="U49" s="23"/>
      <c r="V49" s="23"/>
    </row>
    <row r="50" spans="1:22" x14ac:dyDescent="0.25">
      <c r="A50" s="703"/>
      <c r="B50" s="4" t="s">
        <v>735</v>
      </c>
      <c r="C50" s="23"/>
      <c r="D50" s="23"/>
      <c r="E50" s="23"/>
      <c r="F50" s="23"/>
      <c r="G50" s="23"/>
      <c r="H50" s="194"/>
      <c r="I50" s="194"/>
      <c r="J50" s="194"/>
      <c r="K50" s="194"/>
      <c r="L50" s="194"/>
      <c r="O50" s="597">
        <f>SUM(O34:O48)</f>
        <v>679221</v>
      </c>
      <c r="P50" s="597">
        <f>SUM(P34:P48)</f>
        <v>802776</v>
      </c>
      <c r="Q50" s="25">
        <f>+P50-O50</f>
        <v>123555</v>
      </c>
      <c r="R50" s="598">
        <f>IF(O50+P50&lt;&gt;0,IF(O50&lt;&gt;0,IF(Q50&lt;&gt;0,ROUND((+Q50/O50),4),""),1),"")</f>
        <v>0.18190000000000001</v>
      </c>
      <c r="S50" s="23"/>
      <c r="T50" s="23"/>
      <c r="U50" s="23"/>
      <c r="V50" s="23"/>
    </row>
    <row r="51" spans="1:22" x14ac:dyDescent="0.25">
      <c r="A51" s="703"/>
      <c r="B51" s="4"/>
      <c r="C51" s="23"/>
      <c r="D51" s="23"/>
      <c r="E51" s="23"/>
      <c r="F51" s="23"/>
      <c r="G51" s="23"/>
      <c r="H51" s="23"/>
      <c r="I51" s="23"/>
      <c r="J51" s="23"/>
      <c r="K51" s="23"/>
      <c r="L51" s="23"/>
      <c r="M51" s="23"/>
      <c r="N51" s="23"/>
      <c r="O51" s="23"/>
      <c r="P51" s="23"/>
      <c r="Q51" s="23"/>
      <c r="R51" s="25"/>
      <c r="S51" s="23"/>
      <c r="T51" s="23"/>
      <c r="U51" s="23"/>
      <c r="V51" s="23"/>
    </row>
    <row r="52" spans="1:22" x14ac:dyDescent="0.25">
      <c r="A52" s="703"/>
      <c r="B52" s="4"/>
      <c r="C52" s="23"/>
      <c r="D52" s="23"/>
      <c r="E52" s="23"/>
      <c r="F52" s="23"/>
      <c r="G52" s="23"/>
      <c r="H52" s="23"/>
      <c r="I52" s="23"/>
      <c r="J52" s="23"/>
      <c r="K52" s="23"/>
      <c r="L52" s="23"/>
      <c r="M52" s="23"/>
      <c r="N52" s="23"/>
      <c r="O52" s="23"/>
      <c r="P52" s="23"/>
      <c r="Q52" s="23"/>
      <c r="R52" s="25"/>
      <c r="S52" s="23"/>
      <c r="T52" s="23"/>
      <c r="U52" s="23"/>
      <c r="V52" s="23"/>
    </row>
    <row r="53" spans="1:22" x14ac:dyDescent="0.25">
      <c r="A53" s="703"/>
      <c r="B53" s="4"/>
      <c r="C53" s="23"/>
      <c r="D53" s="23"/>
      <c r="E53" s="23"/>
      <c r="F53" s="23"/>
      <c r="G53" s="23"/>
      <c r="H53" s="23"/>
      <c r="I53" s="23"/>
      <c r="J53" s="23"/>
      <c r="K53" s="23"/>
      <c r="L53" s="23"/>
      <c r="M53" s="23"/>
      <c r="N53" s="23"/>
      <c r="O53" s="23"/>
      <c r="P53" s="23"/>
      <c r="Q53" s="23"/>
      <c r="R53" s="25"/>
      <c r="S53" s="23"/>
      <c r="T53" s="23"/>
      <c r="U53" s="23"/>
      <c r="V53" s="23"/>
    </row>
    <row r="54" spans="1:22" x14ac:dyDescent="0.25">
      <c r="A54" s="703"/>
      <c r="B54" s="4"/>
      <c r="C54" s="23"/>
      <c r="D54" s="23"/>
      <c r="E54" s="23"/>
      <c r="F54" s="23"/>
      <c r="G54" s="23"/>
      <c r="H54" s="23"/>
      <c r="I54" s="23"/>
      <c r="J54" s="23"/>
      <c r="K54" s="23"/>
      <c r="L54" s="23"/>
      <c r="M54" s="23"/>
      <c r="N54" s="23"/>
      <c r="O54" s="23"/>
      <c r="P54" s="23"/>
      <c r="Q54" s="23"/>
      <c r="R54" s="25"/>
      <c r="S54" s="23"/>
      <c r="T54" s="23"/>
      <c r="U54" s="23"/>
      <c r="V54" s="23"/>
    </row>
    <row r="55" spans="1:22" x14ac:dyDescent="0.25">
      <c r="A55" s="703"/>
      <c r="B55" s="4"/>
      <c r="C55" s="23"/>
      <c r="D55" s="23"/>
      <c r="E55" s="23"/>
      <c r="F55" s="23"/>
      <c r="G55" s="23"/>
      <c r="H55" s="23"/>
      <c r="I55" s="23"/>
      <c r="J55" s="23"/>
      <c r="K55" s="23"/>
      <c r="L55" s="23"/>
      <c r="M55" s="23"/>
      <c r="N55" s="23"/>
      <c r="O55" s="23"/>
      <c r="P55" s="23"/>
      <c r="Q55" s="23"/>
      <c r="R55" s="25"/>
      <c r="S55" s="23"/>
      <c r="T55" s="23"/>
      <c r="U55" s="23"/>
      <c r="V55" s="23"/>
    </row>
    <row r="56" spans="1:22" x14ac:dyDescent="0.25">
      <c r="A56" s="703"/>
      <c r="B56" s="4"/>
      <c r="C56" s="23"/>
      <c r="D56" s="23"/>
      <c r="E56" s="23"/>
      <c r="F56" s="23"/>
      <c r="G56" s="23"/>
      <c r="H56" s="23"/>
      <c r="I56" s="23"/>
      <c r="J56" s="23"/>
      <c r="K56" s="23"/>
      <c r="L56" s="23"/>
      <c r="M56" s="23"/>
      <c r="N56" s="23"/>
      <c r="O56" s="23"/>
      <c r="P56" s="23"/>
      <c r="Q56" s="23"/>
      <c r="R56" s="25"/>
      <c r="S56" s="23"/>
      <c r="T56" s="23"/>
      <c r="U56" s="23"/>
      <c r="V56" s="23"/>
    </row>
    <row r="57" spans="1:22" x14ac:dyDescent="0.25">
      <c r="A57" s="703"/>
      <c r="B57" s="4"/>
      <c r="C57" s="23"/>
      <c r="D57" s="23"/>
      <c r="E57" s="23"/>
      <c r="F57" s="23"/>
      <c r="G57" s="23"/>
      <c r="H57" s="23"/>
      <c r="I57" s="23"/>
      <c r="J57" s="23"/>
      <c r="K57" s="23"/>
      <c r="L57" s="23"/>
      <c r="M57" s="23"/>
      <c r="N57" s="23"/>
      <c r="O57" s="23"/>
      <c r="P57" s="23"/>
      <c r="Q57" s="23"/>
      <c r="R57" s="25"/>
      <c r="S57" s="23"/>
      <c r="T57" s="23"/>
      <c r="U57" s="23"/>
      <c r="V57" s="23"/>
    </row>
    <row r="58" spans="1:22" x14ac:dyDescent="0.25">
      <c r="A58" s="703"/>
      <c r="B58" s="4"/>
      <c r="C58" s="23"/>
      <c r="D58" s="23"/>
      <c r="E58" s="23"/>
      <c r="F58" s="23"/>
      <c r="G58" s="23"/>
      <c r="H58" s="23"/>
      <c r="I58" s="23"/>
      <c r="J58" s="23"/>
      <c r="K58" s="23"/>
      <c r="L58" s="23"/>
      <c r="M58" s="23"/>
      <c r="N58" s="23"/>
      <c r="O58" s="23"/>
      <c r="P58" s="23"/>
      <c r="Q58" s="23"/>
      <c r="R58" s="25"/>
      <c r="S58" s="23"/>
      <c r="T58" s="23"/>
      <c r="U58" s="23"/>
      <c r="V58" s="23"/>
    </row>
    <row r="59" spans="1:22" x14ac:dyDescent="0.25">
      <c r="A59" s="703"/>
      <c r="B59" s="4"/>
      <c r="C59" s="23"/>
      <c r="D59" s="23"/>
      <c r="E59" s="23"/>
      <c r="F59" s="23"/>
      <c r="G59" s="23"/>
      <c r="H59" s="23"/>
      <c r="I59" s="23"/>
      <c r="J59" s="23"/>
      <c r="K59" s="23"/>
      <c r="L59" s="23"/>
      <c r="M59" s="23"/>
      <c r="N59" s="23"/>
      <c r="O59" s="23"/>
      <c r="P59" s="23"/>
      <c r="Q59" s="23"/>
      <c r="R59" s="25"/>
      <c r="S59" s="23"/>
      <c r="T59" s="23"/>
      <c r="U59" s="23"/>
      <c r="V59" s="23"/>
    </row>
    <row r="60" spans="1:22" x14ac:dyDescent="0.25">
      <c r="A60" s="703"/>
      <c r="B60" s="4"/>
      <c r="C60" s="23"/>
      <c r="D60" s="23"/>
      <c r="E60" s="23"/>
      <c r="F60" s="23"/>
      <c r="G60" s="23"/>
      <c r="H60" s="23"/>
      <c r="I60" s="23"/>
      <c r="J60" s="23"/>
      <c r="K60" s="23"/>
      <c r="L60" s="23"/>
      <c r="M60" s="23"/>
      <c r="N60" s="23"/>
      <c r="O60" s="23"/>
      <c r="P60" s="23"/>
      <c r="Q60" s="23"/>
      <c r="R60" s="25"/>
      <c r="S60" s="23"/>
      <c r="T60" s="23"/>
      <c r="U60" s="23"/>
      <c r="V60" s="23"/>
    </row>
    <row r="61" spans="1:22" x14ac:dyDescent="0.25">
      <c r="A61" s="703"/>
      <c r="B61" s="4"/>
      <c r="C61" s="23"/>
      <c r="D61" s="23"/>
      <c r="E61" s="23"/>
      <c r="F61" s="23"/>
      <c r="G61" s="23"/>
      <c r="H61" s="23"/>
      <c r="I61" s="23"/>
      <c r="J61" s="23"/>
      <c r="K61" s="23"/>
      <c r="L61" s="23"/>
      <c r="M61" s="23"/>
      <c r="N61" s="23"/>
      <c r="O61" s="23"/>
      <c r="P61" s="23"/>
      <c r="Q61" s="23"/>
      <c r="R61" s="25"/>
      <c r="S61" s="23"/>
      <c r="T61" s="23"/>
      <c r="U61" s="23"/>
      <c r="V61" s="23"/>
    </row>
    <row r="62" spans="1:22" x14ac:dyDescent="0.25">
      <c r="A62" s="703"/>
      <c r="B62" s="4"/>
      <c r="C62" s="23"/>
      <c r="D62" s="23"/>
      <c r="E62" s="23"/>
      <c r="F62" s="23"/>
      <c r="G62" s="23"/>
      <c r="H62" s="23"/>
      <c r="I62" s="23"/>
      <c r="J62" s="23"/>
      <c r="K62" s="23"/>
      <c r="L62" s="23"/>
      <c r="M62" s="23"/>
      <c r="N62" s="23"/>
      <c r="O62" s="23"/>
      <c r="P62" s="23"/>
      <c r="Q62" s="23"/>
      <c r="R62" s="25"/>
      <c r="S62" s="23"/>
      <c r="T62" s="23"/>
      <c r="U62" s="23"/>
      <c r="V62" s="23"/>
    </row>
    <row r="63" spans="1:22" x14ac:dyDescent="0.25">
      <c r="A63" s="703"/>
      <c r="B63" s="4"/>
      <c r="C63" s="23"/>
      <c r="D63" s="23"/>
      <c r="E63" s="23"/>
      <c r="F63" s="23"/>
      <c r="G63" s="23"/>
      <c r="H63" s="23"/>
      <c r="I63" s="23"/>
      <c r="J63" s="23"/>
      <c r="K63" s="23"/>
      <c r="L63" s="23"/>
      <c r="M63" s="23"/>
      <c r="N63" s="23"/>
      <c r="O63" s="23"/>
      <c r="P63" s="23"/>
      <c r="Q63" s="23"/>
      <c r="R63" s="25"/>
      <c r="S63" s="23"/>
      <c r="T63" s="23"/>
      <c r="U63" s="23"/>
      <c r="V63" s="23"/>
    </row>
    <row r="64" spans="1:22" x14ac:dyDescent="0.25">
      <c r="A64" s="703"/>
      <c r="B64" s="4"/>
      <c r="C64" s="23"/>
      <c r="D64" s="23"/>
      <c r="E64" s="23"/>
      <c r="F64" s="23"/>
      <c r="G64" s="23"/>
      <c r="H64" s="23"/>
      <c r="I64" s="23"/>
      <c r="J64" s="23"/>
      <c r="K64" s="23"/>
      <c r="L64" s="23"/>
      <c r="M64" s="23"/>
      <c r="N64" s="23"/>
      <c r="O64" s="23"/>
      <c r="P64" s="23"/>
      <c r="Q64" s="23"/>
      <c r="R64" s="25"/>
      <c r="S64" s="23"/>
      <c r="T64" s="23"/>
      <c r="U64" s="23"/>
      <c r="V64" s="23"/>
    </row>
    <row r="65" spans="1:22" x14ac:dyDescent="0.25">
      <c r="A65" s="703"/>
      <c r="B65" s="4"/>
      <c r="C65" s="23"/>
      <c r="D65" s="23"/>
      <c r="E65" s="23"/>
      <c r="F65" s="23"/>
      <c r="G65" s="23"/>
      <c r="H65" s="23"/>
      <c r="I65" s="23"/>
      <c r="J65" s="23"/>
      <c r="K65" s="23"/>
      <c r="L65" s="23"/>
      <c r="M65" s="23"/>
      <c r="N65" s="23"/>
      <c r="O65" s="23"/>
      <c r="P65" s="23"/>
      <c r="Q65" s="23"/>
      <c r="R65" s="25"/>
      <c r="S65" s="23"/>
      <c r="T65" s="23"/>
      <c r="U65" s="23"/>
      <c r="V65" s="23"/>
    </row>
    <row r="66" spans="1:22" x14ac:dyDescent="0.25">
      <c r="A66" s="703"/>
      <c r="B66" s="4"/>
      <c r="C66" s="23"/>
      <c r="D66" s="23"/>
      <c r="E66" s="23"/>
      <c r="F66" s="23"/>
      <c r="G66" s="23"/>
      <c r="H66" s="23"/>
      <c r="I66" s="23"/>
      <c r="J66" s="23"/>
      <c r="K66" s="23"/>
      <c r="L66" s="23"/>
      <c r="M66" s="23"/>
      <c r="N66" s="23"/>
      <c r="O66" s="23"/>
      <c r="P66" s="23"/>
      <c r="Q66" s="23"/>
      <c r="R66" s="25"/>
      <c r="S66" s="23"/>
      <c r="T66" s="23"/>
      <c r="U66" s="23"/>
      <c r="V66" s="23"/>
    </row>
    <row r="67" spans="1:22" x14ac:dyDescent="0.25">
      <c r="A67" s="703"/>
      <c r="B67" s="4"/>
      <c r="C67" s="23"/>
      <c r="D67" s="23"/>
      <c r="E67" s="23"/>
      <c r="F67" s="23"/>
      <c r="G67" s="23"/>
      <c r="H67" s="23"/>
      <c r="I67" s="23"/>
      <c r="J67" s="23"/>
      <c r="K67" s="23"/>
      <c r="L67" s="23"/>
      <c r="M67" s="23"/>
      <c r="N67" s="23"/>
      <c r="O67" s="23"/>
      <c r="P67" s="23"/>
      <c r="Q67" s="23"/>
      <c r="R67" s="25"/>
      <c r="S67" s="23"/>
      <c r="T67" s="23"/>
      <c r="U67" s="23"/>
      <c r="V67" s="23"/>
    </row>
    <row r="68" spans="1:22" x14ac:dyDescent="0.25">
      <c r="A68" s="703"/>
      <c r="B68" s="4"/>
      <c r="C68" s="23"/>
      <c r="D68" s="23"/>
      <c r="E68" s="23"/>
      <c r="F68" s="23"/>
      <c r="G68" s="23"/>
      <c r="H68" s="23"/>
      <c r="I68" s="23"/>
      <c r="J68" s="23"/>
      <c r="K68" s="23"/>
      <c r="L68" s="23"/>
      <c r="M68" s="23"/>
      <c r="N68" s="23"/>
      <c r="O68" s="23"/>
      <c r="P68" s="23"/>
      <c r="Q68" s="23"/>
      <c r="R68" s="4"/>
      <c r="S68" s="23"/>
      <c r="T68" s="23"/>
      <c r="U68" s="23"/>
      <c r="V68" s="23"/>
    </row>
    <row r="69" spans="1:22" x14ac:dyDescent="0.25">
      <c r="A69" s="703"/>
      <c r="B69" s="4"/>
      <c r="C69" s="23"/>
      <c r="D69" s="23"/>
      <c r="E69" s="23"/>
      <c r="F69" s="23"/>
      <c r="G69" s="23"/>
      <c r="H69" s="23"/>
      <c r="I69" s="23"/>
      <c r="J69" s="23"/>
      <c r="K69" s="23"/>
      <c r="L69" s="23"/>
      <c r="M69" s="23"/>
      <c r="N69" s="23"/>
      <c r="O69" s="23"/>
      <c r="P69" s="23"/>
      <c r="Q69" s="23"/>
      <c r="R69" s="4"/>
      <c r="S69" s="23"/>
      <c r="T69" s="23"/>
      <c r="U69" s="23"/>
      <c r="V69" s="23"/>
    </row>
    <row r="70" spans="1:22" x14ac:dyDescent="0.25">
      <c r="A70" s="703"/>
      <c r="B70" s="4"/>
      <c r="C70" s="23"/>
      <c r="D70" s="23"/>
      <c r="E70" s="23"/>
      <c r="F70" s="23"/>
      <c r="G70" s="23"/>
      <c r="H70" s="23"/>
      <c r="I70" s="23"/>
      <c r="J70" s="23"/>
      <c r="K70" s="23"/>
      <c r="L70" s="23"/>
      <c r="M70" s="23"/>
      <c r="N70" s="23"/>
      <c r="O70" s="23"/>
      <c r="P70" s="23"/>
      <c r="Q70" s="23"/>
      <c r="R70" s="4"/>
      <c r="S70" s="23"/>
      <c r="T70" s="23"/>
      <c r="U70" s="23"/>
      <c r="V70" s="23"/>
    </row>
    <row r="71" spans="1:22" x14ac:dyDescent="0.25">
      <c r="A71" s="703"/>
      <c r="B71" s="4"/>
      <c r="C71" s="23"/>
      <c r="D71" s="23"/>
      <c r="E71" s="23"/>
      <c r="F71" s="23"/>
      <c r="G71" s="23"/>
      <c r="H71" s="23"/>
      <c r="I71" s="23"/>
      <c r="J71" s="23"/>
      <c r="K71" s="23"/>
      <c r="L71" s="23"/>
      <c r="M71" s="23"/>
      <c r="N71" s="23"/>
      <c r="O71" s="23"/>
      <c r="P71" s="23"/>
      <c r="Q71" s="23"/>
      <c r="R71" s="4"/>
      <c r="S71" s="23"/>
      <c r="T71" s="23"/>
      <c r="U71" s="23"/>
      <c r="V71" s="23"/>
    </row>
    <row r="72" spans="1:22" x14ac:dyDescent="0.25">
      <c r="A72" s="703"/>
      <c r="B72" s="4"/>
      <c r="C72" s="23"/>
      <c r="D72" s="23"/>
      <c r="E72" s="23"/>
      <c r="F72" s="23"/>
      <c r="G72" s="23"/>
      <c r="H72" s="23"/>
      <c r="I72" s="23"/>
      <c r="J72" s="23"/>
      <c r="K72" s="23"/>
      <c r="L72" s="23"/>
      <c r="M72" s="23"/>
      <c r="N72" s="23"/>
      <c r="O72" s="23"/>
      <c r="P72" s="23"/>
      <c r="Q72" s="23"/>
      <c r="R72" s="4"/>
      <c r="S72" s="23"/>
      <c r="T72" s="23"/>
      <c r="U72" s="23"/>
      <c r="V72" s="23"/>
    </row>
    <row r="73" spans="1:22" x14ac:dyDescent="0.25">
      <c r="A73" s="703"/>
      <c r="B73" s="4"/>
      <c r="C73" s="23"/>
      <c r="D73" s="23"/>
      <c r="E73" s="23"/>
      <c r="F73" s="23"/>
      <c r="G73" s="23"/>
      <c r="H73" s="23"/>
      <c r="I73" s="23"/>
      <c r="J73" s="23"/>
      <c r="K73" s="23"/>
      <c r="L73" s="23"/>
      <c r="M73" s="23"/>
      <c r="N73" s="23"/>
      <c r="O73" s="23"/>
      <c r="P73" s="23"/>
      <c r="Q73" s="23"/>
      <c r="R73" s="4"/>
      <c r="S73" s="23"/>
      <c r="T73" s="23"/>
      <c r="U73" s="23"/>
      <c r="V73" s="23"/>
    </row>
    <row r="74" spans="1:22" x14ac:dyDescent="0.25">
      <c r="A74" s="703"/>
      <c r="B74" s="4"/>
      <c r="C74" s="23"/>
      <c r="D74" s="23"/>
      <c r="E74" s="23"/>
      <c r="F74" s="23"/>
      <c r="G74" s="23"/>
      <c r="H74" s="23"/>
      <c r="I74" s="23"/>
      <c r="J74" s="23"/>
      <c r="K74" s="23"/>
      <c r="L74" s="23"/>
      <c r="M74" s="23"/>
      <c r="N74" s="23"/>
      <c r="O74" s="23"/>
      <c r="P74" s="23"/>
      <c r="Q74" s="23"/>
      <c r="R74" s="4"/>
      <c r="S74" s="23"/>
      <c r="T74" s="23"/>
      <c r="U74" s="23"/>
      <c r="V74" s="23"/>
    </row>
    <row r="75" spans="1:22" x14ac:dyDescent="0.25">
      <c r="A75" s="703"/>
      <c r="B75" s="4"/>
      <c r="C75" s="23"/>
      <c r="D75" s="23"/>
      <c r="E75" s="23"/>
      <c r="F75" s="23"/>
      <c r="G75" s="23"/>
      <c r="H75" s="23"/>
      <c r="I75" s="23"/>
      <c r="J75" s="23"/>
      <c r="K75" s="23"/>
      <c r="L75" s="23"/>
      <c r="M75" s="23"/>
      <c r="N75" s="23"/>
      <c r="O75" s="23"/>
      <c r="P75" s="23"/>
      <c r="Q75" s="23"/>
      <c r="R75" s="4"/>
      <c r="S75" s="23"/>
      <c r="T75" s="23"/>
      <c r="U75" s="23"/>
      <c r="V75" s="23"/>
    </row>
    <row r="76" spans="1:22" x14ac:dyDescent="0.25">
      <c r="A76" s="703"/>
      <c r="B76" s="4"/>
      <c r="C76" s="23"/>
      <c r="D76" s="23"/>
      <c r="E76" s="23"/>
      <c r="F76" s="23"/>
      <c r="G76" s="23"/>
      <c r="H76" s="23"/>
      <c r="I76" s="23"/>
      <c r="J76" s="23"/>
      <c r="K76" s="23"/>
      <c r="L76" s="23"/>
      <c r="M76" s="23"/>
      <c r="N76" s="23"/>
      <c r="O76" s="23"/>
      <c r="P76" s="23"/>
      <c r="Q76" s="23"/>
      <c r="R76" s="4"/>
      <c r="S76" s="23"/>
      <c r="T76" s="23"/>
      <c r="U76" s="23"/>
      <c r="V76" s="23"/>
    </row>
    <row r="77" spans="1:22" x14ac:dyDescent="0.25">
      <c r="A77" s="703"/>
      <c r="B77" s="4"/>
      <c r="C77" s="23"/>
      <c r="D77" s="23"/>
      <c r="E77" s="23"/>
      <c r="F77" s="23"/>
      <c r="G77" s="23"/>
      <c r="H77" s="23"/>
      <c r="I77" s="23"/>
      <c r="J77" s="23"/>
      <c r="K77" s="23"/>
      <c r="L77" s="23"/>
      <c r="M77" s="23"/>
      <c r="N77" s="23"/>
      <c r="O77" s="23"/>
      <c r="P77" s="23"/>
      <c r="Q77" s="23"/>
      <c r="R77" s="4"/>
      <c r="S77" s="23"/>
      <c r="T77" s="23"/>
      <c r="U77" s="23"/>
      <c r="V77" s="23"/>
    </row>
    <row r="78" spans="1:22" x14ac:dyDescent="0.25">
      <c r="A78" s="703"/>
      <c r="B78" s="4"/>
      <c r="C78" s="23"/>
      <c r="D78" s="23"/>
      <c r="E78" s="23"/>
      <c r="F78" s="23"/>
      <c r="G78" s="23"/>
      <c r="H78" s="23"/>
      <c r="I78" s="23"/>
      <c r="J78" s="23"/>
      <c r="K78" s="23"/>
      <c r="L78" s="23"/>
      <c r="M78" s="23"/>
      <c r="N78" s="23"/>
      <c r="O78" s="23"/>
      <c r="P78" s="23"/>
      <c r="Q78" s="23"/>
      <c r="R78" s="4"/>
      <c r="S78" s="23"/>
      <c r="T78" s="23"/>
      <c r="U78" s="23"/>
      <c r="V78" s="23"/>
    </row>
    <row r="79" spans="1:22" x14ac:dyDescent="0.25">
      <c r="A79" s="703"/>
      <c r="B79" s="4"/>
      <c r="C79" s="23"/>
      <c r="D79" s="23"/>
      <c r="E79" s="23"/>
      <c r="F79" s="23"/>
      <c r="G79" s="23"/>
      <c r="H79" s="23"/>
      <c r="I79" s="23"/>
      <c r="J79" s="23"/>
      <c r="K79" s="23"/>
      <c r="L79" s="23"/>
      <c r="M79" s="23"/>
      <c r="N79" s="23"/>
      <c r="O79" s="23"/>
      <c r="P79" s="23"/>
      <c r="Q79" s="23"/>
      <c r="R79" s="4"/>
      <c r="S79" s="23"/>
      <c r="T79" s="23"/>
      <c r="U79" s="23"/>
      <c r="V79" s="23"/>
    </row>
    <row r="80" spans="1:22" x14ac:dyDescent="0.25">
      <c r="A80" s="703"/>
      <c r="B80" s="4"/>
      <c r="C80" s="23"/>
      <c r="D80" s="23"/>
      <c r="E80" s="23"/>
      <c r="F80" s="23"/>
      <c r="G80" s="23"/>
      <c r="H80" s="23"/>
      <c r="I80" s="23"/>
      <c r="J80" s="23"/>
      <c r="K80" s="23"/>
      <c r="L80" s="23"/>
      <c r="M80" s="23"/>
      <c r="N80" s="23"/>
      <c r="O80" s="23"/>
      <c r="P80" s="23"/>
      <c r="Q80" s="23"/>
      <c r="R80" s="4"/>
      <c r="S80" s="23"/>
      <c r="T80" s="23"/>
      <c r="U80" s="23"/>
      <c r="V80" s="23"/>
    </row>
    <row r="81" spans="1:22" x14ac:dyDescent="0.25">
      <c r="A81" s="703"/>
      <c r="B81" s="4"/>
      <c r="C81" s="23"/>
      <c r="D81" s="23"/>
      <c r="E81" s="23"/>
      <c r="F81" s="23"/>
      <c r="G81" s="23"/>
      <c r="H81" s="23"/>
      <c r="I81" s="23"/>
      <c r="J81" s="23"/>
      <c r="K81" s="23"/>
      <c r="L81" s="23"/>
      <c r="M81" s="23"/>
      <c r="N81" s="23"/>
      <c r="O81" s="23"/>
      <c r="P81" s="23"/>
      <c r="Q81" s="23"/>
      <c r="R81" s="4"/>
      <c r="S81" s="23"/>
      <c r="T81" s="23"/>
      <c r="U81" s="23"/>
      <c r="V81" s="23"/>
    </row>
    <row r="82" spans="1:22" x14ac:dyDescent="0.25">
      <c r="A82" s="703"/>
      <c r="B82" s="4"/>
      <c r="C82" s="23"/>
      <c r="D82" s="23"/>
      <c r="E82" s="23"/>
      <c r="F82" s="23"/>
      <c r="G82" s="23"/>
      <c r="H82" s="23"/>
      <c r="I82" s="23"/>
      <c r="J82" s="23"/>
      <c r="K82" s="23"/>
      <c r="L82" s="23"/>
      <c r="M82" s="23"/>
      <c r="N82" s="23"/>
      <c r="O82" s="23"/>
      <c r="P82" s="23"/>
      <c r="Q82" s="23"/>
      <c r="R82" s="4"/>
      <c r="S82" s="23"/>
      <c r="T82" s="23"/>
      <c r="U82" s="23"/>
      <c r="V82" s="23"/>
    </row>
    <row r="83" spans="1:22" x14ac:dyDescent="0.25">
      <c r="A83" s="703"/>
      <c r="B83" s="4"/>
      <c r="C83" s="23"/>
      <c r="D83" s="23"/>
      <c r="E83" s="23"/>
      <c r="F83" s="23"/>
      <c r="G83" s="23"/>
      <c r="H83" s="23"/>
      <c r="I83" s="23"/>
      <c r="J83" s="23"/>
      <c r="K83" s="23"/>
      <c r="L83" s="23"/>
      <c r="M83" s="23"/>
      <c r="N83" s="23"/>
      <c r="O83" s="23"/>
      <c r="P83" s="23"/>
      <c r="Q83" s="23"/>
      <c r="R83" s="4"/>
      <c r="S83" s="23"/>
      <c r="T83" s="23"/>
      <c r="U83" s="23"/>
      <c r="V83" s="23"/>
    </row>
    <row r="84" spans="1:22" x14ac:dyDescent="0.25">
      <c r="A84" s="703"/>
      <c r="B84" s="4"/>
      <c r="C84" s="23"/>
      <c r="D84" s="23"/>
      <c r="E84" s="23"/>
      <c r="F84" s="23"/>
      <c r="G84" s="23"/>
      <c r="H84" s="23"/>
      <c r="I84" s="23"/>
      <c r="J84" s="23"/>
      <c r="K84" s="23"/>
      <c r="L84" s="23"/>
      <c r="M84" s="23"/>
      <c r="N84" s="23"/>
      <c r="O84" s="23"/>
      <c r="P84" s="23"/>
      <c r="Q84" s="23"/>
      <c r="R84" s="4"/>
      <c r="S84" s="23"/>
      <c r="T84" s="23"/>
      <c r="U84" s="23"/>
      <c r="V84" s="23"/>
    </row>
    <row r="85" spans="1:22" x14ac:dyDescent="0.25">
      <c r="A85" s="703"/>
      <c r="B85" s="4"/>
      <c r="C85" s="23"/>
      <c r="D85" s="23"/>
      <c r="E85" s="23"/>
      <c r="F85" s="23"/>
      <c r="G85" s="23"/>
      <c r="H85" s="23"/>
      <c r="I85" s="23"/>
      <c r="J85" s="23"/>
      <c r="K85" s="23"/>
      <c r="L85" s="23"/>
      <c r="M85" s="23"/>
      <c r="N85" s="23"/>
      <c r="O85" s="23"/>
      <c r="P85" s="23"/>
      <c r="Q85" s="23"/>
      <c r="R85" s="4"/>
      <c r="S85" s="23"/>
      <c r="T85" s="23"/>
      <c r="U85" s="23"/>
      <c r="V85" s="23"/>
    </row>
    <row r="86" spans="1:22" x14ac:dyDescent="0.25">
      <c r="A86" s="703"/>
      <c r="B86" s="4"/>
      <c r="C86" s="23"/>
      <c r="D86" s="23"/>
      <c r="E86" s="23"/>
      <c r="F86" s="23"/>
      <c r="G86" s="23"/>
      <c r="H86" s="23"/>
      <c r="I86" s="23"/>
      <c r="J86" s="23"/>
      <c r="K86" s="23"/>
      <c r="L86" s="23"/>
      <c r="M86" s="23"/>
      <c r="N86" s="23"/>
      <c r="O86" s="23"/>
      <c r="P86" s="23"/>
      <c r="Q86" s="23"/>
      <c r="R86" s="4"/>
      <c r="S86" s="23"/>
      <c r="T86" s="23"/>
      <c r="U86" s="23"/>
      <c r="V86" s="23"/>
    </row>
    <row r="87" spans="1:22" x14ac:dyDescent="0.25">
      <c r="A87" s="703"/>
      <c r="B87" s="4"/>
      <c r="C87" s="23"/>
      <c r="D87" s="23"/>
      <c r="E87" s="23"/>
      <c r="F87" s="23"/>
      <c r="G87" s="23"/>
      <c r="H87" s="23"/>
      <c r="I87" s="23"/>
      <c r="J87" s="23"/>
      <c r="K87" s="23"/>
      <c r="L87" s="23"/>
      <c r="M87" s="23"/>
      <c r="N87" s="23"/>
      <c r="O87" s="23"/>
      <c r="P87" s="23"/>
      <c r="Q87" s="23"/>
      <c r="R87" s="4"/>
      <c r="S87" s="23"/>
      <c r="T87" s="23"/>
      <c r="U87" s="23"/>
      <c r="V87" s="23"/>
    </row>
    <row r="88" spans="1:22" x14ac:dyDescent="0.25">
      <c r="A88" s="703"/>
      <c r="B88" s="4"/>
      <c r="C88" s="23"/>
      <c r="D88" s="23"/>
      <c r="E88" s="23"/>
      <c r="F88" s="23"/>
      <c r="G88" s="23"/>
      <c r="H88" s="23"/>
      <c r="I88" s="23"/>
      <c r="J88" s="23"/>
      <c r="K88" s="23"/>
      <c r="L88" s="23"/>
      <c r="M88" s="23"/>
      <c r="N88" s="23"/>
      <c r="O88" s="23"/>
      <c r="P88" s="23"/>
      <c r="Q88" s="23"/>
      <c r="R88" s="4"/>
      <c r="S88" s="23"/>
      <c r="T88" s="23"/>
      <c r="U88" s="23"/>
      <c r="V88" s="23"/>
    </row>
    <row r="89" spans="1:22" x14ac:dyDescent="0.25">
      <c r="A89" s="703"/>
      <c r="B89" s="4"/>
      <c r="C89" s="23"/>
      <c r="D89" s="23"/>
      <c r="E89" s="23"/>
      <c r="F89" s="23"/>
      <c r="G89" s="23"/>
      <c r="H89" s="23"/>
      <c r="I89" s="23"/>
      <c r="J89" s="23"/>
      <c r="K89" s="23"/>
      <c r="L89" s="23"/>
      <c r="M89" s="23"/>
      <c r="N89" s="23"/>
      <c r="O89" s="23"/>
      <c r="P89" s="23"/>
      <c r="Q89" s="23"/>
      <c r="R89" s="4"/>
      <c r="S89" s="23"/>
      <c r="T89" s="23"/>
      <c r="U89" s="23"/>
      <c r="V89" s="23"/>
    </row>
    <row r="90" spans="1:22" x14ac:dyDescent="0.25">
      <c r="A90" s="703"/>
      <c r="B90" s="4"/>
      <c r="C90" s="23"/>
      <c r="D90" s="23"/>
      <c r="E90" s="23"/>
      <c r="F90" s="23"/>
      <c r="G90" s="23"/>
      <c r="H90" s="23"/>
      <c r="I90" s="23"/>
      <c r="J90" s="23"/>
      <c r="K90" s="23"/>
      <c r="L90" s="23"/>
      <c r="M90" s="23"/>
      <c r="N90" s="23"/>
      <c r="O90" s="23"/>
      <c r="P90" s="23"/>
      <c r="Q90" s="23"/>
      <c r="R90" s="4"/>
      <c r="S90" s="23"/>
      <c r="T90" s="23"/>
      <c r="U90" s="23"/>
      <c r="V90" s="23"/>
    </row>
    <row r="91" spans="1:22" x14ac:dyDescent="0.25">
      <c r="A91" s="703"/>
      <c r="B91" s="4"/>
      <c r="C91" s="23"/>
      <c r="D91" s="23"/>
      <c r="E91" s="23"/>
      <c r="F91" s="23"/>
      <c r="G91" s="23"/>
      <c r="H91" s="23"/>
      <c r="I91" s="23"/>
      <c r="J91" s="23"/>
      <c r="K91" s="23"/>
      <c r="L91" s="23"/>
      <c r="M91" s="23"/>
      <c r="N91" s="23"/>
      <c r="O91" s="23"/>
      <c r="P91" s="23"/>
      <c r="Q91" s="23"/>
      <c r="R91" s="4"/>
      <c r="S91" s="23"/>
      <c r="T91" s="23"/>
      <c r="U91" s="23"/>
      <c r="V91" s="23"/>
    </row>
    <row r="92" spans="1:22" x14ac:dyDescent="0.25">
      <c r="A92" s="703"/>
      <c r="B92" s="4"/>
      <c r="C92" s="23"/>
      <c r="D92" s="23"/>
      <c r="E92" s="23"/>
      <c r="F92" s="23"/>
      <c r="G92" s="23"/>
      <c r="H92" s="23"/>
      <c r="I92" s="23"/>
      <c r="J92" s="23"/>
      <c r="K92" s="23"/>
      <c r="L92" s="23"/>
      <c r="M92" s="23"/>
      <c r="N92" s="23"/>
      <c r="O92" s="23"/>
      <c r="P92" s="23"/>
      <c r="Q92" s="23"/>
      <c r="R92" s="4"/>
      <c r="S92" s="23"/>
      <c r="T92" s="23"/>
      <c r="U92" s="23"/>
      <c r="V92" s="23"/>
    </row>
    <row r="93" spans="1:22" x14ac:dyDescent="0.25">
      <c r="A93" s="703"/>
      <c r="B93" s="4"/>
      <c r="C93" s="23"/>
      <c r="D93" s="23"/>
      <c r="E93" s="23"/>
      <c r="F93" s="23"/>
      <c r="G93" s="23"/>
      <c r="H93" s="23"/>
      <c r="I93" s="23"/>
      <c r="J93" s="23"/>
      <c r="K93" s="23"/>
      <c r="L93" s="23"/>
      <c r="M93" s="23"/>
      <c r="N93" s="23"/>
      <c r="O93" s="23"/>
      <c r="P93" s="23"/>
      <c r="Q93" s="23"/>
      <c r="R93" s="4"/>
      <c r="S93" s="23"/>
      <c r="T93" s="23"/>
      <c r="U93" s="23"/>
      <c r="V93" s="23"/>
    </row>
    <row r="94" spans="1:22" x14ac:dyDescent="0.25">
      <c r="A94" s="703"/>
      <c r="B94" s="4"/>
      <c r="C94" s="23"/>
      <c r="D94" s="23"/>
      <c r="E94" s="23"/>
      <c r="F94" s="23"/>
      <c r="G94" s="23"/>
      <c r="H94" s="23"/>
      <c r="I94" s="23"/>
      <c r="J94" s="23"/>
      <c r="K94" s="23"/>
      <c r="L94" s="23"/>
      <c r="M94" s="23"/>
      <c r="N94" s="23"/>
      <c r="O94" s="23"/>
      <c r="P94" s="23"/>
      <c r="Q94" s="23"/>
      <c r="R94" s="4"/>
      <c r="S94" s="23"/>
      <c r="T94" s="23"/>
      <c r="U94" s="23"/>
      <c r="V94" s="23"/>
    </row>
    <row r="95" spans="1:22" x14ac:dyDescent="0.25">
      <c r="A95" s="703"/>
      <c r="B95" s="4"/>
      <c r="C95" s="23"/>
      <c r="D95" s="23"/>
      <c r="E95" s="23"/>
      <c r="F95" s="23"/>
      <c r="G95" s="23"/>
      <c r="H95" s="23"/>
      <c r="I95" s="23"/>
      <c r="J95" s="23"/>
      <c r="K95" s="23"/>
      <c r="L95" s="23"/>
      <c r="M95" s="23"/>
      <c r="N95" s="23"/>
      <c r="O95" s="23"/>
      <c r="P95" s="23"/>
      <c r="Q95" s="23"/>
      <c r="R95" s="4"/>
      <c r="S95" s="23"/>
      <c r="T95" s="23"/>
      <c r="U95" s="23"/>
      <c r="V95" s="23"/>
    </row>
    <row r="96" spans="1:22" x14ac:dyDescent="0.25">
      <c r="A96" s="703"/>
      <c r="B96" s="4"/>
      <c r="C96" s="23"/>
      <c r="D96" s="23"/>
      <c r="E96" s="23"/>
      <c r="F96" s="23"/>
      <c r="G96" s="23"/>
      <c r="H96" s="23"/>
      <c r="I96" s="23"/>
      <c r="J96" s="23"/>
      <c r="K96" s="23"/>
      <c r="L96" s="23"/>
      <c r="M96" s="23"/>
      <c r="N96" s="23"/>
      <c r="O96" s="23"/>
      <c r="P96" s="23"/>
      <c r="Q96" s="23"/>
      <c r="R96" s="4"/>
      <c r="S96" s="23"/>
      <c r="T96" s="23"/>
      <c r="U96" s="23"/>
      <c r="V96" s="23"/>
    </row>
    <row r="97" spans="1:22" x14ac:dyDescent="0.25">
      <c r="A97" s="703"/>
      <c r="B97" s="4"/>
      <c r="C97" s="23"/>
      <c r="D97" s="23"/>
      <c r="E97" s="23"/>
      <c r="F97" s="23"/>
      <c r="G97" s="23"/>
      <c r="H97" s="23"/>
      <c r="I97" s="23"/>
      <c r="J97" s="23"/>
      <c r="K97" s="23"/>
      <c r="L97" s="23"/>
      <c r="M97" s="23"/>
      <c r="N97" s="23"/>
      <c r="O97" s="23"/>
      <c r="P97" s="23"/>
      <c r="Q97" s="23"/>
      <c r="R97" s="4"/>
      <c r="S97" s="23"/>
      <c r="T97" s="23"/>
      <c r="U97" s="23"/>
      <c r="V97" s="23"/>
    </row>
    <row r="98" spans="1:22" x14ac:dyDescent="0.25">
      <c r="A98" s="703"/>
      <c r="B98" s="4"/>
      <c r="C98" s="23"/>
      <c r="D98" s="23"/>
      <c r="E98" s="23"/>
      <c r="F98" s="23"/>
      <c r="G98" s="23"/>
      <c r="H98" s="23"/>
      <c r="I98" s="23"/>
      <c r="J98" s="23"/>
      <c r="K98" s="23"/>
      <c r="L98" s="23"/>
      <c r="M98" s="23"/>
      <c r="N98" s="23"/>
      <c r="O98" s="23"/>
      <c r="P98" s="23"/>
      <c r="Q98" s="23"/>
      <c r="R98" s="4"/>
      <c r="S98" s="23"/>
      <c r="T98" s="23"/>
      <c r="U98" s="23"/>
      <c r="V98" s="23"/>
    </row>
    <row r="99" spans="1:22" x14ac:dyDescent="0.25">
      <c r="A99" s="703"/>
      <c r="B99" s="4"/>
      <c r="C99" s="23"/>
      <c r="D99" s="23"/>
      <c r="E99" s="23"/>
      <c r="F99" s="23"/>
      <c r="G99" s="23"/>
      <c r="H99" s="23"/>
      <c r="I99" s="23"/>
      <c r="J99" s="23"/>
      <c r="K99" s="23"/>
      <c r="L99" s="23"/>
      <c r="M99" s="23"/>
      <c r="N99" s="23"/>
      <c r="O99" s="23"/>
      <c r="P99" s="23"/>
      <c r="Q99" s="23"/>
      <c r="R99" s="4"/>
      <c r="S99" s="23"/>
      <c r="T99" s="23"/>
      <c r="U99" s="23"/>
      <c r="V99" s="23"/>
    </row>
    <row r="100" spans="1:22" x14ac:dyDescent="0.25">
      <c r="A100" s="703"/>
      <c r="B100" s="4"/>
      <c r="C100" s="23"/>
      <c r="D100" s="23"/>
      <c r="E100" s="23"/>
      <c r="F100" s="23"/>
      <c r="G100" s="23"/>
      <c r="H100" s="23"/>
      <c r="I100" s="23"/>
      <c r="J100" s="23"/>
      <c r="K100" s="23"/>
      <c r="L100" s="23"/>
      <c r="M100" s="23"/>
      <c r="N100" s="23"/>
      <c r="O100" s="23"/>
      <c r="P100" s="23"/>
      <c r="Q100" s="23"/>
      <c r="R100" s="4"/>
      <c r="S100" s="23"/>
      <c r="T100" s="23"/>
      <c r="U100" s="23"/>
      <c r="V100" s="23"/>
    </row>
    <row r="101" spans="1:22" x14ac:dyDescent="0.25">
      <c r="A101" s="703"/>
      <c r="B101" s="4"/>
      <c r="C101" s="23"/>
      <c r="D101" s="23"/>
      <c r="E101" s="23"/>
      <c r="F101" s="23"/>
      <c r="G101" s="23"/>
      <c r="H101" s="23"/>
      <c r="I101" s="23"/>
      <c r="J101" s="23"/>
      <c r="K101" s="23"/>
      <c r="L101" s="23"/>
      <c r="M101" s="23"/>
      <c r="N101" s="23"/>
      <c r="O101" s="23"/>
      <c r="P101" s="23"/>
      <c r="Q101" s="23"/>
      <c r="R101" s="4"/>
      <c r="S101" s="23"/>
      <c r="T101" s="23"/>
      <c r="U101" s="23"/>
      <c r="V101" s="23"/>
    </row>
    <row r="102" spans="1:22" x14ac:dyDescent="0.25">
      <c r="A102" s="703"/>
      <c r="B102" s="4"/>
      <c r="C102" s="23"/>
      <c r="D102" s="23"/>
      <c r="E102" s="23"/>
      <c r="F102" s="23"/>
      <c r="G102" s="23"/>
      <c r="H102" s="23"/>
      <c r="I102" s="23"/>
      <c r="J102" s="23"/>
      <c r="K102" s="23"/>
      <c r="L102" s="23"/>
      <c r="M102" s="23"/>
      <c r="N102" s="23"/>
      <c r="O102" s="23"/>
      <c r="P102" s="23"/>
      <c r="Q102" s="23"/>
      <c r="R102" s="4"/>
      <c r="S102" s="23"/>
      <c r="T102" s="23"/>
      <c r="U102" s="23"/>
      <c r="V102" s="23"/>
    </row>
    <row r="103" spans="1:22" x14ac:dyDescent="0.25">
      <c r="A103" s="703"/>
      <c r="B103" s="4"/>
      <c r="C103" s="23"/>
      <c r="D103" s="23"/>
      <c r="E103" s="23"/>
      <c r="F103" s="23"/>
      <c r="G103" s="23"/>
      <c r="H103" s="23"/>
      <c r="I103" s="23"/>
      <c r="J103" s="23"/>
      <c r="K103" s="23"/>
      <c r="L103" s="23"/>
      <c r="M103" s="23"/>
      <c r="N103" s="23"/>
      <c r="O103" s="23"/>
      <c r="P103" s="23"/>
      <c r="Q103" s="23"/>
      <c r="R103" s="4"/>
      <c r="S103" s="23"/>
      <c r="T103" s="23"/>
      <c r="U103" s="23"/>
      <c r="V103" s="23"/>
    </row>
    <row r="104" spans="1:22" x14ac:dyDescent="0.25">
      <c r="A104" s="703"/>
      <c r="B104" s="4"/>
      <c r="C104" s="23"/>
      <c r="D104" s="23"/>
      <c r="E104" s="23"/>
      <c r="F104" s="23"/>
      <c r="G104" s="23"/>
      <c r="H104" s="23"/>
      <c r="I104" s="23"/>
      <c r="J104" s="23"/>
      <c r="K104" s="23"/>
      <c r="L104" s="23"/>
      <c r="M104" s="23"/>
      <c r="N104" s="23"/>
      <c r="O104" s="23"/>
      <c r="P104" s="23"/>
      <c r="Q104" s="23"/>
      <c r="R104" s="4"/>
      <c r="S104" s="23"/>
      <c r="T104" s="23"/>
      <c r="U104" s="23"/>
      <c r="V104" s="23"/>
    </row>
    <row r="105" spans="1:22" x14ac:dyDescent="0.25">
      <c r="A105" s="703"/>
      <c r="B105" s="4"/>
      <c r="C105" s="23"/>
      <c r="D105" s="23"/>
      <c r="E105" s="23"/>
      <c r="F105" s="23"/>
      <c r="G105" s="23"/>
      <c r="H105" s="23"/>
      <c r="I105" s="23"/>
      <c r="J105" s="23"/>
      <c r="K105" s="23"/>
      <c r="L105" s="23"/>
      <c r="M105" s="23"/>
      <c r="N105" s="23"/>
      <c r="O105" s="23"/>
      <c r="P105" s="23"/>
      <c r="Q105" s="23"/>
      <c r="R105" s="4"/>
      <c r="S105" s="23"/>
      <c r="T105" s="23"/>
      <c r="U105" s="23"/>
      <c r="V105" s="23"/>
    </row>
    <row r="106" spans="1:22" x14ac:dyDescent="0.25">
      <c r="A106" s="703"/>
      <c r="B106" s="4"/>
      <c r="C106" s="23"/>
      <c r="D106" s="23"/>
      <c r="E106" s="23"/>
      <c r="F106" s="23"/>
      <c r="G106" s="23"/>
      <c r="H106" s="23"/>
      <c r="I106" s="23"/>
      <c r="J106" s="23"/>
      <c r="K106" s="23"/>
      <c r="L106" s="23"/>
      <c r="M106" s="23"/>
      <c r="N106" s="23"/>
      <c r="O106" s="23"/>
      <c r="P106" s="23"/>
      <c r="Q106" s="23"/>
      <c r="R106" s="4"/>
      <c r="S106" s="23"/>
      <c r="T106" s="23"/>
      <c r="U106" s="23"/>
      <c r="V106" s="23"/>
    </row>
    <row r="107" spans="1:22" x14ac:dyDescent="0.25">
      <c r="A107" s="703"/>
      <c r="B107" s="4"/>
      <c r="C107" s="23"/>
      <c r="D107" s="23"/>
      <c r="E107" s="23"/>
      <c r="F107" s="23"/>
      <c r="G107" s="23"/>
      <c r="H107" s="23"/>
      <c r="I107" s="23"/>
      <c r="J107" s="23"/>
      <c r="K107" s="23"/>
      <c r="L107" s="23"/>
      <c r="M107" s="23"/>
      <c r="N107" s="23"/>
      <c r="O107" s="23"/>
      <c r="P107" s="23"/>
      <c r="Q107" s="23"/>
      <c r="R107" s="4"/>
      <c r="S107" s="23"/>
      <c r="T107" s="23"/>
      <c r="U107" s="23"/>
      <c r="V107" s="23"/>
    </row>
    <row r="108" spans="1:22" x14ac:dyDescent="0.25">
      <c r="A108" s="703"/>
      <c r="B108" s="4"/>
      <c r="C108" s="23"/>
      <c r="D108" s="23"/>
      <c r="E108" s="23"/>
      <c r="F108" s="23"/>
      <c r="G108" s="23"/>
      <c r="H108" s="23"/>
      <c r="I108" s="23"/>
      <c r="J108" s="23"/>
      <c r="K108" s="23"/>
      <c r="L108" s="23"/>
      <c r="M108" s="23"/>
      <c r="N108" s="23"/>
      <c r="O108" s="23"/>
      <c r="P108" s="23"/>
      <c r="Q108" s="23"/>
      <c r="R108" s="4"/>
      <c r="S108" s="23"/>
      <c r="T108" s="23"/>
      <c r="U108" s="23"/>
      <c r="V108" s="23"/>
    </row>
    <row r="109" spans="1:22" x14ac:dyDescent="0.25">
      <c r="A109" s="703"/>
      <c r="B109" s="4"/>
      <c r="C109" s="23"/>
      <c r="D109" s="23"/>
      <c r="E109" s="23"/>
      <c r="F109" s="23"/>
      <c r="G109" s="23"/>
      <c r="H109" s="23"/>
      <c r="I109" s="23"/>
      <c r="J109" s="23"/>
      <c r="K109" s="23"/>
      <c r="L109" s="23"/>
      <c r="M109" s="23"/>
      <c r="N109" s="23"/>
      <c r="O109" s="23"/>
      <c r="P109" s="23"/>
      <c r="Q109" s="23"/>
      <c r="R109" s="4"/>
      <c r="S109" s="23"/>
      <c r="T109" s="23"/>
      <c r="U109" s="23"/>
      <c r="V109" s="23"/>
    </row>
    <row r="110" spans="1:22" x14ac:dyDescent="0.25">
      <c r="A110" s="703"/>
      <c r="B110" s="4"/>
      <c r="C110" s="23"/>
      <c r="D110" s="23"/>
      <c r="E110" s="23"/>
      <c r="F110" s="23"/>
      <c r="G110" s="23"/>
      <c r="H110" s="23"/>
      <c r="I110" s="23"/>
      <c r="J110" s="23"/>
      <c r="K110" s="23"/>
      <c r="L110" s="23"/>
      <c r="M110" s="23"/>
      <c r="N110" s="23"/>
      <c r="O110" s="23"/>
      <c r="P110" s="23"/>
      <c r="Q110" s="23"/>
      <c r="R110" s="4"/>
      <c r="S110" s="23"/>
      <c r="T110" s="23"/>
      <c r="U110" s="23"/>
      <c r="V110" s="23"/>
    </row>
    <row r="111" spans="1:22" x14ac:dyDescent="0.25">
      <c r="A111" s="703"/>
      <c r="B111" s="4"/>
      <c r="C111" s="23"/>
      <c r="D111" s="23"/>
      <c r="E111" s="23"/>
      <c r="F111" s="23"/>
      <c r="G111" s="23"/>
      <c r="H111" s="23"/>
      <c r="I111" s="23"/>
      <c r="J111" s="23"/>
      <c r="K111" s="23"/>
      <c r="L111" s="23"/>
      <c r="M111" s="23"/>
      <c r="N111" s="23"/>
      <c r="O111" s="23"/>
      <c r="P111" s="23"/>
      <c r="Q111" s="23"/>
      <c r="R111" s="4"/>
      <c r="S111" s="23"/>
      <c r="T111" s="23"/>
      <c r="U111" s="23"/>
      <c r="V111" s="23"/>
    </row>
    <row r="112" spans="1:22" x14ac:dyDescent="0.25">
      <c r="A112" s="703"/>
      <c r="B112" s="4"/>
      <c r="C112" s="23"/>
      <c r="D112" s="23"/>
      <c r="E112" s="23"/>
      <c r="F112" s="23"/>
      <c r="G112" s="23"/>
      <c r="H112" s="23"/>
      <c r="I112" s="23"/>
      <c r="J112" s="23"/>
      <c r="K112" s="23"/>
      <c r="L112" s="23"/>
      <c r="M112" s="23"/>
      <c r="N112" s="23"/>
      <c r="O112" s="23"/>
      <c r="P112" s="23"/>
      <c r="Q112" s="23"/>
      <c r="R112" s="4"/>
      <c r="S112" s="23"/>
      <c r="T112" s="23"/>
      <c r="U112" s="23"/>
      <c r="V112" s="23"/>
    </row>
    <row r="113" spans="1:22" x14ac:dyDescent="0.25">
      <c r="A113" s="703"/>
      <c r="B113" s="4"/>
      <c r="C113" s="23"/>
      <c r="D113" s="23"/>
      <c r="E113" s="23"/>
      <c r="F113" s="23"/>
      <c r="G113" s="23"/>
      <c r="H113" s="23"/>
      <c r="I113" s="23"/>
      <c r="J113" s="23"/>
      <c r="K113" s="23"/>
      <c r="L113" s="23"/>
      <c r="M113" s="23"/>
      <c r="N113" s="23"/>
      <c r="O113" s="23"/>
      <c r="P113" s="23"/>
      <c r="Q113" s="23"/>
      <c r="R113" s="4"/>
      <c r="S113" s="23"/>
      <c r="T113" s="23"/>
      <c r="U113" s="23"/>
      <c r="V113" s="23"/>
    </row>
    <row r="114" spans="1:22" x14ac:dyDescent="0.25">
      <c r="A114" s="703"/>
      <c r="B114" s="4"/>
      <c r="C114" s="23"/>
      <c r="D114" s="23"/>
      <c r="E114" s="23"/>
      <c r="F114" s="23"/>
      <c r="G114" s="23"/>
      <c r="H114" s="23"/>
      <c r="I114" s="23"/>
      <c r="J114" s="23"/>
      <c r="K114" s="23"/>
      <c r="L114" s="23"/>
      <c r="M114" s="23"/>
      <c r="N114" s="23"/>
      <c r="O114" s="23"/>
      <c r="P114" s="23"/>
      <c r="Q114" s="23"/>
      <c r="R114" s="4"/>
      <c r="S114" s="23"/>
      <c r="T114" s="23"/>
      <c r="U114" s="23"/>
      <c r="V114" s="23"/>
    </row>
    <row r="115" spans="1:22" x14ac:dyDescent="0.25">
      <c r="A115" s="703"/>
      <c r="B115" s="4"/>
      <c r="C115" s="23"/>
      <c r="D115" s="23"/>
      <c r="E115" s="23"/>
      <c r="F115" s="23"/>
      <c r="G115" s="23"/>
      <c r="H115" s="23"/>
      <c r="I115" s="23"/>
      <c r="J115" s="23"/>
      <c r="K115" s="23"/>
      <c r="L115" s="23"/>
      <c r="M115" s="23"/>
      <c r="N115" s="23"/>
      <c r="O115" s="23"/>
      <c r="P115" s="23"/>
      <c r="Q115" s="23"/>
      <c r="R115" s="4"/>
      <c r="S115" s="23"/>
      <c r="T115" s="23"/>
      <c r="U115" s="23"/>
      <c r="V115" s="23"/>
    </row>
    <row r="116" spans="1:22" x14ac:dyDescent="0.25">
      <c r="A116" s="703"/>
      <c r="B116" s="4"/>
      <c r="C116" s="23"/>
      <c r="D116" s="23"/>
      <c r="E116" s="23"/>
      <c r="F116" s="23"/>
      <c r="G116" s="23"/>
      <c r="H116" s="23"/>
      <c r="I116" s="23"/>
      <c r="J116" s="23"/>
      <c r="K116" s="23"/>
      <c r="L116" s="23"/>
      <c r="M116" s="23"/>
      <c r="N116" s="23"/>
      <c r="O116" s="23"/>
      <c r="P116" s="23"/>
      <c r="Q116" s="23"/>
      <c r="R116" s="4"/>
      <c r="S116" s="23"/>
      <c r="T116" s="23"/>
      <c r="U116" s="23"/>
      <c r="V116" s="23"/>
    </row>
    <row r="117" spans="1:22" x14ac:dyDescent="0.25">
      <c r="A117" s="703"/>
      <c r="B117" s="4"/>
      <c r="C117" s="23"/>
      <c r="D117" s="23"/>
      <c r="E117" s="23"/>
      <c r="F117" s="23"/>
      <c r="G117" s="23"/>
      <c r="H117" s="23"/>
      <c r="I117" s="23"/>
      <c r="J117" s="23"/>
      <c r="K117" s="23"/>
      <c r="L117" s="23"/>
      <c r="M117" s="23"/>
      <c r="N117" s="23"/>
      <c r="O117" s="23"/>
      <c r="P117" s="23"/>
      <c r="Q117" s="23"/>
      <c r="R117" s="4"/>
      <c r="S117" s="23"/>
      <c r="T117" s="23"/>
      <c r="U117" s="23"/>
      <c r="V117" s="23"/>
    </row>
    <row r="118" spans="1:22" x14ac:dyDescent="0.25">
      <c r="A118" s="703"/>
      <c r="B118" s="4"/>
      <c r="C118" s="23"/>
      <c r="D118" s="23"/>
      <c r="E118" s="23"/>
      <c r="F118" s="23"/>
      <c r="G118" s="23"/>
      <c r="H118" s="23"/>
      <c r="I118" s="23"/>
      <c r="J118" s="23"/>
      <c r="K118" s="23"/>
      <c r="L118" s="23"/>
      <c r="M118" s="23"/>
      <c r="N118" s="23"/>
      <c r="O118" s="23"/>
      <c r="P118" s="23"/>
      <c r="Q118" s="23"/>
      <c r="R118" s="4"/>
      <c r="S118" s="23"/>
      <c r="T118" s="23"/>
      <c r="U118" s="23"/>
      <c r="V118" s="23"/>
    </row>
    <row r="119" spans="1:22" x14ac:dyDescent="0.25">
      <c r="A119" s="703"/>
      <c r="B119" s="4"/>
      <c r="C119" s="23"/>
      <c r="D119" s="23"/>
      <c r="E119" s="23"/>
      <c r="F119" s="23"/>
      <c r="G119" s="23"/>
      <c r="H119" s="23"/>
      <c r="I119" s="23"/>
      <c r="J119" s="23"/>
      <c r="K119" s="23"/>
      <c r="L119" s="23"/>
      <c r="M119" s="23"/>
      <c r="N119" s="23"/>
      <c r="O119" s="23"/>
      <c r="P119" s="23"/>
      <c r="Q119" s="23"/>
      <c r="R119" s="4"/>
      <c r="S119" s="23"/>
      <c r="T119" s="23"/>
      <c r="U119" s="23"/>
      <c r="V119" s="23"/>
    </row>
    <row r="120" spans="1:22" x14ac:dyDescent="0.25">
      <c r="A120" s="703"/>
      <c r="B120" s="4"/>
      <c r="C120" s="23"/>
      <c r="D120" s="23"/>
      <c r="E120" s="23"/>
      <c r="F120" s="23"/>
      <c r="G120" s="23"/>
      <c r="H120" s="23"/>
      <c r="I120" s="23"/>
      <c r="J120" s="23"/>
      <c r="K120" s="23"/>
      <c r="L120" s="23"/>
      <c r="M120" s="23"/>
      <c r="N120" s="23"/>
      <c r="O120" s="23"/>
      <c r="P120" s="23"/>
      <c r="Q120" s="23"/>
      <c r="R120" s="4"/>
      <c r="S120" s="23"/>
      <c r="T120" s="23"/>
      <c r="U120" s="23"/>
      <c r="V120" s="23"/>
    </row>
    <row r="121" spans="1:22" x14ac:dyDescent="0.25">
      <c r="A121" s="703"/>
      <c r="B121" s="4"/>
      <c r="C121" s="23"/>
      <c r="D121" s="23"/>
      <c r="E121" s="23"/>
      <c r="F121" s="23"/>
      <c r="G121" s="23"/>
      <c r="H121" s="23"/>
      <c r="I121" s="23"/>
      <c r="J121" s="23"/>
      <c r="K121" s="23"/>
      <c r="L121" s="23"/>
      <c r="M121" s="23"/>
      <c r="N121" s="23"/>
      <c r="O121" s="23"/>
      <c r="P121" s="23"/>
      <c r="Q121" s="23"/>
      <c r="R121" s="4"/>
      <c r="S121" s="23"/>
      <c r="T121" s="23"/>
      <c r="U121" s="23"/>
      <c r="V121" s="23"/>
    </row>
    <row r="122" spans="1:22" x14ac:dyDescent="0.25">
      <c r="A122" s="703"/>
      <c r="B122" s="4"/>
      <c r="C122" s="23"/>
      <c r="D122" s="23"/>
      <c r="E122" s="23"/>
      <c r="F122" s="23"/>
      <c r="G122" s="23"/>
      <c r="H122" s="23"/>
      <c r="I122" s="23"/>
      <c r="J122" s="23"/>
      <c r="K122" s="23"/>
      <c r="L122" s="23"/>
      <c r="M122" s="23"/>
      <c r="N122" s="23"/>
      <c r="O122" s="23"/>
      <c r="P122" s="23"/>
      <c r="Q122" s="23"/>
      <c r="R122" s="4"/>
      <c r="S122" s="23"/>
      <c r="T122" s="23"/>
      <c r="U122" s="23"/>
      <c r="V122" s="23"/>
    </row>
    <row r="123" spans="1:22" x14ac:dyDescent="0.25">
      <c r="A123" s="703"/>
      <c r="B123" s="4"/>
      <c r="C123" s="23"/>
      <c r="D123" s="23"/>
      <c r="E123" s="23"/>
      <c r="F123" s="23"/>
      <c r="G123" s="23"/>
      <c r="H123" s="23"/>
      <c r="I123" s="23"/>
      <c r="J123" s="23"/>
      <c r="K123" s="23"/>
      <c r="L123" s="23"/>
      <c r="M123" s="23"/>
      <c r="N123" s="23"/>
      <c r="O123" s="23"/>
      <c r="P123" s="23"/>
      <c r="Q123" s="23"/>
      <c r="R123" s="4"/>
      <c r="S123" s="23"/>
      <c r="T123" s="23"/>
      <c r="U123" s="23"/>
      <c r="V123" s="23"/>
    </row>
    <row r="124" spans="1:22" x14ac:dyDescent="0.25">
      <c r="A124" s="703"/>
      <c r="B124" s="4"/>
      <c r="C124" s="23"/>
      <c r="D124" s="23"/>
      <c r="E124" s="23"/>
      <c r="F124" s="23"/>
      <c r="G124" s="23"/>
      <c r="H124" s="23"/>
      <c r="I124" s="23"/>
      <c r="J124" s="23"/>
      <c r="K124" s="23"/>
      <c r="L124" s="23"/>
      <c r="M124" s="23"/>
      <c r="N124" s="23"/>
      <c r="O124" s="23"/>
      <c r="P124" s="23"/>
      <c r="Q124" s="23"/>
      <c r="R124" s="4"/>
      <c r="S124" s="23"/>
      <c r="T124" s="23"/>
      <c r="U124" s="23"/>
      <c r="V124" s="23"/>
    </row>
    <row r="125" spans="1:22" x14ac:dyDescent="0.25">
      <c r="A125" s="703"/>
      <c r="B125" s="4"/>
      <c r="C125" s="23"/>
      <c r="D125" s="23"/>
      <c r="E125" s="23"/>
      <c r="F125" s="23"/>
      <c r="G125" s="23"/>
      <c r="H125" s="23"/>
      <c r="I125" s="23"/>
      <c r="J125" s="23"/>
      <c r="K125" s="23"/>
      <c r="L125" s="23"/>
      <c r="M125" s="23"/>
      <c r="N125" s="23"/>
      <c r="O125" s="23"/>
      <c r="P125" s="23"/>
      <c r="Q125" s="23"/>
      <c r="R125" s="4"/>
      <c r="S125" s="23"/>
      <c r="T125" s="23"/>
      <c r="U125" s="23"/>
      <c r="V125" s="23"/>
    </row>
    <row r="126" spans="1:22" x14ac:dyDescent="0.25">
      <c r="A126" s="703"/>
      <c r="B126" s="4"/>
      <c r="C126" s="23"/>
      <c r="D126" s="23"/>
      <c r="E126" s="23"/>
      <c r="F126" s="23"/>
      <c r="G126" s="23"/>
      <c r="H126" s="23"/>
      <c r="I126" s="23"/>
      <c r="J126" s="23"/>
      <c r="K126" s="23"/>
      <c r="L126" s="23"/>
      <c r="M126" s="23"/>
      <c r="N126" s="23"/>
      <c r="O126" s="23"/>
      <c r="P126" s="23"/>
      <c r="Q126" s="23"/>
      <c r="R126" s="4"/>
      <c r="S126" s="23"/>
      <c r="T126" s="23"/>
      <c r="U126" s="23"/>
      <c r="V126" s="23"/>
    </row>
    <row r="127" spans="1:22" x14ac:dyDescent="0.25">
      <c r="A127" s="703"/>
      <c r="B127" s="4"/>
      <c r="C127" s="23"/>
      <c r="D127" s="23"/>
      <c r="E127" s="23"/>
      <c r="F127" s="23"/>
      <c r="G127" s="23"/>
      <c r="H127" s="23"/>
      <c r="I127" s="23"/>
      <c r="J127" s="23"/>
      <c r="K127" s="23"/>
      <c r="L127" s="23"/>
      <c r="M127" s="23"/>
      <c r="N127" s="23"/>
      <c r="O127" s="23"/>
      <c r="P127" s="23"/>
      <c r="Q127" s="23"/>
      <c r="R127" s="4"/>
      <c r="S127" s="23"/>
      <c r="T127" s="23"/>
      <c r="U127" s="23"/>
      <c r="V127" s="23"/>
    </row>
    <row r="128" spans="1:22" x14ac:dyDescent="0.25">
      <c r="A128" s="703"/>
      <c r="B128" s="4"/>
      <c r="C128" s="23"/>
      <c r="D128" s="23"/>
      <c r="E128" s="23"/>
      <c r="F128" s="23"/>
      <c r="G128" s="23"/>
      <c r="H128" s="23"/>
      <c r="I128" s="23"/>
      <c r="J128" s="23"/>
      <c r="K128" s="23"/>
      <c r="L128" s="23"/>
      <c r="M128" s="23"/>
      <c r="N128" s="23"/>
      <c r="O128" s="23"/>
      <c r="P128" s="23"/>
      <c r="Q128" s="23"/>
      <c r="R128" s="4"/>
      <c r="S128" s="23"/>
      <c r="T128" s="23"/>
      <c r="U128" s="23"/>
      <c r="V128" s="23"/>
    </row>
    <row r="129" spans="1:22" x14ac:dyDescent="0.25">
      <c r="A129" s="703"/>
      <c r="B129" s="4"/>
      <c r="C129" s="23"/>
      <c r="D129" s="23"/>
      <c r="E129" s="23"/>
      <c r="F129" s="23"/>
      <c r="G129" s="23"/>
      <c r="H129" s="23"/>
      <c r="I129" s="23"/>
      <c r="J129" s="23"/>
      <c r="K129" s="23"/>
      <c r="L129" s="23"/>
      <c r="M129" s="23"/>
      <c r="N129" s="23"/>
      <c r="O129" s="23"/>
      <c r="P129" s="23"/>
      <c r="Q129" s="23"/>
      <c r="R129" s="4"/>
      <c r="S129" s="23"/>
      <c r="T129" s="23"/>
      <c r="U129" s="23"/>
      <c r="V129" s="23"/>
    </row>
    <row r="130" spans="1:22" x14ac:dyDescent="0.25">
      <c r="C130" s="194"/>
    </row>
    <row r="131" spans="1:22" x14ac:dyDescent="0.25">
      <c r="C131" s="194"/>
    </row>
    <row r="132" spans="1:22" x14ac:dyDescent="0.25">
      <c r="C132" s="194"/>
    </row>
    <row r="133" spans="1:22" x14ac:dyDescent="0.25">
      <c r="C133" s="194"/>
    </row>
    <row r="134" spans="1:22" x14ac:dyDescent="0.25">
      <c r="C134" s="194"/>
    </row>
    <row r="135" spans="1:22" x14ac:dyDescent="0.25">
      <c r="C135" s="194"/>
    </row>
    <row r="136" spans="1:22" x14ac:dyDescent="0.25">
      <c r="C136" s="194"/>
    </row>
    <row r="137" spans="1:22" x14ac:dyDescent="0.25">
      <c r="C137" s="194"/>
    </row>
    <row r="138" spans="1:22" x14ac:dyDescent="0.25">
      <c r="C138" s="194"/>
    </row>
    <row r="139" spans="1:22" x14ac:dyDescent="0.25">
      <c r="C139" s="194"/>
    </row>
    <row r="140" spans="1:22" x14ac:dyDescent="0.25">
      <c r="C140" s="194"/>
    </row>
    <row r="141" spans="1:22" x14ac:dyDescent="0.25">
      <c r="C141" s="194"/>
    </row>
    <row r="142" spans="1:22" x14ac:dyDescent="0.25">
      <c r="C142" s="194"/>
    </row>
    <row r="143" spans="1:22" x14ac:dyDescent="0.25">
      <c r="C143" s="194"/>
    </row>
    <row r="144" spans="1:22"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sheetData>
  <phoneticPr fontId="0" type="noConversion"/>
  <hyperlinks>
    <hyperlink ref="A1" location="'Working Budget with funding det'!A1" display="Main " xr:uid="{00000000-0004-0000-2700-000000000000}"/>
    <hyperlink ref="B1" location="'Table of Contents'!A1" display="TOC" xr:uid="{00000000-0004-0000-2700-000001000000}"/>
  </hyperlinks>
  <pageMargins left="0.75" right="0.75" top="1" bottom="1" header="0.5" footer="0.5"/>
  <pageSetup scale="92" fitToHeight="0" orientation="landscape" r:id="rId1"/>
  <headerFooter alignWithMargins="0">
    <oddFooter>&amp;L&amp;D     &amp;T&amp;C&amp;F&amp;R&amp;A</oddFooter>
  </headerFooter>
  <rowBreaks count="1" manualBreakCount="1">
    <brk id="31" max="1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pageSetUpPr fitToPage="1"/>
  </sheetPr>
  <dimension ref="A1:U27"/>
  <sheetViews>
    <sheetView workbookViewId="0">
      <selection activeCell="A17" sqref="A17:B17"/>
    </sheetView>
  </sheetViews>
  <sheetFormatPr defaultRowHeight="13.2" x14ac:dyDescent="0.25"/>
  <cols>
    <col min="1" max="1" width="9.44140625" style="712" bestFit="1" customWidth="1"/>
    <col min="2" max="2" width="36.6640625" customWidth="1"/>
    <col min="3" max="6" width="11.109375" hidden="1" customWidth="1"/>
    <col min="7" max="7" width="9" hidden="1" customWidth="1"/>
    <col min="8" max="14" width="14.6640625" hidden="1" customWidth="1"/>
    <col min="15" max="21" width="14.6640625" customWidth="1"/>
  </cols>
  <sheetData>
    <row r="1" spans="1:21" x14ac:dyDescent="0.25">
      <c r="A1" s="701" t="s">
        <v>736</v>
      </c>
      <c r="B1" s="290" t="s">
        <v>194</v>
      </c>
      <c r="C1" s="1"/>
      <c r="D1" s="194"/>
      <c r="E1" s="194"/>
      <c r="F1" s="194"/>
      <c r="G1" s="194"/>
      <c r="H1" s="194"/>
      <c r="I1" s="194"/>
      <c r="J1" s="194"/>
      <c r="K1" s="194"/>
      <c r="L1" s="194"/>
      <c r="M1" s="194"/>
      <c r="N1" s="194"/>
      <c r="O1" s="194"/>
      <c r="P1" s="194"/>
      <c r="Q1" s="194"/>
      <c r="S1" s="1"/>
      <c r="T1" s="1"/>
    </row>
    <row r="2" spans="1:21" ht="13.8" x14ac:dyDescent="0.25">
      <c r="A2" s="702" t="s">
        <v>1142</v>
      </c>
      <c r="B2" s="43"/>
      <c r="C2" s="1"/>
      <c r="D2" s="194"/>
      <c r="E2" s="125"/>
      <c r="F2" s="194"/>
      <c r="G2" s="194"/>
      <c r="I2" s="125" t="s">
        <v>706</v>
      </c>
      <c r="J2" s="125"/>
      <c r="K2" s="125"/>
      <c r="L2" s="125"/>
      <c r="M2" s="125"/>
      <c r="N2" s="125"/>
      <c r="O2" s="125"/>
      <c r="P2" s="125"/>
      <c r="Q2" s="125"/>
      <c r="R2" s="58" t="s">
        <v>1250</v>
      </c>
      <c r="S2" s="1"/>
      <c r="T2" s="1"/>
      <c r="U2" s="44" t="s">
        <v>1251</v>
      </c>
    </row>
    <row r="3" spans="1:21" ht="13.8" thickBot="1" x14ac:dyDescent="0.3">
      <c r="A3" s="703"/>
      <c r="B3" s="4"/>
      <c r="C3" s="23"/>
      <c r="D3" s="23"/>
      <c r="E3" s="23"/>
      <c r="F3" s="23"/>
      <c r="G3" s="23"/>
      <c r="H3" s="23"/>
      <c r="I3" s="23"/>
      <c r="J3" s="23"/>
      <c r="K3" s="23"/>
      <c r="L3" s="23"/>
      <c r="M3" s="23"/>
      <c r="N3" s="23"/>
      <c r="O3" s="23"/>
      <c r="P3" s="23"/>
      <c r="Q3" s="23"/>
      <c r="R3" s="4"/>
      <c r="S3" s="23"/>
      <c r="T3" s="23"/>
      <c r="U3" s="4"/>
    </row>
    <row r="4" spans="1:21"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1"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1" x14ac:dyDescent="0.25">
      <c r="A6" s="705"/>
      <c r="B6" s="184"/>
      <c r="C6" s="112"/>
      <c r="D6" s="112"/>
      <c r="E6" s="112"/>
      <c r="F6" s="82"/>
      <c r="G6" s="112"/>
      <c r="H6" s="112"/>
      <c r="I6" s="83"/>
      <c r="J6" s="83"/>
      <c r="K6" s="83"/>
      <c r="L6" s="83"/>
      <c r="M6" s="83"/>
      <c r="N6" s="83"/>
      <c r="O6" s="83"/>
      <c r="P6" s="83"/>
      <c r="Q6" s="83"/>
      <c r="R6" s="112"/>
      <c r="S6" s="83" t="s">
        <v>713</v>
      </c>
      <c r="T6" s="83" t="s">
        <v>481</v>
      </c>
      <c r="U6" s="45" t="s">
        <v>714</v>
      </c>
    </row>
    <row r="7" spans="1:21"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1" ht="13.8" thickTop="1" x14ac:dyDescent="0.25">
      <c r="A8" s="725"/>
      <c r="B8" s="185"/>
      <c r="C8" s="117"/>
      <c r="D8" s="18"/>
      <c r="E8" s="18"/>
      <c r="F8" s="18"/>
      <c r="G8" s="18"/>
      <c r="H8" s="18"/>
      <c r="I8" s="19"/>
      <c r="J8" s="19"/>
      <c r="K8" s="19"/>
      <c r="L8" s="19"/>
      <c r="M8" s="19"/>
      <c r="N8" s="19"/>
      <c r="O8" s="19"/>
      <c r="P8" s="19"/>
      <c r="Q8" s="19"/>
      <c r="R8" s="18"/>
      <c r="S8" s="19"/>
      <c r="T8" s="19"/>
      <c r="U8" s="19"/>
    </row>
    <row r="9" spans="1:21" ht="13.8" thickBot="1" x14ac:dyDescent="0.3">
      <c r="A9" s="708">
        <v>5211</v>
      </c>
      <c r="B9" s="60" t="s">
        <v>1252</v>
      </c>
      <c r="C9" s="116"/>
      <c r="D9" s="15"/>
      <c r="E9" s="13"/>
      <c r="F9" s="13"/>
      <c r="G9" s="13"/>
      <c r="H9" s="13"/>
      <c r="I9" s="13"/>
      <c r="J9" s="13">
        <v>878.32</v>
      </c>
      <c r="K9" s="14">
        <v>7000</v>
      </c>
      <c r="L9" s="13">
        <v>3227.64</v>
      </c>
      <c r="M9" s="14">
        <v>6000</v>
      </c>
      <c r="N9" s="13">
        <v>4250.4799999999996</v>
      </c>
      <c r="O9" s="14">
        <v>6000</v>
      </c>
      <c r="P9" s="13">
        <v>5195.4799999999996</v>
      </c>
      <c r="Q9" s="14">
        <v>6000</v>
      </c>
      <c r="R9" s="13">
        <v>3599.12</v>
      </c>
      <c r="S9" s="14">
        <v>10600</v>
      </c>
      <c r="T9" s="14"/>
      <c r="U9" s="14"/>
    </row>
    <row r="10" spans="1:21" x14ac:dyDescent="0.25">
      <c r="A10" s="708">
        <v>5247</v>
      </c>
      <c r="B10" s="60" t="s">
        <v>1253</v>
      </c>
      <c r="C10" s="210"/>
      <c r="D10" s="35"/>
      <c r="E10" s="13"/>
      <c r="F10" s="13"/>
      <c r="G10" s="13"/>
      <c r="H10" s="13"/>
      <c r="I10" s="13"/>
      <c r="J10" s="13">
        <v>2820</v>
      </c>
      <c r="K10" s="14"/>
      <c r="L10" s="13"/>
      <c r="M10" s="14"/>
      <c r="N10" s="13"/>
      <c r="O10" s="14"/>
      <c r="P10" s="13">
        <v>1380</v>
      </c>
      <c r="Q10" s="14">
        <v>1380</v>
      </c>
      <c r="R10" s="13"/>
      <c r="S10" s="14">
        <v>1380</v>
      </c>
      <c r="T10" s="14"/>
      <c r="U10" s="14"/>
    </row>
    <row r="11" spans="1:21" hidden="1" x14ac:dyDescent="0.25">
      <c r="A11" s="708">
        <v>5740</v>
      </c>
      <c r="B11" s="60" t="s">
        <v>1254</v>
      </c>
      <c r="C11" s="13"/>
      <c r="D11" s="13"/>
      <c r="E11" s="13"/>
      <c r="F11" s="13"/>
      <c r="G11" s="13"/>
      <c r="H11" s="13"/>
      <c r="I11" s="13"/>
      <c r="J11" s="13">
        <v>4241.5</v>
      </c>
      <c r="K11" s="14"/>
      <c r="L11" s="13"/>
      <c r="M11" s="14"/>
      <c r="N11" s="13"/>
      <c r="O11" s="14"/>
      <c r="P11" s="13"/>
      <c r="Q11" s="14"/>
      <c r="R11" s="13"/>
      <c r="S11" s="14"/>
      <c r="T11" s="14"/>
      <c r="U11" s="14"/>
    </row>
    <row r="12" spans="1:21" ht="13.8" thickBot="1" x14ac:dyDescent="0.3">
      <c r="A12" s="708"/>
      <c r="B12" s="60"/>
      <c r="C12" s="15"/>
      <c r="D12" s="15"/>
      <c r="E12" s="15"/>
      <c r="F12" s="15"/>
      <c r="G12" s="15"/>
      <c r="H12" s="15"/>
      <c r="I12" s="15"/>
      <c r="J12" s="15"/>
      <c r="K12" s="16"/>
      <c r="L12" s="15"/>
      <c r="M12" s="16"/>
      <c r="N12" s="15"/>
      <c r="O12" s="16"/>
      <c r="P12" s="15"/>
      <c r="Q12" s="16"/>
      <c r="R12" s="15"/>
      <c r="S12" s="16"/>
      <c r="T12" s="16"/>
      <c r="U12" s="16"/>
    </row>
    <row r="13" spans="1:21" x14ac:dyDescent="0.25">
      <c r="A13" s="708"/>
      <c r="B13" s="61" t="s">
        <v>728</v>
      </c>
      <c r="C13" s="117">
        <f t="shared" ref="C13:R13" si="0">SUM(C9:C9)</f>
        <v>0</v>
      </c>
      <c r="D13" s="18">
        <f t="shared" si="0"/>
        <v>0</v>
      </c>
      <c r="E13" s="18">
        <f t="shared" si="0"/>
        <v>0</v>
      </c>
      <c r="F13" s="18">
        <f>+F9</f>
        <v>0</v>
      </c>
      <c r="G13" s="18">
        <f>+G9</f>
        <v>0</v>
      </c>
      <c r="H13" s="18">
        <f>+H9</f>
        <v>0</v>
      </c>
      <c r="I13" s="18">
        <f>SUM(I9:I11)</f>
        <v>0</v>
      </c>
      <c r="J13" s="18">
        <f>SUM(J9:J11)</f>
        <v>7939.82</v>
      </c>
      <c r="K13" s="19">
        <f>SUM(K9:K12)</f>
        <v>7000</v>
      </c>
      <c r="L13" s="18">
        <f t="shared" ref="L13:O13" si="1">SUM(L9:L12)</f>
        <v>3227.64</v>
      </c>
      <c r="M13" s="19">
        <f t="shared" si="1"/>
        <v>6000</v>
      </c>
      <c r="N13" s="18">
        <f t="shared" ref="N13" si="2">SUM(N9:N12)</f>
        <v>4250.4799999999996</v>
      </c>
      <c r="O13" s="19">
        <f t="shared" si="1"/>
        <v>6000</v>
      </c>
      <c r="P13" s="18">
        <f t="shared" ref="P13" si="3">SUM(P9:P12)</f>
        <v>6575.48</v>
      </c>
      <c r="Q13" s="19">
        <f>SUM(Q9:Q12)</f>
        <v>7380</v>
      </c>
      <c r="R13" s="18">
        <f t="shared" si="0"/>
        <v>3599.12</v>
      </c>
      <c r="S13" s="19">
        <f>SUM(S9:S12)</f>
        <v>11980</v>
      </c>
      <c r="T13" s="19"/>
      <c r="U13" s="19">
        <f>+S13</f>
        <v>11980</v>
      </c>
    </row>
    <row r="14" spans="1:21" x14ac:dyDescent="0.25">
      <c r="A14" s="708"/>
      <c r="B14" s="60"/>
      <c r="C14" s="115"/>
      <c r="D14" s="13"/>
      <c r="E14" s="13"/>
      <c r="F14" s="13"/>
      <c r="G14" s="13"/>
      <c r="H14" s="13"/>
      <c r="I14" s="13"/>
      <c r="J14" s="13"/>
      <c r="K14" s="14"/>
      <c r="L14" s="13"/>
      <c r="M14" s="14"/>
      <c r="N14" s="13"/>
      <c r="O14" s="14"/>
      <c r="P14" s="13"/>
      <c r="Q14" s="14"/>
      <c r="R14" s="13"/>
      <c r="S14" s="14"/>
      <c r="T14" s="14"/>
      <c r="U14" s="14"/>
    </row>
    <row r="15" spans="1:21" ht="13.8" thickBot="1" x14ac:dyDescent="0.3">
      <c r="A15" s="709"/>
      <c r="B15" s="583" t="s">
        <v>1255</v>
      </c>
      <c r="C15" s="577" t="e">
        <f>+#REF!+C13</f>
        <v>#REF!</v>
      </c>
      <c r="D15" s="21" t="e">
        <f>+#REF!+D13</f>
        <v>#REF!</v>
      </c>
      <c r="E15" s="21" t="e">
        <f>+#REF!+E13</f>
        <v>#REF!</v>
      </c>
      <c r="F15" s="21" t="e">
        <f>+#REF!+F13</f>
        <v>#REF!</v>
      </c>
      <c r="G15" s="21" t="e">
        <f>+#REF!+G13</f>
        <v>#REF!</v>
      </c>
      <c r="H15" s="21">
        <f>+H13</f>
        <v>0</v>
      </c>
      <c r="I15" s="21">
        <f t="shared" ref="I15:U15" si="4">+I13</f>
        <v>0</v>
      </c>
      <c r="J15" s="21">
        <f t="shared" ref="J15" si="5">+J13</f>
        <v>7939.82</v>
      </c>
      <c r="K15" s="538">
        <f t="shared" si="4"/>
        <v>7000</v>
      </c>
      <c r="L15" s="21">
        <f t="shared" ref="L15:O15" si="6">+L13</f>
        <v>3227.64</v>
      </c>
      <c r="M15" s="538">
        <f t="shared" si="6"/>
        <v>6000</v>
      </c>
      <c r="N15" s="21">
        <f t="shared" ref="N15" si="7">+N13</f>
        <v>4250.4799999999996</v>
      </c>
      <c r="O15" s="538">
        <f t="shared" si="6"/>
        <v>6000</v>
      </c>
      <c r="P15" s="21">
        <f t="shared" ref="P15" si="8">+P13</f>
        <v>6575.48</v>
      </c>
      <c r="Q15" s="538">
        <f t="shared" ref="Q15" si="9">+Q13</f>
        <v>7380</v>
      </c>
      <c r="R15" s="21">
        <f t="shared" si="4"/>
        <v>3599.12</v>
      </c>
      <c r="S15" s="538">
        <f t="shared" si="4"/>
        <v>11980</v>
      </c>
      <c r="T15" s="538">
        <f>+S15</f>
        <v>11980</v>
      </c>
      <c r="U15" s="538">
        <f t="shared" si="4"/>
        <v>11980</v>
      </c>
    </row>
    <row r="16" spans="1:21" ht="13.8" thickTop="1" x14ac:dyDescent="0.25">
      <c r="A16" s="63">
        <v>44970</v>
      </c>
      <c r="B16" s="584" t="s">
        <v>1994</v>
      </c>
      <c r="C16" s="24"/>
      <c r="D16" s="24"/>
      <c r="E16" s="24"/>
      <c r="F16" s="24"/>
      <c r="G16" s="24"/>
      <c r="H16" s="24"/>
      <c r="I16" s="24"/>
      <c r="J16" s="24"/>
      <c r="K16" s="24"/>
      <c r="L16" s="24"/>
      <c r="M16" s="24"/>
      <c r="N16" s="24"/>
      <c r="O16" s="24"/>
      <c r="P16" s="24"/>
      <c r="Q16" s="24"/>
      <c r="R16" s="181" t="s">
        <v>732</v>
      </c>
      <c r="S16" s="1001">
        <f>+S15-Q15</f>
        <v>4600</v>
      </c>
      <c r="T16" s="1002">
        <f>ROUND((+S16/Q15),4)</f>
        <v>0.62329999999999997</v>
      </c>
      <c r="U16" s="23"/>
    </row>
    <row r="17" spans="1:21" x14ac:dyDescent="0.25">
      <c r="A17" s="63">
        <v>45355</v>
      </c>
      <c r="B17" s="4" t="s">
        <v>2634</v>
      </c>
      <c r="C17" s="24"/>
      <c r="D17" s="24"/>
      <c r="E17" s="24"/>
      <c r="F17" s="24"/>
      <c r="G17" s="24"/>
      <c r="H17" s="24"/>
      <c r="I17" s="24"/>
      <c r="J17" s="24"/>
      <c r="K17" s="24"/>
      <c r="L17" s="24"/>
      <c r="M17" s="24"/>
      <c r="N17" s="24"/>
      <c r="O17" s="24"/>
      <c r="P17" s="24"/>
      <c r="Q17" s="24"/>
      <c r="R17" s="181"/>
      <c r="S17" s="1001"/>
      <c r="T17" s="1002"/>
      <c r="U17" s="23"/>
    </row>
    <row r="18" spans="1:21" ht="13.8" thickBot="1" x14ac:dyDescent="0.3">
      <c r="A18" s="703"/>
      <c r="B18" s="4"/>
      <c r="C18" s="23"/>
      <c r="D18" s="23"/>
      <c r="E18" s="23"/>
      <c r="F18" s="23"/>
      <c r="G18" s="23"/>
      <c r="H18" s="23"/>
      <c r="I18" s="23"/>
      <c r="J18" s="23"/>
      <c r="K18" s="23"/>
      <c r="L18" s="23"/>
      <c r="M18" s="23"/>
      <c r="N18" s="23"/>
      <c r="O18" s="23"/>
      <c r="P18" s="23"/>
      <c r="Q18" s="23"/>
      <c r="R18" s="25"/>
      <c r="S18" s="23"/>
      <c r="T18" s="23"/>
      <c r="U18" s="25"/>
    </row>
    <row r="19" spans="1:21" ht="13.8" thickTop="1" x14ac:dyDescent="0.25">
      <c r="A19" s="718"/>
      <c r="B19" s="349"/>
      <c r="C19" s="350" t="s">
        <v>256</v>
      </c>
      <c r="D19" s="351" t="s">
        <v>256</v>
      </c>
      <c r="E19" s="351" t="s">
        <v>256</v>
      </c>
      <c r="F19" s="194"/>
      <c r="G19" s="194"/>
      <c r="O19" s="352" t="s">
        <v>255</v>
      </c>
      <c r="P19" s="353" t="s">
        <v>716</v>
      </c>
      <c r="Q19" s="354" t="s">
        <v>730</v>
      </c>
      <c r="R19" s="353" t="s">
        <v>731</v>
      </c>
      <c r="S19" s="355"/>
      <c r="T19" s="550"/>
      <c r="U19" s="354"/>
    </row>
    <row r="20" spans="1:21" ht="13.8" thickBot="1" x14ac:dyDescent="0.3">
      <c r="A20" s="719" t="s">
        <v>715</v>
      </c>
      <c r="B20" s="356"/>
      <c r="C20" s="357" t="s">
        <v>243</v>
      </c>
      <c r="D20" s="357" t="s">
        <v>244</v>
      </c>
      <c r="E20" s="358" t="s">
        <v>245</v>
      </c>
      <c r="F20" s="194"/>
      <c r="G20" s="194"/>
      <c r="O20" s="359" t="s">
        <v>469</v>
      </c>
      <c r="P20" s="359" t="s">
        <v>1345</v>
      </c>
      <c r="Q20" s="358" t="s">
        <v>732</v>
      </c>
      <c r="R20" s="360" t="s">
        <v>732</v>
      </c>
      <c r="S20" s="361" t="s">
        <v>733</v>
      </c>
      <c r="T20" s="551"/>
      <c r="U20" s="359"/>
    </row>
    <row r="21" spans="1:21" ht="13.8" thickTop="1" x14ac:dyDescent="0.25">
      <c r="A21" s="726"/>
      <c r="B21" s="376"/>
      <c r="C21" s="365"/>
      <c r="D21" s="365"/>
      <c r="E21" s="365"/>
      <c r="F21" s="194"/>
      <c r="G21" s="194"/>
      <c r="O21" s="366"/>
      <c r="P21" s="365"/>
      <c r="Q21" s="396"/>
      <c r="R21" s="374"/>
      <c r="S21" s="367"/>
      <c r="T21" s="553"/>
      <c r="U21" s="368"/>
    </row>
    <row r="22" spans="1:21" ht="13.8" thickBot="1" x14ac:dyDescent="0.3">
      <c r="A22" s="724">
        <v>5211</v>
      </c>
      <c r="B22" s="397" t="s">
        <v>1252</v>
      </c>
      <c r="C22" s="371"/>
      <c r="D22" s="371"/>
      <c r="E22" s="373"/>
      <c r="F22" s="194"/>
      <c r="G22" s="194"/>
      <c r="O22" s="372">
        <f>+Q9</f>
        <v>6000</v>
      </c>
      <c r="P22" s="393">
        <f>+S9</f>
        <v>10600</v>
      </c>
      <c r="Q22" s="396">
        <f>+P22-O22</f>
        <v>4600</v>
      </c>
      <c r="R22" s="374">
        <f>IF(O22+P22&lt;&gt;0,IF(O22&lt;&gt;0,IF(Q22&lt;&gt;0,ROUND((+Q22/O22),4),""),1),"")</f>
        <v>0.76670000000000005</v>
      </c>
      <c r="S22" s="367" t="s">
        <v>2353</v>
      </c>
      <c r="T22" s="553"/>
      <c r="U22" s="368"/>
    </row>
    <row r="23" spans="1:21" x14ac:dyDescent="0.25">
      <c r="A23" s="724">
        <v>5247</v>
      </c>
      <c r="B23" s="397" t="s">
        <v>1253</v>
      </c>
      <c r="C23" s="377"/>
      <c r="D23" s="377"/>
      <c r="E23" s="373"/>
      <c r="F23" s="194"/>
      <c r="G23" s="194"/>
      <c r="O23" s="372">
        <f>+Q10</f>
        <v>1380</v>
      </c>
      <c r="P23" s="393">
        <f>+S10</f>
        <v>1380</v>
      </c>
      <c r="Q23" s="396">
        <f>+P23-O23</f>
        <v>0</v>
      </c>
      <c r="R23" s="374" t="str">
        <f>IF(O23+P23&lt;&gt;0,IF(O23&lt;&gt;0,IF(Q23&lt;&gt;0,ROUND((+Q23/O23),4),""),1),"")</f>
        <v/>
      </c>
      <c r="S23" s="367"/>
      <c r="T23" s="553"/>
      <c r="U23" s="368"/>
    </row>
    <row r="24" spans="1:21" hidden="1" x14ac:dyDescent="0.25">
      <c r="A24" s="724">
        <v>5740</v>
      </c>
      <c r="B24" s="397" t="s">
        <v>1254</v>
      </c>
      <c r="C24" s="377"/>
      <c r="D24" s="377"/>
      <c r="E24" s="373"/>
      <c r="F24" s="194"/>
      <c r="G24" s="194"/>
      <c r="O24" s="372">
        <f>+O11</f>
        <v>0</v>
      </c>
      <c r="P24" s="393">
        <f>+S11</f>
        <v>0</v>
      </c>
      <c r="Q24" s="396">
        <f>+P24-O24</f>
        <v>0</v>
      </c>
      <c r="R24" s="374" t="str">
        <f>IF(O24+P24&lt;&gt;0,IF(O24&lt;&gt;0,IF(Q24&lt;&gt;0,ROUND((+Q24/O24),4),""),1),"")</f>
        <v/>
      </c>
      <c r="S24" s="367"/>
      <c r="T24" s="553"/>
      <c r="U24" s="368"/>
    </row>
    <row r="25" spans="1:21" x14ac:dyDescent="0.25">
      <c r="A25" s="724"/>
      <c r="B25" s="397"/>
      <c r="C25" s="398"/>
      <c r="D25" s="398"/>
      <c r="E25" s="398"/>
      <c r="F25" s="194"/>
      <c r="G25" s="194"/>
      <c r="O25" s="372">
        <f>+Q12</f>
        <v>0</v>
      </c>
      <c r="P25" s="393">
        <f>+S12</f>
        <v>0</v>
      </c>
      <c r="Q25" s="396">
        <f>+P25-O25</f>
        <v>0</v>
      </c>
      <c r="R25" s="374" t="str">
        <f>IF(O25+P25&lt;&gt;0,IF(O25&lt;&gt;0,IF(Q25&lt;&gt;0,ROUND((+Q25/O25),4),""),1),"")</f>
        <v/>
      </c>
      <c r="S25" s="367"/>
      <c r="T25" s="553"/>
      <c r="U25" s="368"/>
    </row>
    <row r="27" spans="1:21" x14ac:dyDescent="0.25">
      <c r="B27" s="4" t="s">
        <v>735</v>
      </c>
      <c r="C27" s="23"/>
      <c r="D27" s="23"/>
      <c r="E27" s="23"/>
      <c r="F27" s="23"/>
      <c r="G27" s="23"/>
      <c r="O27" s="597">
        <f>SUM(O22:O26)</f>
        <v>7380</v>
      </c>
      <c r="P27" s="597">
        <f>SUM(P22:P26)</f>
        <v>11980</v>
      </c>
      <c r="Q27" s="25">
        <f>+P27-O27</f>
        <v>4600</v>
      </c>
      <c r="R27" s="598">
        <f>IF(O27+P27&lt;&gt;0,IF(O27&lt;&gt;0,IF(Q27&lt;&gt;0,ROUND((+Q27/O27),4),""),1),"")</f>
        <v>0.62329999999999997</v>
      </c>
    </row>
  </sheetData>
  <hyperlinks>
    <hyperlink ref="A1" location="'Working Budget with funding det'!A1" display="Main " xr:uid="{00000000-0004-0000-2800-000000000000}"/>
    <hyperlink ref="B1" location="'Table of Contents'!A1" display="TOC" xr:uid="{00000000-0004-0000-2800-000001000000}"/>
  </hyperlinks>
  <pageMargins left="0.7" right="0.7" top="0.75" bottom="0.75" header="0.3" footer="0.3"/>
  <pageSetup scale="74" orientation="landscape" r:id="rId1"/>
  <headerFooter>
    <oddFooter>&amp;L&amp;D &amp;T&amp;C&amp;F&amp;R&amp;A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pageSetUpPr fitToPage="1"/>
  </sheetPr>
  <dimension ref="A1:Y187"/>
  <sheetViews>
    <sheetView workbookViewId="0">
      <selection activeCell="R14" sqref="R14"/>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1142</v>
      </c>
      <c r="B2" s="43"/>
      <c r="D2" s="194"/>
      <c r="E2" s="125"/>
      <c r="F2" s="194"/>
      <c r="G2" s="194"/>
      <c r="H2" s="194"/>
      <c r="I2" s="125" t="s">
        <v>706</v>
      </c>
      <c r="J2" s="125"/>
      <c r="K2" s="125"/>
      <c r="L2" s="125"/>
      <c r="M2" s="125"/>
      <c r="N2" s="125"/>
      <c r="O2" s="125"/>
      <c r="P2" s="125"/>
      <c r="Q2" s="125"/>
      <c r="R2" s="58" t="s">
        <v>547</v>
      </c>
      <c r="U2" s="44" t="s">
        <v>1256</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8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9"/>
      <c r="J8" s="19"/>
      <c r="K8" s="19"/>
      <c r="L8" s="19"/>
      <c r="M8" s="19"/>
      <c r="N8" s="19"/>
      <c r="O8" s="19"/>
      <c r="P8" s="19"/>
      <c r="Q8" s="19"/>
      <c r="R8" s="18"/>
      <c r="S8" s="19"/>
      <c r="T8" s="19"/>
      <c r="U8" s="19"/>
    </row>
    <row r="9" spans="1:24" x14ac:dyDescent="0.25">
      <c r="A9" s="725">
        <v>5100</v>
      </c>
      <c r="B9" s="101" t="s">
        <v>2354</v>
      </c>
      <c r="C9" s="572"/>
      <c r="D9" s="28"/>
      <c r="E9" s="18"/>
      <c r="F9" s="18"/>
      <c r="G9" s="18"/>
      <c r="H9" s="18"/>
      <c r="I9" s="19"/>
      <c r="J9" s="19"/>
      <c r="K9" s="19"/>
      <c r="L9" s="19"/>
      <c r="M9" s="19"/>
      <c r="N9" s="19"/>
      <c r="O9" s="14"/>
      <c r="P9" s="14"/>
      <c r="Q9" s="14"/>
      <c r="R9" s="13"/>
      <c r="S9" s="14">
        <v>2000</v>
      </c>
      <c r="T9" s="14"/>
      <c r="U9" s="14"/>
    </row>
    <row r="10" spans="1:24" ht="13.8" thickBot="1" x14ac:dyDescent="0.3">
      <c r="A10" s="725"/>
      <c r="B10" s="101"/>
      <c r="C10" s="572"/>
      <c r="D10" s="28"/>
      <c r="E10" s="18"/>
      <c r="F10" s="18"/>
      <c r="G10" s="18"/>
      <c r="H10" s="18"/>
      <c r="I10" s="19"/>
      <c r="J10" s="19"/>
      <c r="K10" s="19"/>
      <c r="L10" s="19"/>
      <c r="M10" s="19"/>
      <c r="N10" s="19"/>
      <c r="O10" s="16"/>
      <c r="P10" s="16"/>
      <c r="Q10" s="16"/>
      <c r="R10" s="15"/>
      <c r="S10" s="16"/>
      <c r="T10" s="16"/>
      <c r="U10" s="16"/>
    </row>
    <row r="11" spans="1:24" x14ac:dyDescent="0.25">
      <c r="A11" s="725"/>
      <c r="B11" s="182" t="s">
        <v>880</v>
      </c>
      <c r="C11" s="572"/>
      <c r="D11" s="28"/>
      <c r="E11" s="18"/>
      <c r="F11" s="18"/>
      <c r="G11" s="18"/>
      <c r="H11" s="18"/>
      <c r="I11" s="19"/>
      <c r="J11" s="19"/>
      <c r="K11" s="19"/>
      <c r="L11" s="19"/>
      <c r="M11" s="19"/>
      <c r="N11" s="19"/>
      <c r="O11" s="19"/>
      <c r="P11" s="19"/>
      <c r="Q11" s="19"/>
      <c r="R11" s="18"/>
      <c r="S11" s="19">
        <f>+S9</f>
        <v>2000</v>
      </c>
      <c r="T11" s="19">
        <f t="shared" ref="T11:U11" si="0">+T9</f>
        <v>0</v>
      </c>
      <c r="U11" s="19">
        <f t="shared" si="0"/>
        <v>0</v>
      </c>
    </row>
    <row r="12" spans="1:24" x14ac:dyDescent="0.25">
      <c r="A12" s="725"/>
      <c r="B12" s="101"/>
      <c r="C12" s="572"/>
      <c r="D12" s="28"/>
      <c r="E12" s="18"/>
      <c r="F12" s="18"/>
      <c r="G12" s="18"/>
      <c r="H12" s="18"/>
      <c r="I12" s="19"/>
      <c r="J12" s="19"/>
      <c r="K12" s="19"/>
      <c r="L12" s="19"/>
      <c r="M12" s="19"/>
      <c r="N12" s="19"/>
      <c r="O12" s="19"/>
      <c r="P12" s="19"/>
      <c r="Q12" s="19"/>
      <c r="R12" s="18"/>
      <c r="S12" s="19"/>
      <c r="T12" s="19"/>
      <c r="U12" s="19"/>
    </row>
    <row r="13" spans="1:24" ht="13.8" thickBot="1" x14ac:dyDescent="0.3">
      <c r="A13" s="708">
        <v>5241</v>
      </c>
      <c r="B13" s="60" t="s">
        <v>1257</v>
      </c>
      <c r="C13" s="116">
        <v>4741</v>
      </c>
      <c r="D13" s="15">
        <v>2715</v>
      </c>
      <c r="E13" s="13">
        <v>5850</v>
      </c>
      <c r="F13" s="13">
        <v>6360</v>
      </c>
      <c r="G13" s="13">
        <v>6040</v>
      </c>
      <c r="H13" s="13">
        <v>5440</v>
      </c>
      <c r="I13" s="13">
        <v>6955</v>
      </c>
      <c r="J13" s="13">
        <v>6845</v>
      </c>
      <c r="K13" s="14">
        <v>7000</v>
      </c>
      <c r="L13" s="13">
        <v>3227.64</v>
      </c>
      <c r="M13" s="14">
        <v>12000</v>
      </c>
      <c r="N13" s="13">
        <v>11203.84</v>
      </c>
      <c r="O13" s="14">
        <v>12000</v>
      </c>
      <c r="P13" s="13">
        <v>12000</v>
      </c>
      <c r="Q13" s="14">
        <v>30000</v>
      </c>
      <c r="R13" s="13">
        <v>17908.330000000002</v>
      </c>
      <c r="S13" s="14">
        <v>30000</v>
      </c>
      <c r="T13" s="14"/>
      <c r="U13" s="14"/>
      <c r="V13" s="202"/>
    </row>
    <row r="14" spans="1:24" x14ac:dyDescent="0.25">
      <c r="A14" s="708">
        <v>5245</v>
      </c>
      <c r="B14" s="60" t="s">
        <v>1258</v>
      </c>
      <c r="C14" s="572"/>
      <c r="D14" s="28"/>
      <c r="E14" s="13"/>
      <c r="F14" s="13"/>
      <c r="G14" s="13"/>
      <c r="H14" s="13">
        <v>3000</v>
      </c>
      <c r="I14" s="13"/>
      <c r="J14" s="13"/>
      <c r="K14" s="14"/>
      <c r="L14" s="13"/>
      <c r="M14" s="14">
        <v>1440</v>
      </c>
      <c r="N14" s="13">
        <v>2163</v>
      </c>
      <c r="O14" s="14">
        <v>2165</v>
      </c>
      <c r="P14" s="13">
        <v>2165</v>
      </c>
      <c r="Q14" s="14"/>
      <c r="R14" s="13"/>
      <c r="S14" s="14"/>
      <c r="T14" s="14"/>
      <c r="U14" s="14"/>
    </row>
    <row r="15" spans="1:24" x14ac:dyDescent="0.25">
      <c r="A15" s="708">
        <v>5730</v>
      </c>
      <c r="B15" s="60" t="s">
        <v>727</v>
      </c>
      <c r="C15" s="572"/>
      <c r="D15" s="28"/>
      <c r="E15" s="35"/>
      <c r="F15" s="35"/>
      <c r="G15" s="35"/>
      <c r="H15" s="35"/>
      <c r="I15" s="35"/>
      <c r="J15" s="35"/>
      <c r="K15" s="36"/>
      <c r="L15" s="35"/>
      <c r="M15" s="36"/>
      <c r="N15" s="35"/>
      <c r="O15" s="36"/>
      <c r="P15" s="35"/>
      <c r="Q15" s="36">
        <v>150</v>
      </c>
      <c r="R15" s="35"/>
      <c r="S15" s="36">
        <v>150</v>
      </c>
      <c r="T15" s="36"/>
      <c r="U15" s="36"/>
    </row>
    <row r="16" spans="1:24" ht="13.8" thickBot="1" x14ac:dyDescent="0.3">
      <c r="A16" s="708"/>
      <c r="B16" s="60"/>
      <c r="C16" s="572"/>
      <c r="D16" s="28"/>
      <c r="E16" s="15"/>
      <c r="F16" s="15"/>
      <c r="G16" s="15"/>
      <c r="H16" s="15"/>
      <c r="I16" s="15"/>
      <c r="J16" s="15"/>
      <c r="K16" s="16"/>
      <c r="L16" s="15"/>
      <c r="M16" s="16"/>
      <c r="N16" s="15"/>
      <c r="O16" s="16"/>
      <c r="P16" s="15"/>
      <c r="Q16" s="16"/>
      <c r="R16" s="15"/>
      <c r="S16" s="16"/>
      <c r="T16" s="16"/>
      <c r="U16" s="16"/>
    </row>
    <row r="17" spans="1:24" x14ac:dyDescent="0.25">
      <c r="A17" s="708"/>
      <c r="B17" s="61" t="s">
        <v>728</v>
      </c>
      <c r="C17" s="117">
        <f t="shared" ref="C17:E17" si="1">SUM(C13:C13)</f>
        <v>4741</v>
      </c>
      <c r="D17" s="18">
        <f t="shared" si="1"/>
        <v>2715</v>
      </c>
      <c r="E17" s="18">
        <f t="shared" si="1"/>
        <v>5850</v>
      </c>
      <c r="F17" s="18">
        <f>+F13</f>
        <v>6360</v>
      </c>
      <c r="G17" s="18">
        <f>+G13</f>
        <v>6040</v>
      </c>
      <c r="H17" s="18">
        <f>+H13</f>
        <v>5440</v>
      </c>
      <c r="I17" s="18">
        <f>SUM(I13:I14)</f>
        <v>6955</v>
      </c>
      <c r="J17" s="18">
        <f>SUM(J13:J14)</f>
        <v>6845</v>
      </c>
      <c r="K17" s="19">
        <f>SUM(K13:K16)</f>
        <v>7000</v>
      </c>
      <c r="L17" s="18">
        <f t="shared" ref="L17:O17" si="2">SUM(L13:L16)</f>
        <v>3227.64</v>
      </c>
      <c r="M17" s="19">
        <f t="shared" si="2"/>
        <v>13440</v>
      </c>
      <c r="N17" s="18">
        <f t="shared" ref="N17" si="3">SUM(N13:N16)</f>
        <v>13366.84</v>
      </c>
      <c r="O17" s="19">
        <f t="shared" si="2"/>
        <v>14165</v>
      </c>
      <c r="P17" s="18">
        <f t="shared" ref="P17" si="4">SUM(P13:P16)</f>
        <v>14165</v>
      </c>
      <c r="Q17" s="19">
        <f>SUM(Q13:Q16)</f>
        <v>30150</v>
      </c>
      <c r="R17" s="18">
        <f>SUM(R13:R16)</f>
        <v>17908.330000000002</v>
      </c>
      <c r="S17" s="19">
        <f>SUM(S13:S16)</f>
        <v>30150</v>
      </c>
      <c r="T17" s="19"/>
      <c r="U17" s="19">
        <f>SUM(U13:U13)</f>
        <v>0</v>
      </c>
    </row>
    <row r="18" spans="1:24" x14ac:dyDescent="0.25">
      <c r="A18" s="708"/>
      <c r="B18" s="182"/>
      <c r="C18" s="572"/>
      <c r="D18" s="28"/>
      <c r="E18" s="28"/>
      <c r="F18" s="28"/>
      <c r="G18" s="28"/>
      <c r="H18" s="28"/>
      <c r="I18" s="28"/>
      <c r="J18" s="28"/>
      <c r="K18" s="29"/>
      <c r="L18" s="28"/>
      <c r="M18" s="29"/>
      <c r="N18" s="28"/>
      <c r="O18" s="29"/>
      <c r="P18" s="28"/>
      <c r="Q18" s="29"/>
      <c r="R18" s="28"/>
      <c r="S18" s="29"/>
      <c r="T18" s="29"/>
      <c r="U18" s="29"/>
    </row>
    <row r="19" spans="1:24" ht="13.8" thickBot="1" x14ac:dyDescent="0.3">
      <c r="A19" s="708">
        <v>5800</v>
      </c>
      <c r="B19" s="60" t="s">
        <v>1259</v>
      </c>
      <c r="C19" s="116"/>
      <c r="D19" s="15"/>
      <c r="E19" s="15"/>
      <c r="F19" s="15"/>
      <c r="G19" s="15"/>
      <c r="H19" s="15"/>
      <c r="I19" s="15"/>
      <c r="J19" s="15"/>
      <c r="K19" s="41"/>
      <c r="L19" s="15"/>
      <c r="M19" s="41"/>
      <c r="N19" s="15"/>
      <c r="O19" s="41"/>
      <c r="P19" s="15"/>
      <c r="Q19" s="41"/>
      <c r="R19" s="15"/>
      <c r="S19" s="41"/>
      <c r="T19" s="41"/>
      <c r="U19" s="41"/>
    </row>
    <row r="20" spans="1:24" x14ac:dyDescent="0.25">
      <c r="A20" s="708"/>
      <c r="B20" s="61" t="s">
        <v>829</v>
      </c>
      <c r="C20" s="117">
        <f t="shared" ref="C20:S20" si="5">+C19</f>
        <v>0</v>
      </c>
      <c r="D20" s="18">
        <f t="shared" si="5"/>
        <v>0</v>
      </c>
      <c r="E20" s="18">
        <f>+E19</f>
        <v>0</v>
      </c>
      <c r="F20" s="18"/>
      <c r="G20" s="18"/>
      <c r="H20" s="18"/>
      <c r="I20" s="18">
        <f>+I19</f>
        <v>0</v>
      </c>
      <c r="J20" s="18">
        <f>+J19</f>
        <v>0</v>
      </c>
      <c r="K20" s="19">
        <f t="shared" ref="K20:O20" si="6">+K19</f>
        <v>0</v>
      </c>
      <c r="L20" s="18">
        <f t="shared" si="6"/>
        <v>0</v>
      </c>
      <c r="M20" s="19">
        <f t="shared" si="6"/>
        <v>0</v>
      </c>
      <c r="N20" s="18">
        <f t="shared" ref="N20" si="7">+N19</f>
        <v>0</v>
      </c>
      <c r="O20" s="19">
        <f t="shared" si="6"/>
        <v>0</v>
      </c>
      <c r="P20" s="18">
        <f t="shared" ref="P20" si="8">+P19</f>
        <v>0</v>
      </c>
      <c r="Q20" s="19">
        <f t="shared" ref="Q20" si="9">+Q19</f>
        <v>0</v>
      </c>
      <c r="R20" s="18">
        <f t="shared" si="5"/>
        <v>0</v>
      </c>
      <c r="S20" s="19">
        <f t="shared" si="5"/>
        <v>0</v>
      </c>
      <c r="T20" s="19"/>
      <c r="U20" s="19">
        <f>+U19</f>
        <v>0</v>
      </c>
    </row>
    <row r="21" spans="1:24" x14ac:dyDescent="0.25">
      <c r="A21" s="708"/>
      <c r="B21" s="60"/>
      <c r="C21" s="115"/>
      <c r="D21" s="13"/>
      <c r="E21" s="13"/>
      <c r="F21" s="13"/>
      <c r="G21" s="13"/>
      <c r="H21" s="13"/>
      <c r="I21" s="13"/>
      <c r="J21" s="13"/>
      <c r="K21" s="14"/>
      <c r="L21" s="13"/>
      <c r="M21" s="14"/>
      <c r="N21" s="13"/>
      <c r="O21" s="14"/>
      <c r="P21" s="13"/>
      <c r="Q21" s="14"/>
      <c r="R21" s="13"/>
      <c r="S21" s="14"/>
      <c r="T21" s="14"/>
      <c r="U21" s="14"/>
    </row>
    <row r="22" spans="1:24" ht="13.8" thickBot="1" x14ac:dyDescent="0.3">
      <c r="A22" s="709"/>
      <c r="B22" s="583" t="s">
        <v>1260</v>
      </c>
      <c r="C22" s="577">
        <f t="shared" ref="C22:R22" si="10">+C20+C17</f>
        <v>4741</v>
      </c>
      <c r="D22" s="21">
        <f t="shared" si="10"/>
        <v>2715</v>
      </c>
      <c r="E22" s="21">
        <f t="shared" ref="E22:J22" si="11">+E20+E17</f>
        <v>5850</v>
      </c>
      <c r="F22" s="21">
        <f t="shared" si="11"/>
        <v>6360</v>
      </c>
      <c r="G22" s="21">
        <f t="shared" si="11"/>
        <v>6040</v>
      </c>
      <c r="H22" s="21">
        <f t="shared" si="11"/>
        <v>5440</v>
      </c>
      <c r="I22" s="21">
        <f t="shared" si="11"/>
        <v>6955</v>
      </c>
      <c r="J22" s="21">
        <f t="shared" si="11"/>
        <v>6845</v>
      </c>
      <c r="K22" s="22">
        <f t="shared" ref="K22:O22" si="12">+K20+K17</f>
        <v>7000</v>
      </c>
      <c r="L22" s="21">
        <f t="shared" si="12"/>
        <v>3227.64</v>
      </c>
      <c r="M22" s="22">
        <f t="shared" si="12"/>
        <v>13440</v>
      </c>
      <c r="N22" s="21">
        <f t="shared" ref="N22" si="13">+N20+N17</f>
        <v>13366.84</v>
      </c>
      <c r="O22" s="22">
        <f t="shared" si="12"/>
        <v>14165</v>
      </c>
      <c r="P22" s="21">
        <f t="shared" ref="P22" si="14">+P20+P17</f>
        <v>14165</v>
      </c>
      <c r="Q22" s="22">
        <f t="shared" ref="Q22" si="15">+Q20+Q17</f>
        <v>30150</v>
      </c>
      <c r="R22" s="21">
        <f t="shared" si="10"/>
        <v>17908.330000000002</v>
      </c>
      <c r="S22" s="22">
        <f>+S20+S17+S11</f>
        <v>32150</v>
      </c>
      <c r="T22" s="22">
        <f>+S22</f>
        <v>32150</v>
      </c>
      <c r="U22" s="22">
        <f>+S22</f>
        <v>32150</v>
      </c>
    </row>
    <row r="23" spans="1:24" ht="13.8" thickTop="1" x14ac:dyDescent="0.25">
      <c r="A23" s="703"/>
      <c r="B23" s="584"/>
      <c r="C23" s="24"/>
      <c r="D23" s="24"/>
      <c r="E23" s="24"/>
      <c r="F23" s="24"/>
      <c r="G23" s="24"/>
      <c r="H23" s="24"/>
      <c r="I23" s="24"/>
      <c r="J23" s="24"/>
      <c r="K23" s="24"/>
      <c r="L23" s="24"/>
      <c r="M23" s="24"/>
      <c r="N23" s="24"/>
      <c r="O23" s="24"/>
      <c r="P23" s="24"/>
      <c r="Q23" s="24"/>
      <c r="R23" s="181" t="s">
        <v>732</v>
      </c>
      <c r="S23" s="1001">
        <f>+S22-Q22</f>
        <v>2000</v>
      </c>
      <c r="T23" s="1002">
        <f>ROUND((+S23/Q22),4)</f>
        <v>6.6299999999999998E-2</v>
      </c>
      <c r="U23" s="23"/>
      <c r="V23" s="25"/>
      <c r="W23" s="25"/>
      <c r="X23" s="25"/>
    </row>
    <row r="24" spans="1:24" ht="13.8" thickBot="1" x14ac:dyDescent="0.3">
      <c r="A24" s="703"/>
      <c r="B24" s="4"/>
      <c r="C24" s="23"/>
      <c r="D24" s="23"/>
      <c r="E24" s="23"/>
      <c r="F24" s="23"/>
      <c r="G24" s="23"/>
      <c r="H24" s="23"/>
      <c r="I24" s="23"/>
      <c r="J24" s="23"/>
      <c r="K24" s="23"/>
      <c r="L24" s="23"/>
      <c r="M24" s="23"/>
      <c r="N24" s="23"/>
      <c r="O24" s="23"/>
      <c r="P24" s="23"/>
      <c r="Q24" s="23"/>
      <c r="R24" s="25"/>
      <c r="S24" s="23"/>
      <c r="T24" s="23"/>
      <c r="U24" s="25"/>
      <c r="V24" s="25"/>
      <c r="W24" s="25"/>
      <c r="X24" s="25"/>
    </row>
    <row r="25" spans="1:24" ht="13.8" thickTop="1" x14ac:dyDescent="0.25">
      <c r="A25" s="718"/>
      <c r="B25" s="349"/>
      <c r="C25" s="350" t="s">
        <v>256</v>
      </c>
      <c r="D25" s="351" t="s">
        <v>256</v>
      </c>
      <c r="E25" s="351" t="s">
        <v>256</v>
      </c>
      <c r="F25" s="194"/>
      <c r="G25" s="194"/>
      <c r="H25" s="194"/>
      <c r="I25" s="194"/>
      <c r="J25" s="194"/>
      <c r="K25" s="194"/>
      <c r="L25" s="194"/>
      <c r="O25" s="352" t="s">
        <v>255</v>
      </c>
      <c r="P25" s="353" t="s">
        <v>716</v>
      </c>
      <c r="Q25" s="354" t="s">
        <v>730</v>
      </c>
      <c r="R25" s="353" t="s">
        <v>731</v>
      </c>
      <c r="S25" s="355"/>
      <c r="T25" s="550"/>
      <c r="U25" s="354"/>
      <c r="V25" s="25"/>
      <c r="W25" s="25"/>
      <c r="X25" s="25"/>
    </row>
    <row r="26" spans="1:24" ht="13.8" thickBot="1" x14ac:dyDescent="0.3">
      <c r="A26" s="719" t="s">
        <v>715</v>
      </c>
      <c r="B26" s="356"/>
      <c r="C26" s="357" t="s">
        <v>243</v>
      </c>
      <c r="D26" s="357" t="s">
        <v>244</v>
      </c>
      <c r="E26" s="358" t="s">
        <v>245</v>
      </c>
      <c r="F26" s="194"/>
      <c r="G26" s="194"/>
      <c r="H26" s="194"/>
      <c r="I26" s="194"/>
      <c r="J26" s="194"/>
      <c r="K26" s="194"/>
      <c r="L26" s="194"/>
      <c r="O26" s="359" t="s">
        <v>469</v>
      </c>
      <c r="P26" s="359" t="s">
        <v>1345</v>
      </c>
      <c r="Q26" s="358" t="s">
        <v>732</v>
      </c>
      <c r="R26" s="360" t="s">
        <v>732</v>
      </c>
      <c r="S26" s="361" t="s">
        <v>733</v>
      </c>
      <c r="T26" s="551"/>
      <c r="U26" s="359"/>
      <c r="V26" s="25"/>
      <c r="W26" s="25"/>
      <c r="X26" s="25"/>
    </row>
    <row r="27" spans="1:24" ht="13.8" thickTop="1" x14ac:dyDescent="0.25">
      <c r="A27" s="726"/>
      <c r="B27" s="376"/>
      <c r="C27" s="365"/>
      <c r="D27" s="365"/>
      <c r="E27" s="365"/>
      <c r="F27" s="194"/>
      <c r="G27" s="194"/>
      <c r="H27" s="194"/>
      <c r="I27" s="194"/>
      <c r="J27" s="194"/>
      <c r="K27" s="194"/>
      <c r="L27" s="194"/>
      <c r="O27" s="366"/>
      <c r="P27" s="365"/>
      <c r="Q27" s="396"/>
      <c r="R27" s="374"/>
      <c r="S27" s="367"/>
      <c r="T27" s="553"/>
      <c r="U27" s="368"/>
      <c r="V27" s="25"/>
      <c r="W27" s="25"/>
      <c r="X27" s="25"/>
    </row>
    <row r="28" spans="1:24" ht="13.8" thickBot="1" x14ac:dyDescent="0.3">
      <c r="A28" s="724">
        <v>5241</v>
      </c>
      <c r="B28" s="369" t="s">
        <v>1257</v>
      </c>
      <c r="C28" s="371">
        <v>4741</v>
      </c>
      <c r="D28" s="371">
        <v>2715</v>
      </c>
      <c r="E28" s="373">
        <v>5850</v>
      </c>
      <c r="F28" s="194"/>
      <c r="G28" s="194"/>
      <c r="H28" s="194"/>
      <c r="I28" s="194"/>
      <c r="J28" s="194"/>
      <c r="K28" s="194"/>
      <c r="L28" s="194"/>
      <c r="O28" s="372">
        <f>+Q13</f>
        <v>30000</v>
      </c>
      <c r="P28" s="393">
        <f>+S13</f>
        <v>30000</v>
      </c>
      <c r="Q28" s="396">
        <f>+P28-O28</f>
        <v>0</v>
      </c>
      <c r="R28" s="374" t="str">
        <f>IF(O28+P28&lt;&gt;0,IF(O28&lt;&gt;0,IF(Q28&lt;&gt;0,ROUND((+Q28/O28),4),""),1),"")</f>
        <v/>
      </c>
      <c r="S28" s="367"/>
      <c r="T28" s="553"/>
      <c r="U28" s="368"/>
      <c r="V28" s="25"/>
      <c r="W28" s="25"/>
      <c r="X28" s="25"/>
    </row>
    <row r="29" spans="1:24" x14ac:dyDescent="0.25">
      <c r="A29" s="724">
        <v>5245</v>
      </c>
      <c r="B29" s="369" t="s">
        <v>1261</v>
      </c>
      <c r="C29" s="377"/>
      <c r="D29" s="377"/>
      <c r="E29" s="373"/>
      <c r="F29" s="194"/>
      <c r="G29" s="194"/>
      <c r="H29" s="194"/>
      <c r="I29" s="194"/>
      <c r="J29" s="194"/>
      <c r="K29" s="194"/>
      <c r="L29" s="194"/>
      <c r="O29" s="372">
        <f>+Q14</f>
        <v>0</v>
      </c>
      <c r="P29" s="393">
        <f>+S14</f>
        <v>0</v>
      </c>
      <c r="Q29" s="396">
        <f t="shared" ref="Q29:Q30" si="16">+P29-O29</f>
        <v>0</v>
      </c>
      <c r="R29" s="374" t="str">
        <f>IF(O29+P29&lt;&gt;0,IF(O29&lt;&gt;0,IF(Q29&lt;&gt;0,ROUND((+Q29/O29),4),""),1),"")</f>
        <v/>
      </c>
      <c r="S29" s="367"/>
      <c r="T29" s="553"/>
      <c r="U29" s="368"/>
      <c r="V29" s="25"/>
      <c r="W29" s="25"/>
      <c r="X29" s="25"/>
    </row>
    <row r="30" spans="1:24" x14ac:dyDescent="0.25">
      <c r="A30" s="724">
        <v>5730</v>
      </c>
      <c r="B30" s="397" t="s">
        <v>727</v>
      </c>
      <c r="C30" s="377"/>
      <c r="D30" s="377"/>
      <c r="E30" s="373"/>
      <c r="F30" s="194"/>
      <c r="G30" s="194"/>
      <c r="H30" s="194"/>
      <c r="I30" s="194"/>
      <c r="J30" s="194"/>
      <c r="K30" s="194"/>
      <c r="L30" s="194"/>
      <c r="O30" s="372">
        <f>+Q15</f>
        <v>150</v>
      </c>
      <c r="P30" s="393">
        <f>+S15</f>
        <v>150</v>
      </c>
      <c r="Q30" s="396">
        <f t="shared" si="16"/>
        <v>0</v>
      </c>
      <c r="R30" s="374" t="str">
        <f>IF(O30+P30&lt;&gt;0,IF(O30&lt;&gt;0,IF(Q30&lt;&gt;0,ROUND((+Q30/O30),4),""),1),"")</f>
        <v/>
      </c>
      <c r="S30" s="367"/>
      <c r="T30" s="553"/>
      <c r="U30" s="368"/>
      <c r="V30" s="25"/>
      <c r="W30" s="25"/>
      <c r="X30" s="25"/>
    </row>
    <row r="31" spans="1:24" x14ac:dyDescent="0.25">
      <c r="A31" s="738"/>
      <c r="B31" s="388"/>
      <c r="C31" s="398"/>
      <c r="D31" s="398"/>
      <c r="E31" s="398"/>
      <c r="F31" s="194"/>
      <c r="G31" s="194"/>
      <c r="H31" s="194"/>
      <c r="I31" s="194"/>
      <c r="J31" s="194"/>
      <c r="K31" s="194"/>
      <c r="L31" s="194"/>
      <c r="O31" s="398"/>
      <c r="P31" s="398"/>
      <c r="Q31" s="398"/>
      <c r="R31" s="399"/>
      <c r="S31" s="398"/>
      <c r="T31" s="398"/>
      <c r="U31" s="398"/>
      <c r="V31" s="25"/>
      <c r="W31" s="25"/>
      <c r="X31" s="25"/>
    </row>
    <row r="32" spans="1:24" x14ac:dyDescent="0.25">
      <c r="A32" s="703"/>
      <c r="B32" s="4"/>
      <c r="C32" s="23"/>
      <c r="D32" s="23"/>
      <c r="E32" s="23"/>
      <c r="F32" s="23"/>
      <c r="G32" s="23"/>
      <c r="H32" s="194"/>
      <c r="I32" s="194"/>
      <c r="J32" s="194"/>
      <c r="K32" s="194"/>
      <c r="L32" s="194"/>
      <c r="O32" s="23"/>
      <c r="P32" s="23"/>
      <c r="Q32" s="23"/>
      <c r="R32" s="25"/>
      <c r="S32" s="23"/>
      <c r="T32" s="23"/>
      <c r="U32" s="23"/>
      <c r="V32" s="25"/>
      <c r="W32" s="25"/>
      <c r="X32" s="25"/>
    </row>
    <row r="33" spans="1:24" x14ac:dyDescent="0.25">
      <c r="A33" s="703"/>
      <c r="B33" s="4" t="s">
        <v>735</v>
      </c>
      <c r="C33" s="23"/>
      <c r="D33" s="23"/>
      <c r="E33" s="23"/>
      <c r="F33" s="23"/>
      <c r="G33" s="23"/>
      <c r="H33" s="194"/>
      <c r="I33" s="194"/>
      <c r="J33" s="194"/>
      <c r="K33" s="194"/>
      <c r="L33" s="194"/>
      <c r="O33" s="597">
        <f>SUM(O28:O32)</f>
        <v>30150</v>
      </c>
      <c r="P33" s="597">
        <f>SUM(P28:P32)</f>
        <v>30150</v>
      </c>
      <c r="Q33" s="25">
        <f>+P33-O33</f>
        <v>0</v>
      </c>
      <c r="R33" s="598" t="str">
        <f>IF(O33+P33&lt;&gt;0,IF(O33&lt;&gt;0,IF(Q33&lt;&gt;0,ROUND((+Q33/O33),4),""),1),"")</f>
        <v/>
      </c>
      <c r="S33" s="23"/>
      <c r="T33" s="23"/>
      <c r="U33" s="23"/>
      <c r="V33" s="25"/>
      <c r="W33" s="25"/>
      <c r="X33" s="25"/>
    </row>
    <row r="34" spans="1:24" x14ac:dyDescent="0.25">
      <c r="A34" s="703"/>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5">
      <c r="A35" s="703"/>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5">
      <c r="A36" s="703"/>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5">
      <c r="A37" s="703"/>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5">
      <c r="A38" s="703"/>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5">
      <c r="A39" s="703"/>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5">
      <c r="A40" s="703"/>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5">
      <c r="A41" s="703"/>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5">
      <c r="A44" s="703"/>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5">
      <c r="A45" s="703"/>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5">
      <c r="A46" s="703"/>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5">
      <c r="A47" s="703"/>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5">
      <c r="A48" s="703"/>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5">
      <c r="A49" s="703"/>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5">
      <c r="A50" s="703"/>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5">
      <c r="A51" s="703"/>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5">
      <c r="A52" s="703"/>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5">
      <c r="A53" s="703"/>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5">
      <c r="A54" s="703"/>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5">
      <c r="A55" s="703"/>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5">
      <c r="A56" s="703"/>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5">
      <c r="A57" s="703"/>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5">
      <c r="A58" s="703"/>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5">
      <c r="A59" s="703"/>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5">
      <c r="A60" s="703"/>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5">
      <c r="A61" s="703"/>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5">
      <c r="A62" s="703"/>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5">
      <c r="A63" s="703"/>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5">
      <c r="A64" s="703"/>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5">
      <c r="A65" s="703"/>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5">
      <c r="A66" s="703"/>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5">
      <c r="A67" s="703"/>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5">
      <c r="A68" s="703"/>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5">
      <c r="A69" s="703"/>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5">
      <c r="A70" s="703"/>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5">
      <c r="A71" s="703"/>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5">
      <c r="A72" s="703"/>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5">
      <c r="A73" s="703"/>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5">
      <c r="A124" s="703"/>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5">
      <c r="A125" s="703"/>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5">
      <c r="A126" s="703"/>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5">
      <c r="A127" s="703"/>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5">
      <c r="A128" s="703"/>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5">
      <c r="A129" s="703"/>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5">
      <c r="A130" s="703"/>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5">
      <c r="A131" s="703"/>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5">
      <c r="A132" s="703"/>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5">
      <c r="A133" s="703"/>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5">
      <c r="A134" s="703"/>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5">
      <c r="C135" s="194"/>
      <c r="D135" s="194"/>
      <c r="E135" s="194"/>
      <c r="F135" s="194"/>
      <c r="G135" s="194"/>
      <c r="H135" s="194"/>
      <c r="I135" s="194"/>
      <c r="J135" s="194"/>
      <c r="K135" s="194"/>
      <c r="L135" s="194"/>
      <c r="M135" s="194"/>
      <c r="N135" s="194"/>
      <c r="O135" s="194"/>
      <c r="P135" s="194"/>
      <c r="Q135" s="194"/>
    </row>
    <row r="136" spans="1:24" x14ac:dyDescent="0.25">
      <c r="C136" s="194"/>
      <c r="D136" s="194"/>
      <c r="E136" s="194"/>
      <c r="F136" s="194"/>
      <c r="G136" s="194"/>
      <c r="H136" s="194"/>
      <c r="I136" s="194"/>
      <c r="J136" s="194"/>
      <c r="K136" s="194"/>
      <c r="L136" s="194"/>
      <c r="M136" s="194"/>
      <c r="N136" s="194"/>
      <c r="O136" s="194"/>
      <c r="P136" s="194"/>
      <c r="Q136" s="194"/>
    </row>
    <row r="137" spans="1:24" x14ac:dyDescent="0.25">
      <c r="C137" s="194"/>
      <c r="D137" s="194"/>
      <c r="E137" s="194"/>
      <c r="F137" s="194"/>
      <c r="G137" s="194"/>
      <c r="H137" s="194"/>
      <c r="I137" s="194"/>
      <c r="J137" s="194"/>
      <c r="K137" s="194"/>
      <c r="L137" s="194"/>
      <c r="M137" s="194"/>
      <c r="N137" s="194"/>
      <c r="O137" s="194"/>
      <c r="P137" s="194"/>
      <c r="Q137" s="194"/>
    </row>
    <row r="138" spans="1:24" x14ac:dyDescent="0.25">
      <c r="C138" s="194"/>
      <c r="D138" s="194"/>
      <c r="E138" s="194"/>
      <c r="F138" s="194"/>
      <c r="G138" s="194"/>
      <c r="H138" s="194"/>
      <c r="I138" s="194"/>
      <c r="J138" s="194"/>
      <c r="K138" s="194"/>
      <c r="L138" s="194"/>
      <c r="M138" s="194"/>
      <c r="N138" s="194"/>
      <c r="O138" s="194"/>
      <c r="P138" s="194"/>
      <c r="Q138" s="194"/>
    </row>
    <row r="139" spans="1:24" x14ac:dyDescent="0.25">
      <c r="C139" s="194"/>
      <c r="D139" s="194"/>
      <c r="E139" s="194"/>
      <c r="F139" s="194"/>
      <c r="G139" s="194"/>
      <c r="H139" s="194"/>
      <c r="I139" s="194"/>
      <c r="J139" s="194"/>
      <c r="K139" s="194"/>
      <c r="L139" s="194"/>
      <c r="M139" s="194"/>
      <c r="N139" s="194"/>
      <c r="O139" s="194"/>
      <c r="P139" s="194"/>
      <c r="Q139" s="194"/>
    </row>
    <row r="140" spans="1:24" x14ac:dyDescent="0.25">
      <c r="C140" s="194"/>
      <c r="D140" s="194"/>
      <c r="E140" s="194"/>
      <c r="F140" s="194"/>
      <c r="G140" s="194"/>
      <c r="H140" s="194"/>
      <c r="I140" s="194"/>
      <c r="J140" s="194"/>
      <c r="K140" s="194"/>
      <c r="L140" s="194"/>
      <c r="M140" s="194"/>
      <c r="N140" s="194"/>
      <c r="O140" s="194"/>
      <c r="P140" s="194"/>
      <c r="Q140" s="194"/>
    </row>
    <row r="141" spans="1:24" x14ac:dyDescent="0.25">
      <c r="C141" s="194"/>
      <c r="D141" s="194"/>
      <c r="E141" s="194"/>
      <c r="F141" s="194"/>
      <c r="G141" s="194"/>
      <c r="H141" s="194"/>
      <c r="I141" s="194"/>
      <c r="J141" s="194"/>
      <c r="K141" s="194"/>
      <c r="L141" s="194"/>
      <c r="M141" s="194"/>
      <c r="N141" s="194"/>
      <c r="O141" s="194"/>
      <c r="P141" s="194"/>
      <c r="Q141" s="194"/>
    </row>
    <row r="142" spans="1:24" x14ac:dyDescent="0.25">
      <c r="C142" s="194"/>
      <c r="D142" s="194"/>
      <c r="E142" s="194"/>
      <c r="F142" s="194"/>
      <c r="G142" s="194"/>
      <c r="H142" s="194"/>
      <c r="I142" s="194"/>
      <c r="J142" s="194"/>
      <c r="K142" s="194"/>
      <c r="L142" s="194"/>
      <c r="M142" s="194"/>
      <c r="N142" s="194"/>
      <c r="O142" s="194"/>
      <c r="P142" s="194"/>
      <c r="Q142" s="194"/>
    </row>
    <row r="143" spans="1:24" x14ac:dyDescent="0.25">
      <c r="C143" s="194"/>
      <c r="D143" s="194"/>
      <c r="E143" s="194"/>
      <c r="F143" s="194"/>
      <c r="G143" s="194"/>
      <c r="H143" s="194"/>
      <c r="I143" s="194"/>
      <c r="J143" s="194"/>
      <c r="K143" s="194"/>
      <c r="L143" s="194"/>
      <c r="M143" s="194"/>
      <c r="N143" s="194"/>
      <c r="O143" s="194"/>
      <c r="P143" s="194"/>
      <c r="Q143" s="194"/>
    </row>
    <row r="144" spans="1:24" x14ac:dyDescent="0.25">
      <c r="C144" s="194"/>
      <c r="D144" s="194"/>
      <c r="E144" s="194"/>
      <c r="F144" s="194"/>
      <c r="G144" s="194"/>
      <c r="H144" s="194"/>
      <c r="I144" s="194"/>
      <c r="J144" s="194"/>
      <c r="K144" s="194"/>
      <c r="L144" s="194"/>
      <c r="M144" s="194"/>
      <c r="N144" s="194"/>
      <c r="O144" s="194"/>
      <c r="P144" s="194"/>
      <c r="Q144" s="194"/>
    </row>
    <row r="145" spans="3:17" x14ac:dyDescent="0.25">
      <c r="C145" s="194"/>
      <c r="D145" s="194"/>
      <c r="E145" s="194"/>
      <c r="F145" s="194"/>
      <c r="G145" s="194"/>
      <c r="H145" s="194"/>
      <c r="I145" s="194"/>
      <c r="J145" s="194"/>
      <c r="K145" s="194"/>
      <c r="L145" s="194"/>
      <c r="M145" s="194"/>
      <c r="N145" s="194"/>
      <c r="O145" s="194"/>
      <c r="P145" s="194"/>
      <c r="Q145" s="194"/>
    </row>
    <row r="146" spans="3:17" x14ac:dyDescent="0.25">
      <c r="C146" s="194"/>
      <c r="D146" s="194"/>
      <c r="E146" s="194"/>
      <c r="F146" s="194"/>
      <c r="G146" s="194"/>
      <c r="H146" s="194"/>
      <c r="I146" s="194"/>
      <c r="J146" s="194"/>
      <c r="K146" s="194"/>
      <c r="L146" s="194"/>
      <c r="M146" s="194"/>
      <c r="N146" s="194"/>
      <c r="O146" s="194"/>
      <c r="P146" s="194"/>
      <c r="Q146" s="194"/>
    </row>
    <row r="147" spans="3:17" x14ac:dyDescent="0.25">
      <c r="C147" s="194"/>
      <c r="D147" s="194"/>
      <c r="E147" s="194"/>
      <c r="F147" s="194"/>
      <c r="G147" s="194"/>
      <c r="H147" s="194"/>
      <c r="I147" s="194"/>
      <c r="J147" s="194"/>
      <c r="K147" s="194"/>
      <c r="L147" s="194"/>
      <c r="M147" s="194"/>
      <c r="N147" s="194"/>
      <c r="O147" s="194"/>
      <c r="P147" s="194"/>
      <c r="Q147" s="194"/>
    </row>
    <row r="148" spans="3:17" x14ac:dyDescent="0.25">
      <c r="C148" s="194"/>
      <c r="D148" s="194"/>
      <c r="E148" s="194"/>
      <c r="F148" s="194"/>
      <c r="G148" s="194"/>
      <c r="H148" s="194"/>
      <c r="I148" s="194"/>
      <c r="J148" s="194"/>
      <c r="K148" s="194"/>
      <c r="L148" s="194"/>
      <c r="M148" s="194"/>
      <c r="N148" s="194"/>
      <c r="O148" s="194"/>
      <c r="P148" s="194"/>
      <c r="Q148" s="194"/>
    </row>
    <row r="149" spans="3:17" x14ac:dyDescent="0.25">
      <c r="C149" s="194"/>
      <c r="D149" s="194"/>
      <c r="E149" s="194"/>
      <c r="F149" s="194"/>
      <c r="G149" s="194"/>
      <c r="H149" s="194"/>
      <c r="I149" s="194"/>
      <c r="J149" s="194"/>
      <c r="K149" s="194"/>
      <c r="L149" s="194"/>
      <c r="M149" s="194"/>
      <c r="N149" s="194"/>
      <c r="O149" s="194"/>
      <c r="P149" s="194"/>
      <c r="Q149" s="194"/>
    </row>
    <row r="150" spans="3:17" x14ac:dyDescent="0.25">
      <c r="C150" s="194"/>
    </row>
    <row r="151" spans="3:17" x14ac:dyDescent="0.25">
      <c r="C151" s="194"/>
    </row>
    <row r="152" spans="3:17" x14ac:dyDescent="0.25">
      <c r="C152" s="194"/>
    </row>
    <row r="153" spans="3:17" x14ac:dyDescent="0.25">
      <c r="C153" s="194"/>
    </row>
    <row r="154" spans="3:17" x14ac:dyDescent="0.25">
      <c r="C154" s="194"/>
    </row>
    <row r="155" spans="3:17" x14ac:dyDescent="0.25">
      <c r="C155" s="194"/>
    </row>
    <row r="156" spans="3:17" x14ac:dyDescent="0.25">
      <c r="C156" s="194"/>
    </row>
    <row r="157" spans="3:17" x14ac:dyDescent="0.25">
      <c r="C157" s="194"/>
    </row>
    <row r="158" spans="3:17" x14ac:dyDescent="0.25">
      <c r="C158" s="194"/>
    </row>
    <row r="159" spans="3:17" x14ac:dyDescent="0.25">
      <c r="C159" s="194"/>
    </row>
    <row r="160" spans="3:17"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row r="180" spans="3:3" x14ac:dyDescent="0.25">
      <c r="C180" s="194"/>
    </row>
    <row r="181" spans="3:3" x14ac:dyDescent="0.25">
      <c r="C181" s="194"/>
    </row>
    <row r="182" spans="3:3" x14ac:dyDescent="0.25">
      <c r="C182" s="194"/>
    </row>
    <row r="183" spans="3:3" x14ac:dyDescent="0.25">
      <c r="C183" s="194"/>
    </row>
    <row r="184" spans="3:3" x14ac:dyDescent="0.25">
      <c r="C184" s="194"/>
    </row>
    <row r="185" spans="3:3" x14ac:dyDescent="0.25">
      <c r="C185" s="194"/>
    </row>
    <row r="186" spans="3:3" x14ac:dyDescent="0.25">
      <c r="C186" s="194"/>
    </row>
    <row r="187" spans="3:3" x14ac:dyDescent="0.25">
      <c r="C187" s="194"/>
    </row>
  </sheetData>
  <phoneticPr fontId="0" type="noConversion"/>
  <hyperlinks>
    <hyperlink ref="A1" location="'Working Budget with funding det'!A1" display="Main " xr:uid="{00000000-0004-0000-2900-000000000000}"/>
    <hyperlink ref="B1" location="'Table of Contents'!A1" display="TOC" xr:uid="{00000000-0004-0000-29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Z111"/>
  <sheetViews>
    <sheetView topLeftCell="A21" zoomScaleNormal="100" workbookViewId="0">
      <selection activeCell="R41" sqref="R41"/>
    </sheetView>
  </sheetViews>
  <sheetFormatPr defaultRowHeight="13.2" x14ac:dyDescent="0.25"/>
  <cols>
    <col min="1" max="1" width="11.10937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 min="23" max="25" width="14.44140625" customWidth="1"/>
    <col min="26" max="26" width="14.6640625" style="2" customWidth="1"/>
  </cols>
  <sheetData>
    <row r="1" spans="1:25" x14ac:dyDescent="0.25">
      <c r="A1" s="701" t="s">
        <v>736</v>
      </c>
      <c r="B1" s="290" t="s">
        <v>194</v>
      </c>
      <c r="D1" s="194"/>
      <c r="E1" s="194"/>
      <c r="F1" s="194"/>
      <c r="G1" s="194"/>
      <c r="H1" s="194"/>
      <c r="I1" s="194"/>
      <c r="J1" s="194"/>
      <c r="K1" s="194"/>
      <c r="L1" s="194"/>
      <c r="M1" s="194"/>
      <c r="N1" s="194"/>
      <c r="O1" s="194"/>
      <c r="P1" s="194"/>
      <c r="Q1" s="194"/>
      <c r="V1"/>
    </row>
    <row r="2" spans="1:25" ht="13.8" x14ac:dyDescent="0.25">
      <c r="A2" s="702" t="s">
        <v>1262</v>
      </c>
      <c r="B2" s="43"/>
      <c r="D2" s="194"/>
      <c r="E2" s="125"/>
      <c r="F2" s="194"/>
      <c r="G2" s="194"/>
      <c r="H2" s="194"/>
      <c r="I2" s="125" t="s">
        <v>706</v>
      </c>
      <c r="J2" s="125"/>
      <c r="K2" s="125"/>
      <c r="L2" s="125"/>
      <c r="M2" s="125"/>
      <c r="N2" s="125"/>
      <c r="O2" s="125"/>
      <c r="P2" s="125"/>
      <c r="Q2" s="125"/>
      <c r="R2" s="58" t="s">
        <v>550</v>
      </c>
      <c r="U2" s="44" t="s">
        <v>1263</v>
      </c>
    </row>
    <row r="3" spans="1:25" ht="13.8" thickBot="1" x14ac:dyDescent="0.3">
      <c r="A3" s="703"/>
      <c r="B3" s="4"/>
      <c r="C3" s="23"/>
      <c r="D3" s="23"/>
      <c r="E3" s="23"/>
      <c r="F3" s="23"/>
      <c r="G3" s="23"/>
      <c r="H3" s="23"/>
      <c r="I3" s="23"/>
      <c r="J3" s="23"/>
      <c r="K3" s="23"/>
      <c r="L3" s="23"/>
      <c r="M3" s="23"/>
      <c r="N3" s="23"/>
      <c r="O3" s="23"/>
      <c r="P3" s="23"/>
      <c r="Q3" s="23"/>
      <c r="R3" s="4"/>
      <c r="S3" s="23"/>
      <c r="T3" s="23"/>
      <c r="U3" s="4"/>
      <c r="V3" s="4"/>
      <c r="Y3" s="4"/>
    </row>
    <row r="4" spans="1:25"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5" x14ac:dyDescent="0.25">
      <c r="A5" s="705"/>
      <c r="B5" s="184"/>
      <c r="C5" s="112"/>
      <c r="D5" s="82"/>
      <c r="E5" s="104"/>
      <c r="F5" s="104"/>
      <c r="G5" s="82"/>
      <c r="H5" s="104"/>
      <c r="I5" s="229"/>
      <c r="J5" s="229"/>
      <c r="K5" s="229"/>
      <c r="L5" s="229"/>
      <c r="M5" s="229"/>
      <c r="N5" s="229"/>
      <c r="O5" s="229"/>
      <c r="P5" s="229"/>
      <c r="Q5" s="229"/>
      <c r="R5" s="104" t="s">
        <v>709</v>
      </c>
      <c r="S5" s="83" t="s">
        <v>710</v>
      </c>
      <c r="T5" s="83" t="s">
        <v>711</v>
      </c>
      <c r="U5" s="178" t="s">
        <v>712</v>
      </c>
    </row>
    <row r="6" spans="1:25"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5"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5" ht="13.8" thickTop="1" x14ac:dyDescent="0.25">
      <c r="A8" s="707"/>
      <c r="B8" s="156"/>
      <c r="C8" s="114"/>
      <c r="D8" s="250"/>
      <c r="E8" s="250"/>
      <c r="F8" s="250"/>
      <c r="G8" s="250"/>
      <c r="H8" s="250"/>
      <c r="I8" s="250"/>
      <c r="J8" s="250"/>
      <c r="K8" s="145"/>
      <c r="L8" s="145"/>
      <c r="M8" s="145"/>
      <c r="N8" s="145"/>
      <c r="O8" s="145"/>
      <c r="P8" s="250"/>
      <c r="Q8" s="145"/>
      <c r="R8" s="59"/>
      <c r="S8" s="10"/>
      <c r="T8" s="10"/>
      <c r="U8" s="10"/>
    </row>
    <row r="9" spans="1:25" x14ac:dyDescent="0.25">
      <c r="A9" s="708">
        <v>5111</v>
      </c>
      <c r="B9" s="60" t="s">
        <v>1264</v>
      </c>
      <c r="C9" s="115">
        <v>62644</v>
      </c>
      <c r="D9" s="13">
        <f>129+62937</f>
        <v>63066</v>
      </c>
      <c r="E9" s="13">
        <v>64970</v>
      </c>
      <c r="F9" s="13">
        <v>66933</v>
      </c>
      <c r="G9" s="13">
        <v>68954</v>
      </c>
      <c r="H9" s="13">
        <v>69988</v>
      </c>
      <c r="I9" s="13">
        <v>73591.7</v>
      </c>
      <c r="J9" s="13">
        <v>65941.53</v>
      </c>
      <c r="K9" s="14">
        <f>37941+67610</f>
        <v>105551</v>
      </c>
      <c r="L9" s="13">
        <v>105572.13</v>
      </c>
      <c r="M9" s="14">
        <f>39130+69997</f>
        <v>109127</v>
      </c>
      <c r="N9" s="13">
        <v>109309.75</v>
      </c>
      <c r="O9" s="14">
        <f>1206+111290</f>
        <v>112496</v>
      </c>
      <c r="P9" s="13">
        <v>90506.12</v>
      </c>
      <c r="Q9" s="14">
        <v>120054</v>
      </c>
      <c r="R9" s="13">
        <v>41808.93</v>
      </c>
      <c r="S9" s="14">
        <f>ROUND((+R49+R50),0)</f>
        <v>111270</v>
      </c>
      <c r="T9" s="14"/>
      <c r="U9" s="14"/>
      <c r="V9" s="327"/>
    </row>
    <row r="10" spans="1:25" x14ac:dyDescent="0.25">
      <c r="A10" s="708">
        <v>5114</v>
      </c>
      <c r="B10" s="60" t="s">
        <v>2505</v>
      </c>
      <c r="C10" s="115">
        <v>12727.84</v>
      </c>
      <c r="D10" s="13">
        <v>14529.42</v>
      </c>
      <c r="E10" s="13">
        <v>15036.46</v>
      </c>
      <c r="F10" s="13">
        <v>15806.8</v>
      </c>
      <c r="G10" s="13">
        <v>15361.4</v>
      </c>
      <c r="H10" s="13">
        <v>16774.490000000002</v>
      </c>
      <c r="I10" s="127">
        <v>17626.96</v>
      </c>
      <c r="J10" s="127">
        <v>31097.119999999999</v>
      </c>
      <c r="K10" s="14"/>
      <c r="L10" s="127"/>
      <c r="M10" s="14"/>
      <c r="N10" s="127"/>
      <c r="O10" s="14"/>
      <c r="P10" s="13"/>
      <c r="Q10" s="14"/>
      <c r="R10" s="13">
        <v>4548.3100000000004</v>
      </c>
      <c r="S10" s="14"/>
      <c r="T10" s="14"/>
      <c r="U10" s="14"/>
    </row>
    <row r="11" spans="1:25" x14ac:dyDescent="0.25">
      <c r="A11" s="708">
        <v>5116</v>
      </c>
      <c r="B11" s="60" t="s">
        <v>1266</v>
      </c>
      <c r="C11" s="311">
        <v>1500</v>
      </c>
      <c r="D11" s="127">
        <v>1500</v>
      </c>
      <c r="E11" s="127">
        <v>1500</v>
      </c>
      <c r="F11" s="127">
        <v>1500</v>
      </c>
      <c r="G11" s="127">
        <v>1500</v>
      </c>
      <c r="H11" s="127">
        <v>1500</v>
      </c>
      <c r="I11" s="127">
        <v>1500</v>
      </c>
      <c r="J11" s="127">
        <v>1575</v>
      </c>
      <c r="K11" s="14">
        <v>1575</v>
      </c>
      <c r="L11" s="200">
        <v>1575</v>
      </c>
      <c r="M11" s="14">
        <v>1575</v>
      </c>
      <c r="N11" s="200">
        <v>1575</v>
      </c>
      <c r="O11" s="14">
        <v>1575</v>
      </c>
      <c r="P11" s="35">
        <v>1575</v>
      </c>
      <c r="Q11" s="14">
        <v>1575</v>
      </c>
      <c r="R11" s="35">
        <v>787.5</v>
      </c>
      <c r="S11" s="14">
        <v>1764</v>
      </c>
      <c r="T11" s="14"/>
      <c r="U11" s="14"/>
    </row>
    <row r="12" spans="1:25" x14ac:dyDescent="0.25">
      <c r="A12" s="708">
        <v>5117</v>
      </c>
      <c r="B12" s="60" t="s">
        <v>1267</v>
      </c>
      <c r="C12" s="568">
        <v>500</v>
      </c>
      <c r="D12" s="200">
        <v>0</v>
      </c>
      <c r="E12" s="200">
        <v>500</v>
      </c>
      <c r="F12" s="200">
        <v>1000</v>
      </c>
      <c r="G12" s="200">
        <v>1000</v>
      </c>
      <c r="H12" s="200">
        <v>1000</v>
      </c>
      <c r="I12" s="200">
        <v>1000</v>
      </c>
      <c r="J12" s="200">
        <v>1050</v>
      </c>
      <c r="K12" s="36">
        <v>1050</v>
      </c>
      <c r="L12" s="200">
        <v>1050</v>
      </c>
      <c r="M12" s="36">
        <v>1050</v>
      </c>
      <c r="N12" s="200">
        <v>1050</v>
      </c>
      <c r="O12" s="36">
        <v>1050</v>
      </c>
      <c r="P12" s="35">
        <v>1050</v>
      </c>
      <c r="Q12" s="36">
        <v>1050</v>
      </c>
      <c r="R12" s="13">
        <v>1050</v>
      </c>
      <c r="S12" s="36">
        <v>1400</v>
      </c>
      <c r="T12" s="36"/>
      <c r="U12" s="36"/>
    </row>
    <row r="13" spans="1:25" hidden="1" x14ac:dyDescent="0.25">
      <c r="A13" s="708"/>
      <c r="B13" s="60" t="s">
        <v>1268</v>
      </c>
      <c r="C13" s="568">
        <v>669.75</v>
      </c>
      <c r="D13" s="200">
        <v>672</v>
      </c>
      <c r="E13" s="200">
        <v>670</v>
      </c>
      <c r="F13" s="200"/>
      <c r="G13" s="200"/>
      <c r="H13" s="200"/>
      <c r="I13" s="200">
        <v>0</v>
      </c>
      <c r="J13" s="200"/>
      <c r="K13" s="36"/>
      <c r="L13" s="259"/>
      <c r="M13" s="36"/>
      <c r="N13" s="259"/>
      <c r="O13" s="36"/>
      <c r="P13" s="23"/>
      <c r="Q13" s="36"/>
      <c r="S13" s="36"/>
      <c r="T13" s="36"/>
      <c r="U13" s="36"/>
    </row>
    <row r="14" spans="1:25" x14ac:dyDescent="0.25">
      <c r="A14" s="708">
        <v>5115</v>
      </c>
      <c r="B14" s="60" t="s">
        <v>817</v>
      </c>
      <c r="C14" s="568">
        <v>1000</v>
      </c>
      <c r="D14" s="200">
        <v>1500</v>
      </c>
      <c r="E14" s="200">
        <v>1500</v>
      </c>
      <c r="F14" s="200">
        <v>1500</v>
      </c>
      <c r="G14" s="200">
        <v>1500</v>
      </c>
      <c r="H14" s="200">
        <v>1500</v>
      </c>
      <c r="I14" s="200">
        <v>1500</v>
      </c>
      <c r="J14" s="200">
        <v>1765</v>
      </c>
      <c r="K14" s="36">
        <v>1765</v>
      </c>
      <c r="L14" s="200">
        <v>1765</v>
      </c>
      <c r="M14" s="36">
        <v>1765</v>
      </c>
      <c r="N14" s="200">
        <v>1765.09</v>
      </c>
      <c r="O14" s="36">
        <v>1765</v>
      </c>
      <c r="P14" s="35">
        <v>1765</v>
      </c>
      <c r="Q14" s="36">
        <v>1765</v>
      </c>
      <c r="R14" s="35">
        <v>882.52</v>
      </c>
      <c r="S14" s="36">
        <v>1980</v>
      </c>
      <c r="T14" s="36"/>
      <c r="U14" s="36"/>
    </row>
    <row r="15" spans="1:25" x14ac:dyDescent="0.25">
      <c r="A15" s="708">
        <v>5115</v>
      </c>
      <c r="B15" s="60" t="s">
        <v>741</v>
      </c>
      <c r="C15" s="568">
        <v>1000</v>
      </c>
      <c r="D15" s="200">
        <v>1500</v>
      </c>
      <c r="E15" s="200">
        <v>1500</v>
      </c>
      <c r="F15" s="200">
        <v>1500</v>
      </c>
      <c r="G15" s="200">
        <v>1500</v>
      </c>
      <c r="H15" s="200">
        <v>1500</v>
      </c>
      <c r="I15" s="200">
        <v>1500</v>
      </c>
      <c r="J15" s="200">
        <v>1605</v>
      </c>
      <c r="K15" s="36">
        <v>1605</v>
      </c>
      <c r="L15" s="200">
        <v>1605</v>
      </c>
      <c r="M15" s="36">
        <v>1605</v>
      </c>
      <c r="N15" s="200">
        <v>1605</v>
      </c>
      <c r="O15" s="36">
        <v>1605</v>
      </c>
      <c r="P15" s="35">
        <v>1605</v>
      </c>
      <c r="Q15" s="36">
        <v>1605</v>
      </c>
      <c r="R15" s="35">
        <v>802.5</v>
      </c>
      <c r="S15" s="36">
        <v>1800</v>
      </c>
      <c r="T15" s="36"/>
      <c r="U15" s="36"/>
    </row>
    <row r="16" spans="1:25" x14ac:dyDescent="0.25">
      <c r="A16" s="708">
        <v>5115</v>
      </c>
      <c r="B16" s="60" t="s">
        <v>742</v>
      </c>
      <c r="C16" s="311">
        <v>1000</v>
      </c>
      <c r="D16" s="127">
        <v>1500</v>
      </c>
      <c r="E16" s="127">
        <v>1500</v>
      </c>
      <c r="F16" s="127">
        <v>1500</v>
      </c>
      <c r="G16" s="127">
        <v>1500</v>
      </c>
      <c r="H16" s="127">
        <v>1500</v>
      </c>
      <c r="I16" s="127">
        <v>1500</v>
      </c>
      <c r="J16" s="127">
        <v>1605</v>
      </c>
      <c r="K16" s="14">
        <v>1605</v>
      </c>
      <c r="L16" s="127">
        <v>1605</v>
      </c>
      <c r="M16" s="14">
        <v>1605</v>
      </c>
      <c r="N16" s="127">
        <v>1605</v>
      </c>
      <c r="O16" s="14">
        <v>1605</v>
      </c>
      <c r="P16" s="13">
        <v>1605</v>
      </c>
      <c r="Q16" s="14">
        <v>1605</v>
      </c>
      <c r="R16" s="13">
        <v>802.5</v>
      </c>
      <c r="S16" s="14">
        <v>1800</v>
      </c>
      <c r="T16" s="14"/>
      <c r="U16" s="14"/>
    </row>
    <row r="17" spans="1:21" x14ac:dyDescent="0.25">
      <c r="A17" s="708">
        <v>5144</v>
      </c>
      <c r="B17" s="60" t="s">
        <v>27</v>
      </c>
      <c r="C17" s="568"/>
      <c r="D17" s="200"/>
      <c r="E17" s="200"/>
      <c r="F17" s="200"/>
      <c r="G17" s="200">
        <v>150</v>
      </c>
      <c r="H17" s="200">
        <v>150</v>
      </c>
      <c r="I17" s="200">
        <v>150</v>
      </c>
      <c r="J17" s="200"/>
      <c r="K17" s="36">
        <v>500</v>
      </c>
      <c r="L17" s="200">
        <v>500</v>
      </c>
      <c r="M17" s="36">
        <v>500</v>
      </c>
      <c r="N17" s="200">
        <v>500</v>
      </c>
      <c r="O17" s="36">
        <v>500</v>
      </c>
      <c r="P17" s="35">
        <v>500</v>
      </c>
      <c r="Q17" s="36">
        <v>500</v>
      </c>
      <c r="R17" s="35"/>
      <c r="S17" s="36">
        <f>+V50</f>
        <v>0</v>
      </c>
      <c r="T17" s="36"/>
      <c r="U17" s="36"/>
    </row>
    <row r="18" spans="1:21" ht="13.8" thickBot="1" x14ac:dyDescent="0.3">
      <c r="A18" s="708">
        <v>5145</v>
      </c>
      <c r="B18" s="12" t="s">
        <v>744</v>
      </c>
      <c r="C18" s="252">
        <v>300.04000000000002</v>
      </c>
      <c r="D18" s="252">
        <v>300.04000000000002</v>
      </c>
      <c r="E18" s="252">
        <v>300.04000000000002</v>
      </c>
      <c r="F18" s="252">
        <v>305.81</v>
      </c>
      <c r="G18" s="127">
        <v>51.93</v>
      </c>
      <c r="H18" s="127"/>
      <c r="I18" s="127">
        <v>0</v>
      </c>
      <c r="J18" s="127">
        <v>276.95999999999998</v>
      </c>
      <c r="K18" s="16">
        <v>300</v>
      </c>
      <c r="L18" s="252">
        <v>305.81</v>
      </c>
      <c r="M18" s="14">
        <v>300</v>
      </c>
      <c r="N18" s="127">
        <v>300.04000000000002</v>
      </c>
      <c r="O18" s="14">
        <v>300</v>
      </c>
      <c r="P18" s="13">
        <v>126.94</v>
      </c>
      <c r="Q18" s="14">
        <v>300</v>
      </c>
      <c r="R18" s="13">
        <v>144.25</v>
      </c>
      <c r="S18" s="14">
        <v>300</v>
      </c>
      <c r="T18" s="14"/>
      <c r="U18" s="14"/>
    </row>
    <row r="19" spans="1:21" x14ac:dyDescent="0.25">
      <c r="A19" s="708">
        <v>5193</v>
      </c>
      <c r="B19" s="12" t="s">
        <v>919</v>
      </c>
      <c r="C19" s="254"/>
      <c r="D19" s="254"/>
      <c r="E19" s="254"/>
      <c r="F19" s="254"/>
      <c r="G19" s="127"/>
      <c r="H19" s="127"/>
      <c r="I19" s="127">
        <v>5501.21</v>
      </c>
      <c r="J19" s="127"/>
      <c r="K19" s="19"/>
      <c r="L19" s="111"/>
      <c r="M19" s="19"/>
      <c r="N19" s="111"/>
      <c r="O19" s="19"/>
      <c r="P19" s="18">
        <v>3161.2</v>
      </c>
      <c r="Q19" s="19"/>
      <c r="R19" s="18"/>
      <c r="S19" s="19"/>
      <c r="T19" s="19"/>
      <c r="U19" s="19"/>
    </row>
    <row r="20" spans="1:21" ht="13.8" thickBot="1" x14ac:dyDescent="0.3">
      <c r="A20" s="708">
        <v>5194</v>
      </c>
      <c r="B20" s="12" t="s">
        <v>918</v>
      </c>
      <c r="C20" s="254"/>
      <c r="D20" s="254"/>
      <c r="E20" s="254"/>
      <c r="F20" s="254"/>
      <c r="G20" s="253"/>
      <c r="H20" s="253"/>
      <c r="I20" s="253">
        <v>1833.74</v>
      </c>
      <c r="J20" s="253"/>
      <c r="K20" s="38"/>
      <c r="L20" s="253"/>
      <c r="M20" s="38"/>
      <c r="N20" s="253"/>
      <c r="O20" s="38"/>
      <c r="P20" s="37">
        <v>3500</v>
      </c>
      <c r="Q20" s="38"/>
      <c r="R20" s="37"/>
      <c r="S20" s="38"/>
      <c r="T20" s="38"/>
      <c r="U20" s="38"/>
    </row>
    <row r="21" spans="1:21" x14ac:dyDescent="0.25">
      <c r="A21" s="708"/>
      <c r="B21" s="17" t="s">
        <v>718</v>
      </c>
      <c r="C21" s="18">
        <f>SUM(C9:C18)</f>
        <v>81341.62999999999</v>
      </c>
      <c r="D21" s="18">
        <f>SUM(D9:D18)</f>
        <v>84567.459999999992</v>
      </c>
      <c r="E21" s="18">
        <f>SUM(E9:E18)</f>
        <v>87476.499999999985</v>
      </c>
      <c r="F21" s="18">
        <f>SUM(F9:F18)</f>
        <v>90045.61</v>
      </c>
      <c r="G21" s="18">
        <f t="shared" ref="G21:T21" si="0">SUM(G9:G20)</f>
        <v>91517.329999999987</v>
      </c>
      <c r="H21" s="18">
        <f t="shared" si="0"/>
        <v>93912.49</v>
      </c>
      <c r="I21" s="111">
        <f t="shared" si="0"/>
        <v>105703.61000000002</v>
      </c>
      <c r="J21" s="111">
        <f t="shared" si="0"/>
        <v>104915.61</v>
      </c>
      <c r="K21" s="209">
        <f t="shared" si="0"/>
        <v>113951</v>
      </c>
      <c r="L21" s="111">
        <f t="shared" si="0"/>
        <v>113977.94</v>
      </c>
      <c r="M21" s="209">
        <f t="shared" si="0"/>
        <v>117527</v>
      </c>
      <c r="N21" s="111">
        <f t="shared" si="0"/>
        <v>117709.87999999999</v>
      </c>
      <c r="O21" s="209">
        <f t="shared" si="0"/>
        <v>120896</v>
      </c>
      <c r="P21" s="111">
        <f t="shared" si="0"/>
        <v>105394.26</v>
      </c>
      <c r="Q21" s="209">
        <f t="shared" si="0"/>
        <v>128454</v>
      </c>
      <c r="R21" s="18">
        <f t="shared" si="0"/>
        <v>50826.509999999995</v>
      </c>
      <c r="S21" s="209">
        <f t="shared" si="0"/>
        <v>120314</v>
      </c>
      <c r="T21" s="209">
        <f t="shared" si="0"/>
        <v>0</v>
      </c>
      <c r="U21" s="209"/>
    </row>
    <row r="22" spans="1:21" x14ac:dyDescent="0.25">
      <c r="A22" s="708"/>
      <c r="B22" s="12"/>
      <c r="C22" s="13"/>
      <c r="D22" s="13"/>
      <c r="E22" s="13"/>
      <c r="F22" s="13"/>
      <c r="G22" s="13"/>
      <c r="H22" s="13"/>
      <c r="I22" s="127"/>
      <c r="J22" s="127"/>
      <c r="K22" s="14"/>
      <c r="L22" s="127"/>
      <c r="M22" s="14"/>
      <c r="N22" s="127"/>
      <c r="O22" s="14"/>
      <c r="P22" s="13"/>
      <c r="Q22" s="14"/>
      <c r="R22" s="13"/>
      <c r="S22" s="14"/>
      <c r="T22" s="14"/>
      <c r="U22" s="14"/>
    </row>
    <row r="23" spans="1:21" x14ac:dyDescent="0.25">
      <c r="A23" s="708">
        <v>5300</v>
      </c>
      <c r="B23" s="12" t="s">
        <v>2071</v>
      </c>
      <c r="C23" s="13"/>
      <c r="D23" s="13"/>
      <c r="E23" s="13"/>
      <c r="F23" s="13"/>
      <c r="G23" s="13"/>
      <c r="H23" s="13"/>
      <c r="I23" s="127"/>
      <c r="J23" s="127"/>
      <c r="K23" s="14"/>
      <c r="L23" s="127"/>
      <c r="M23" s="14"/>
      <c r="N23" s="127"/>
      <c r="O23" s="14"/>
      <c r="P23" s="13">
        <v>360</v>
      </c>
      <c r="Q23" s="14"/>
      <c r="R23" s="13"/>
      <c r="S23" s="14"/>
      <c r="T23" s="14"/>
      <c r="U23" s="14"/>
    </row>
    <row r="24" spans="1:21" x14ac:dyDescent="0.25">
      <c r="A24" s="708">
        <v>5310</v>
      </c>
      <c r="B24" s="12" t="s">
        <v>1269</v>
      </c>
      <c r="C24" s="13"/>
      <c r="D24" s="13"/>
      <c r="E24" s="13"/>
      <c r="F24" s="13"/>
      <c r="G24" s="13"/>
      <c r="H24" s="13"/>
      <c r="I24" s="127"/>
      <c r="J24" s="127"/>
      <c r="K24" s="14"/>
      <c r="L24" s="127"/>
      <c r="M24" s="14"/>
      <c r="N24" s="127">
        <v>194</v>
      </c>
      <c r="O24" s="14"/>
      <c r="P24" s="13"/>
      <c r="Q24" s="14"/>
      <c r="R24" s="13"/>
      <c r="S24" s="14">
        <v>1000</v>
      </c>
      <c r="T24" s="14"/>
      <c r="U24" s="14"/>
    </row>
    <row r="25" spans="1:21" x14ac:dyDescent="0.25">
      <c r="A25" s="708">
        <v>5314</v>
      </c>
      <c r="B25" s="12" t="s">
        <v>749</v>
      </c>
      <c r="C25" s="13">
        <v>844</v>
      </c>
      <c r="D25" s="13">
        <v>760</v>
      </c>
      <c r="E25" s="13">
        <v>560</v>
      </c>
      <c r="F25" s="13">
        <v>1125</v>
      </c>
      <c r="G25" s="13">
        <v>1119.97</v>
      </c>
      <c r="H25" s="13">
        <v>1506.34</v>
      </c>
      <c r="I25" s="127">
        <v>790</v>
      </c>
      <c r="J25" s="127"/>
      <c r="K25" s="14">
        <v>1500</v>
      </c>
      <c r="L25" s="127"/>
      <c r="M25" s="14">
        <v>1500</v>
      </c>
      <c r="N25" s="127"/>
      <c r="O25" s="14">
        <v>1500</v>
      </c>
      <c r="P25" s="13"/>
      <c r="Q25" s="14">
        <v>1500</v>
      </c>
      <c r="R25" s="13">
        <v>260</v>
      </c>
      <c r="S25" s="14">
        <v>1500</v>
      </c>
      <c r="T25" s="14"/>
      <c r="U25" s="14"/>
    </row>
    <row r="26" spans="1:21" x14ac:dyDescent="0.25">
      <c r="A26" s="708">
        <v>5315</v>
      </c>
      <c r="B26" s="12" t="s">
        <v>1270</v>
      </c>
      <c r="C26" s="13">
        <v>8934.75</v>
      </c>
      <c r="D26" s="13">
        <v>7969.5</v>
      </c>
      <c r="E26" s="13">
        <v>3688.75</v>
      </c>
      <c r="F26" s="13">
        <v>2507.9499999999998</v>
      </c>
      <c r="G26" s="13">
        <v>341.25</v>
      </c>
      <c r="H26" s="13">
        <v>963.75</v>
      </c>
      <c r="I26" s="127">
        <v>580</v>
      </c>
      <c r="J26" s="127">
        <v>4798.75</v>
      </c>
      <c r="K26" s="14">
        <v>9800</v>
      </c>
      <c r="L26" s="127">
        <v>9500</v>
      </c>
      <c r="M26" s="14">
        <v>28600</v>
      </c>
      <c r="N26" s="127">
        <v>28600</v>
      </c>
      <c r="O26" s="14">
        <v>28600</v>
      </c>
      <c r="P26" s="13">
        <v>14272.5</v>
      </c>
      <c r="Q26" s="14">
        <v>28600</v>
      </c>
      <c r="R26" s="13">
        <v>7308</v>
      </c>
      <c r="S26" s="14">
        <v>28600</v>
      </c>
      <c r="T26" s="14"/>
      <c r="U26" s="151"/>
    </row>
    <row r="27" spans="1:21" x14ac:dyDescent="0.25">
      <c r="A27" s="708">
        <v>5341</v>
      </c>
      <c r="B27" s="12" t="s">
        <v>1271</v>
      </c>
      <c r="C27" s="13">
        <v>618.01</v>
      </c>
      <c r="D27" s="13">
        <v>604.71</v>
      </c>
      <c r="E27" s="13">
        <v>786.39</v>
      </c>
      <c r="F27" s="13">
        <v>623.08000000000004</v>
      </c>
      <c r="G27" s="13">
        <v>895.98</v>
      </c>
      <c r="H27" s="13"/>
      <c r="I27" s="127">
        <v>399.92</v>
      </c>
      <c r="J27" s="127">
        <v>959.84</v>
      </c>
      <c r="K27" s="14">
        <v>1440</v>
      </c>
      <c r="L27" s="127">
        <v>1010.08</v>
      </c>
      <c r="M27" s="14">
        <v>1440</v>
      </c>
      <c r="N27" s="127">
        <v>959.77</v>
      </c>
      <c r="O27" s="14">
        <v>1440</v>
      </c>
      <c r="P27" s="13">
        <v>400.61</v>
      </c>
      <c r="Q27" s="14">
        <v>1440</v>
      </c>
      <c r="R27" s="13"/>
      <c r="S27" s="14">
        <v>1440</v>
      </c>
      <c r="T27" s="14"/>
      <c r="U27" s="14"/>
    </row>
    <row r="28" spans="1:21" x14ac:dyDescent="0.25">
      <c r="A28" s="708">
        <v>5344</v>
      </c>
      <c r="B28" s="12" t="s">
        <v>722</v>
      </c>
      <c r="C28" s="13">
        <v>372.41</v>
      </c>
      <c r="D28" s="13">
        <v>723.38</v>
      </c>
      <c r="E28" s="13">
        <v>1380.06</v>
      </c>
      <c r="F28" s="13">
        <v>479.67</v>
      </c>
      <c r="G28" s="13">
        <v>1425.09</v>
      </c>
      <c r="H28" s="13">
        <v>391.82</v>
      </c>
      <c r="I28" s="127">
        <v>769.29</v>
      </c>
      <c r="J28" s="127">
        <v>145.44999999999999</v>
      </c>
      <c r="K28" s="14">
        <v>800</v>
      </c>
      <c r="L28" s="127">
        <v>96.53</v>
      </c>
      <c r="M28" s="14">
        <v>800</v>
      </c>
      <c r="N28" s="127">
        <v>1177.94</v>
      </c>
      <c r="O28" s="14">
        <v>800</v>
      </c>
      <c r="P28" s="13">
        <v>640.5</v>
      </c>
      <c r="Q28" s="14">
        <v>1250</v>
      </c>
      <c r="R28" s="13">
        <v>204.61</v>
      </c>
      <c r="S28" s="14">
        <v>1250</v>
      </c>
      <c r="T28" s="14"/>
      <c r="U28" s="14"/>
    </row>
    <row r="29" spans="1:21" x14ac:dyDescent="0.25">
      <c r="A29" s="708">
        <v>5345</v>
      </c>
      <c r="B29" s="12" t="s">
        <v>752</v>
      </c>
      <c r="C29" s="13">
        <v>377.02</v>
      </c>
      <c r="D29" s="13">
        <v>0</v>
      </c>
      <c r="E29" s="13">
        <v>843.5</v>
      </c>
      <c r="F29" s="13"/>
      <c r="G29" s="13">
        <v>439.09</v>
      </c>
      <c r="H29" s="13"/>
      <c r="I29" s="127">
        <v>2118.41</v>
      </c>
      <c r="J29" s="127">
        <v>56</v>
      </c>
      <c r="K29" s="14">
        <v>200</v>
      </c>
      <c r="L29" s="127"/>
      <c r="M29" s="14">
        <v>200</v>
      </c>
      <c r="N29" s="127">
        <v>532.77</v>
      </c>
      <c r="O29" s="14">
        <v>200</v>
      </c>
      <c r="P29" s="13">
        <v>2710</v>
      </c>
      <c r="Q29" s="14">
        <v>300</v>
      </c>
      <c r="R29" s="13"/>
      <c r="S29" s="14"/>
      <c r="T29" s="14"/>
      <c r="U29" s="14"/>
    </row>
    <row r="30" spans="1:21" x14ac:dyDescent="0.25">
      <c r="A30" s="708">
        <v>5350</v>
      </c>
      <c r="B30" s="12" t="s">
        <v>1272</v>
      </c>
      <c r="C30" s="13"/>
      <c r="D30" s="13"/>
      <c r="E30" s="13"/>
      <c r="F30" s="13"/>
      <c r="G30" s="13"/>
      <c r="H30" s="13"/>
      <c r="I30" s="127"/>
      <c r="J30" s="127">
        <v>4500</v>
      </c>
      <c r="K30" s="14">
        <v>3000</v>
      </c>
      <c r="L30" s="127">
        <v>3000</v>
      </c>
      <c r="M30" s="14">
        <v>3000</v>
      </c>
      <c r="N30" s="127">
        <v>3000</v>
      </c>
      <c r="O30" s="14">
        <v>3000</v>
      </c>
      <c r="P30" s="13">
        <v>3000</v>
      </c>
      <c r="Q30" s="14">
        <v>3000</v>
      </c>
      <c r="R30" s="13"/>
      <c r="S30" s="14">
        <v>3000</v>
      </c>
      <c r="T30" s="14"/>
      <c r="U30" s="14"/>
    </row>
    <row r="31" spans="1:21" x14ac:dyDescent="0.25">
      <c r="A31" s="708">
        <v>5380</v>
      </c>
      <c r="B31" s="12" t="s">
        <v>1273</v>
      </c>
      <c r="C31" s="13">
        <v>614.07000000000005</v>
      </c>
      <c r="D31" s="13">
        <v>674.22</v>
      </c>
      <c r="E31" s="13">
        <v>1414.08</v>
      </c>
      <c r="F31" s="13">
        <v>540</v>
      </c>
      <c r="G31" s="13">
        <v>179.31</v>
      </c>
      <c r="H31" s="13">
        <v>159.19999999999999</v>
      </c>
      <c r="I31" s="127">
        <v>1231.8499999999999</v>
      </c>
      <c r="J31" s="127">
        <v>149.94</v>
      </c>
      <c r="K31" s="14">
        <v>500</v>
      </c>
      <c r="L31" s="127"/>
      <c r="M31" s="14">
        <v>500</v>
      </c>
      <c r="N31" s="127"/>
      <c r="O31" s="14">
        <v>500</v>
      </c>
      <c r="P31" s="13">
        <v>2562.5</v>
      </c>
      <c r="Q31" s="14">
        <v>500</v>
      </c>
      <c r="R31" s="13">
        <v>199.72</v>
      </c>
      <c r="S31" s="14">
        <v>500</v>
      </c>
      <c r="T31" s="14"/>
      <c r="U31" s="14"/>
    </row>
    <row r="32" spans="1:21" x14ac:dyDescent="0.25">
      <c r="A32" s="708">
        <v>5420</v>
      </c>
      <c r="B32" s="12" t="s">
        <v>753</v>
      </c>
      <c r="C32" s="18">
        <v>1921.7</v>
      </c>
      <c r="D32" s="18">
        <v>2106.65</v>
      </c>
      <c r="E32" s="18">
        <v>5741.26</v>
      </c>
      <c r="F32" s="18">
        <v>4145.3999999999996</v>
      </c>
      <c r="G32" s="18">
        <v>1317.31</v>
      </c>
      <c r="H32" s="18">
        <v>2420.1</v>
      </c>
      <c r="I32" s="111">
        <v>4880.9799999999996</v>
      </c>
      <c r="J32" s="111">
        <v>4275.57</v>
      </c>
      <c r="K32" s="19">
        <v>1500</v>
      </c>
      <c r="L32" s="111">
        <v>2550.5700000000002</v>
      </c>
      <c r="M32" s="19">
        <v>1500</v>
      </c>
      <c r="N32" s="111">
        <v>2525.37</v>
      </c>
      <c r="O32" s="19">
        <v>3000</v>
      </c>
      <c r="P32" s="18">
        <v>2650.18</v>
      </c>
      <c r="Q32" s="19">
        <v>4500</v>
      </c>
      <c r="R32" s="18">
        <v>742.1</v>
      </c>
      <c r="S32" s="19">
        <v>3500</v>
      </c>
      <c r="T32" s="19"/>
      <c r="U32" s="19"/>
    </row>
    <row r="33" spans="1:25" x14ac:dyDescent="0.25">
      <c r="A33" s="708">
        <v>5500</v>
      </c>
      <c r="B33" s="60" t="s">
        <v>1168</v>
      </c>
      <c r="C33" s="13"/>
      <c r="D33" s="13">
        <v>120.28</v>
      </c>
      <c r="E33" s="13">
        <v>12.41</v>
      </c>
      <c r="F33" s="13">
        <v>383.38</v>
      </c>
      <c r="G33" s="13"/>
      <c r="H33" s="13"/>
      <c r="I33" s="127"/>
      <c r="J33" s="127">
        <v>853.32</v>
      </c>
      <c r="K33" s="14"/>
      <c r="L33" s="127">
        <v>1191.97</v>
      </c>
      <c r="M33" s="14">
        <v>2000</v>
      </c>
      <c r="N33" s="127">
        <v>1394.27</v>
      </c>
      <c r="O33" s="14">
        <v>2000</v>
      </c>
      <c r="P33" s="13"/>
      <c r="Q33" s="14">
        <v>2000</v>
      </c>
      <c r="R33" s="13"/>
      <c r="S33" s="14">
        <v>2000</v>
      </c>
      <c r="T33" s="14"/>
      <c r="U33" s="14"/>
    </row>
    <row r="34" spans="1:25" x14ac:dyDescent="0.25">
      <c r="A34" s="708">
        <v>5580</v>
      </c>
      <c r="B34" s="12" t="s">
        <v>1039</v>
      </c>
      <c r="C34" s="13"/>
      <c r="D34" s="13"/>
      <c r="E34" s="13"/>
      <c r="F34" s="13"/>
      <c r="G34" s="13"/>
      <c r="H34" s="13"/>
      <c r="I34" s="127"/>
      <c r="J34" s="127"/>
      <c r="K34" s="14"/>
      <c r="L34" s="127"/>
      <c r="M34" s="14"/>
      <c r="N34" s="127">
        <v>2094.96</v>
      </c>
      <c r="O34" s="14"/>
      <c r="P34" s="13">
        <v>195.66</v>
      </c>
      <c r="Q34" s="14"/>
      <c r="R34" s="13">
        <v>84.08</v>
      </c>
      <c r="S34" s="14">
        <v>1000</v>
      </c>
      <c r="T34" s="14"/>
      <c r="U34" s="14"/>
    </row>
    <row r="35" spans="1:25" x14ac:dyDescent="0.25">
      <c r="A35" s="708">
        <v>5581</v>
      </c>
      <c r="B35" s="12" t="s">
        <v>755</v>
      </c>
      <c r="C35" s="13">
        <v>200</v>
      </c>
      <c r="D35" s="13">
        <v>0</v>
      </c>
      <c r="E35" s="13"/>
      <c r="F35" s="13">
        <v>48.12</v>
      </c>
      <c r="G35" s="13">
        <v>152.79</v>
      </c>
      <c r="H35" s="13">
        <v>164.8</v>
      </c>
      <c r="I35" s="127">
        <v>290.49</v>
      </c>
      <c r="J35" s="127">
        <v>30</v>
      </c>
      <c r="K35" s="14">
        <v>300</v>
      </c>
      <c r="L35" s="127"/>
      <c r="M35" s="14">
        <v>300</v>
      </c>
      <c r="N35" s="111"/>
      <c r="O35" s="14">
        <v>300</v>
      </c>
      <c r="P35" s="13">
        <v>258.70999999999998</v>
      </c>
      <c r="Q35" s="14">
        <v>300</v>
      </c>
      <c r="R35" s="13"/>
      <c r="S35" s="14">
        <v>300</v>
      </c>
      <c r="T35" s="14"/>
      <c r="U35" s="14"/>
    </row>
    <row r="36" spans="1:25" x14ac:dyDescent="0.25">
      <c r="A36" s="708">
        <v>5710</v>
      </c>
      <c r="B36" s="12" t="s">
        <v>758</v>
      </c>
      <c r="C36" s="18">
        <v>1714.45</v>
      </c>
      <c r="D36" s="111">
        <v>899.49</v>
      </c>
      <c r="E36" s="111">
        <v>890.73</v>
      </c>
      <c r="F36" s="111">
        <v>2206.71</v>
      </c>
      <c r="G36" s="111">
        <v>1579.11</v>
      </c>
      <c r="H36" s="111">
        <v>1602.4</v>
      </c>
      <c r="I36" s="111">
        <v>1504.18</v>
      </c>
      <c r="J36" s="111">
        <v>1672.64</v>
      </c>
      <c r="K36" s="19">
        <v>2357</v>
      </c>
      <c r="L36" s="111">
        <v>1790.04</v>
      </c>
      <c r="M36" s="19">
        <v>2357</v>
      </c>
      <c r="N36" s="111">
        <v>2540.2800000000002</v>
      </c>
      <c r="O36" s="19">
        <v>2357</v>
      </c>
      <c r="P36" s="18">
        <v>1189.76</v>
      </c>
      <c r="Q36" s="19">
        <v>3000</v>
      </c>
      <c r="R36" s="18">
        <v>613.53</v>
      </c>
      <c r="S36" s="19">
        <v>3000</v>
      </c>
      <c r="T36" s="19"/>
      <c r="U36" s="19"/>
    </row>
    <row r="37" spans="1:25" hidden="1" x14ac:dyDescent="0.25">
      <c r="A37" s="708"/>
      <c r="B37" s="12" t="s">
        <v>1042</v>
      </c>
      <c r="C37" s="28"/>
      <c r="D37" s="254"/>
      <c r="E37" s="254"/>
      <c r="F37" s="254"/>
      <c r="G37" s="254"/>
      <c r="H37" s="254"/>
      <c r="I37" s="254"/>
      <c r="J37" s="254"/>
      <c r="K37" s="29"/>
      <c r="L37" s="254">
        <v>2544.12</v>
      </c>
      <c r="M37" s="29"/>
      <c r="N37" s="127"/>
      <c r="O37" s="29"/>
      <c r="P37" s="28"/>
      <c r="Q37" s="29"/>
      <c r="R37" s="28"/>
      <c r="S37" s="29"/>
      <c r="T37" s="29"/>
      <c r="U37" s="29"/>
    </row>
    <row r="38" spans="1:25" ht="13.8" thickBot="1" x14ac:dyDescent="0.3">
      <c r="A38" s="708">
        <v>5730</v>
      </c>
      <c r="B38" s="12" t="s">
        <v>759</v>
      </c>
      <c r="C38" s="15">
        <v>355</v>
      </c>
      <c r="D38" s="15">
        <v>260</v>
      </c>
      <c r="E38" s="15">
        <v>210</v>
      </c>
      <c r="F38" s="15">
        <v>504</v>
      </c>
      <c r="G38" s="15">
        <v>559</v>
      </c>
      <c r="H38" s="15">
        <v>584</v>
      </c>
      <c r="I38" s="252">
        <v>259</v>
      </c>
      <c r="J38" s="252">
        <v>155</v>
      </c>
      <c r="K38" s="16">
        <v>600</v>
      </c>
      <c r="L38" s="252">
        <v>160</v>
      </c>
      <c r="M38" s="16">
        <v>600</v>
      </c>
      <c r="N38" s="253">
        <v>100</v>
      </c>
      <c r="O38" s="16">
        <v>600</v>
      </c>
      <c r="P38" s="15">
        <v>127.55</v>
      </c>
      <c r="Q38" s="16">
        <v>600</v>
      </c>
      <c r="R38" s="15">
        <v>167.55</v>
      </c>
      <c r="S38" s="16">
        <v>600</v>
      </c>
      <c r="T38" s="16"/>
      <c r="U38" s="16"/>
    </row>
    <row r="39" spans="1:25" x14ac:dyDescent="0.25">
      <c r="A39" s="708"/>
      <c r="B39" s="17" t="s">
        <v>1274</v>
      </c>
      <c r="C39" s="18">
        <f t="shared" ref="C39:I39" si="1">SUM(C25:C38)</f>
        <v>15951.410000000002</v>
      </c>
      <c r="D39" s="18">
        <f t="shared" si="1"/>
        <v>14118.229999999998</v>
      </c>
      <c r="E39" s="18">
        <f t="shared" si="1"/>
        <v>15527.18</v>
      </c>
      <c r="F39" s="18">
        <f t="shared" si="1"/>
        <v>12563.309999999998</v>
      </c>
      <c r="G39" s="18">
        <f t="shared" si="1"/>
        <v>8008.9</v>
      </c>
      <c r="H39" s="18">
        <f t="shared" si="1"/>
        <v>7792.41</v>
      </c>
      <c r="I39" s="18">
        <f t="shared" si="1"/>
        <v>12824.119999999999</v>
      </c>
      <c r="J39" s="18">
        <f t="shared" ref="J39" si="2">SUM(J25:J38)</f>
        <v>17596.510000000002</v>
      </c>
      <c r="K39" s="19">
        <f>SUM(K25:K38)</f>
        <v>21997</v>
      </c>
      <c r="L39" s="18">
        <f>SUM(L25:L38)</f>
        <v>21843.31</v>
      </c>
      <c r="M39" s="19">
        <f>SUM(M25:M38)</f>
        <v>42797</v>
      </c>
      <c r="N39" s="18">
        <f>SUM(N24:N38)</f>
        <v>43119.359999999993</v>
      </c>
      <c r="O39" s="19">
        <f>SUM(O24:O38)</f>
        <v>44297</v>
      </c>
      <c r="P39" s="18">
        <f>SUM(P23:P38)</f>
        <v>28367.969999999998</v>
      </c>
      <c r="Q39" s="19">
        <f t="shared" ref="Q39" si="3">SUM(Q24:Q38)</f>
        <v>46990</v>
      </c>
      <c r="R39" s="19">
        <f t="shared" ref="R39:S39" si="4">SUM(R24:R38)</f>
        <v>9579.59</v>
      </c>
      <c r="S39" s="19">
        <f t="shared" si="4"/>
        <v>47690</v>
      </c>
      <c r="T39" s="19">
        <f>SUM(T25:T38)</f>
        <v>0</v>
      </c>
      <c r="U39" s="19">
        <f>SUM(U25:U38)</f>
        <v>0</v>
      </c>
    </row>
    <row r="40" spans="1:25" x14ac:dyDescent="0.25">
      <c r="A40" s="708"/>
      <c r="B40" s="12"/>
      <c r="C40" s="13"/>
      <c r="D40" s="13"/>
      <c r="E40" s="13"/>
      <c r="F40" s="13"/>
      <c r="G40" s="13"/>
      <c r="H40" s="13"/>
      <c r="I40" s="13"/>
      <c r="J40" s="13"/>
      <c r="K40" s="14"/>
      <c r="L40" s="13"/>
      <c r="M40" s="14"/>
      <c r="N40" s="13"/>
      <c r="O40" s="14"/>
      <c r="P40" s="13"/>
      <c r="Q40" s="14"/>
      <c r="R40" s="13"/>
      <c r="S40" s="14"/>
      <c r="T40" s="14"/>
      <c r="U40" s="14"/>
    </row>
    <row r="41" spans="1:25" ht="13.8" thickBot="1" x14ac:dyDescent="0.3">
      <c r="A41" s="709"/>
      <c r="B41" s="20" t="s">
        <v>1275</v>
      </c>
      <c r="C41" s="21">
        <f t="shared" ref="C41:R41" si="5">+C39+C21</f>
        <v>97293.04</v>
      </c>
      <c r="D41" s="21">
        <f t="shared" si="5"/>
        <v>98685.689999999988</v>
      </c>
      <c r="E41" s="21">
        <f t="shared" si="5"/>
        <v>103003.68</v>
      </c>
      <c r="F41" s="21">
        <f>+F39+F21</f>
        <v>102608.92</v>
      </c>
      <c r="G41" s="21">
        <f>+G39+G21</f>
        <v>99526.229999999981</v>
      </c>
      <c r="H41" s="21">
        <f>+H39+H21</f>
        <v>101704.90000000001</v>
      </c>
      <c r="I41" s="21">
        <f t="shared" si="5"/>
        <v>118527.73000000001</v>
      </c>
      <c r="J41" s="21">
        <f t="shared" ref="J41" si="6">+J39+J21</f>
        <v>122512.12</v>
      </c>
      <c r="K41" s="22">
        <f>+K39+K21</f>
        <v>135948</v>
      </c>
      <c r="L41" s="21">
        <f t="shared" ref="L41:O41" si="7">+L39+L21</f>
        <v>135821.25</v>
      </c>
      <c r="M41" s="22">
        <f t="shared" si="7"/>
        <v>160324</v>
      </c>
      <c r="N41" s="21">
        <f t="shared" ref="N41" si="8">+N39+N21</f>
        <v>160829.24</v>
      </c>
      <c r="O41" s="22">
        <f t="shared" si="7"/>
        <v>165193</v>
      </c>
      <c r="P41" s="21">
        <f t="shared" ref="P41" si="9">+P39+P21</f>
        <v>133762.22999999998</v>
      </c>
      <c r="Q41" s="22">
        <f>+Q39+Q21</f>
        <v>175444</v>
      </c>
      <c r="R41" s="21">
        <f t="shared" si="5"/>
        <v>60406.099999999991</v>
      </c>
      <c r="S41" s="22">
        <f>+S39+S21</f>
        <v>168004</v>
      </c>
      <c r="T41" s="22">
        <f>+S41</f>
        <v>168004</v>
      </c>
      <c r="U41" s="22">
        <f>+S41</f>
        <v>168004</v>
      </c>
    </row>
    <row r="42" spans="1:25" ht="13.8" thickTop="1" x14ac:dyDescent="0.25">
      <c r="A42" s="703"/>
      <c r="B42" s="4"/>
      <c r="C42" s="23"/>
      <c r="D42" s="23"/>
      <c r="E42" s="23"/>
      <c r="F42" s="23"/>
      <c r="G42" s="23"/>
      <c r="H42" s="23"/>
      <c r="I42" s="23"/>
      <c r="J42" s="23"/>
      <c r="K42" s="23"/>
      <c r="L42" s="23"/>
      <c r="M42" s="23"/>
      <c r="N42" s="23"/>
      <c r="O42" s="23"/>
      <c r="P42" s="23"/>
      <c r="Q42" s="23"/>
      <c r="R42" s="181" t="s">
        <v>732</v>
      </c>
      <c r="S42" s="1001">
        <f>+S41-Q41</f>
        <v>-7440</v>
      </c>
      <c r="T42" s="1002">
        <f>ROUND((+S42/Q41),4)</f>
        <v>-4.24E-2</v>
      </c>
      <c r="U42" s="73"/>
      <c r="V42" s="23"/>
      <c r="W42" s="25"/>
      <c r="X42" s="181"/>
      <c r="Y42" s="25"/>
    </row>
    <row r="43" spans="1:25" x14ac:dyDescent="0.25">
      <c r="A43" s="63"/>
      <c r="B43" s="4"/>
      <c r="C43" s="23"/>
      <c r="D43" s="23"/>
      <c r="E43" s="23"/>
      <c r="F43" s="23"/>
      <c r="G43" s="23"/>
      <c r="H43" s="23"/>
      <c r="I43" s="23"/>
      <c r="J43" s="23"/>
      <c r="K43" s="23"/>
      <c r="L43" s="23"/>
      <c r="M43" s="23"/>
      <c r="N43" s="23"/>
      <c r="O43" s="23"/>
      <c r="P43" s="23"/>
      <c r="Q43" s="23"/>
      <c r="R43" s="25"/>
      <c r="S43" s="23"/>
      <c r="T43" s="23"/>
      <c r="U43" s="73"/>
      <c r="V43" s="23"/>
      <c r="W43" s="25"/>
      <c r="X43" s="181"/>
      <c r="Y43" s="25"/>
    </row>
    <row r="44" spans="1:25" x14ac:dyDescent="0.25">
      <c r="A44" s="63"/>
      <c r="B44" s="4"/>
      <c r="C44" s="23"/>
      <c r="D44" s="23"/>
      <c r="E44" s="23"/>
      <c r="F44" s="23"/>
      <c r="G44" s="23"/>
      <c r="H44" s="23"/>
      <c r="I44" s="23"/>
      <c r="J44" s="23"/>
      <c r="K44" s="23"/>
      <c r="L44" s="23"/>
      <c r="M44" s="23"/>
      <c r="N44" s="23"/>
      <c r="O44" s="23"/>
      <c r="P44" s="23"/>
      <c r="Q44" s="23"/>
      <c r="R44" s="25"/>
      <c r="S44" s="23"/>
      <c r="T44" s="23"/>
      <c r="U44" s="73"/>
      <c r="V44" s="23"/>
      <c r="W44" s="25"/>
      <c r="X44" s="181"/>
      <c r="Y44" s="25"/>
    </row>
    <row r="45" spans="1:25" x14ac:dyDescent="0.25">
      <c r="A45" s="703"/>
      <c r="B45" s="4"/>
      <c r="C45" s="23"/>
      <c r="D45" s="23"/>
      <c r="E45" s="23"/>
      <c r="F45" s="23"/>
      <c r="G45" s="23"/>
      <c r="H45" s="23"/>
      <c r="I45" s="23"/>
      <c r="J45" s="23"/>
      <c r="K45" s="23"/>
      <c r="L45" s="23"/>
      <c r="M45" s="23"/>
      <c r="N45" s="23"/>
      <c r="O45" s="23"/>
      <c r="P45" s="23"/>
      <c r="Q45" s="23"/>
      <c r="R45" s="25"/>
      <c r="S45" s="97"/>
      <c r="T45" s="97"/>
      <c r="U45" s="73"/>
      <c r="V45" s="25"/>
      <c r="W45" s="25"/>
      <c r="X45" s="181"/>
      <c r="Y45" s="25"/>
    </row>
    <row r="46" spans="1:25" ht="13.8" thickBot="1" x14ac:dyDescent="0.3">
      <c r="A46" s="703" t="s">
        <v>793</v>
      </c>
      <c r="B46" s="4"/>
      <c r="D46" s="194"/>
      <c r="E46" s="194"/>
      <c r="F46" s="194"/>
      <c r="G46" s="194"/>
      <c r="H46" s="194"/>
      <c r="I46" s="194"/>
      <c r="J46" s="194"/>
      <c r="K46" s="194"/>
      <c r="L46" s="194"/>
      <c r="M46" s="194"/>
      <c r="N46" s="194"/>
      <c r="O46" s="194"/>
      <c r="P46" s="194"/>
      <c r="Q46" s="194"/>
    </row>
    <row r="47" spans="1:25" ht="13.8" thickTop="1" x14ac:dyDescent="0.25">
      <c r="A47" s="710" t="s">
        <v>760</v>
      </c>
      <c r="B47" s="98"/>
      <c r="D47" s="194"/>
      <c r="E47" s="194"/>
      <c r="F47" s="194"/>
      <c r="G47" s="194"/>
      <c r="H47" s="194"/>
      <c r="I47" s="194"/>
      <c r="J47" s="194"/>
      <c r="K47" s="194"/>
      <c r="L47" s="194"/>
      <c r="O47" s="130" t="s">
        <v>761</v>
      </c>
      <c r="P47" s="137" t="s">
        <v>762</v>
      </c>
      <c r="Q47" s="149"/>
      <c r="R47" s="139" t="s">
        <v>763</v>
      </c>
      <c r="S47"/>
      <c r="T47"/>
      <c r="U47" s="187" t="s">
        <v>764</v>
      </c>
      <c r="V47"/>
      <c r="W47" s="1"/>
    </row>
    <row r="48" spans="1:25" ht="13.8" thickBot="1" x14ac:dyDescent="0.3">
      <c r="A48" s="1021" t="s">
        <v>765</v>
      </c>
      <c r="B48" s="1076" t="s">
        <v>766</v>
      </c>
      <c r="D48" s="194"/>
      <c r="E48" s="194"/>
      <c r="F48" s="194"/>
      <c r="G48" s="194"/>
      <c r="H48" s="194"/>
      <c r="I48" s="194"/>
      <c r="J48" s="194"/>
      <c r="K48" s="194"/>
      <c r="L48" s="194"/>
      <c r="O48" s="1077">
        <v>45474</v>
      </c>
      <c r="P48" s="118" t="s">
        <v>767</v>
      </c>
      <c r="Q48" s="141" t="s">
        <v>831</v>
      </c>
      <c r="R48" s="141" t="s">
        <v>769</v>
      </c>
      <c r="S48" s="106" t="s">
        <v>770</v>
      </c>
      <c r="T48" s="106"/>
      <c r="U48" s="106" t="s">
        <v>1345</v>
      </c>
      <c r="V48" s="106" t="s">
        <v>771</v>
      </c>
      <c r="W48" s="1"/>
    </row>
    <row r="49" spans="1:25" ht="13.8" thickTop="1" x14ac:dyDescent="0.25">
      <c r="A49" s="70">
        <v>45054</v>
      </c>
      <c r="B49" s="60" t="s">
        <v>1276</v>
      </c>
      <c r="C49" s="71"/>
      <c r="D49" s="987"/>
      <c r="E49" s="987"/>
      <c r="F49" s="987"/>
      <c r="G49" s="987"/>
      <c r="H49" s="987"/>
      <c r="I49" s="987"/>
      <c r="J49" s="987"/>
      <c r="K49" s="987"/>
      <c r="L49" s="987"/>
      <c r="O49" s="14" t="s">
        <v>2009</v>
      </c>
      <c r="P49" s="147"/>
      <c r="Q49" s="18"/>
      <c r="R49" s="136">
        <f>+'NAGE &amp; Non-Union Wages'!G10</f>
        <v>74261</v>
      </c>
      <c r="S49" s="152"/>
      <c r="T49" s="152"/>
      <c r="U49" s="712">
        <v>2</v>
      </c>
      <c r="V49" s="2"/>
      <c r="W49" s="1"/>
    </row>
    <row r="50" spans="1:25" x14ac:dyDescent="0.25">
      <c r="A50" s="70"/>
      <c r="B50" s="60" t="s">
        <v>1277</v>
      </c>
      <c r="C50" s="71"/>
      <c r="D50" s="987"/>
      <c r="E50" s="987"/>
      <c r="F50" s="987"/>
      <c r="G50" s="987"/>
      <c r="H50" s="987"/>
      <c r="I50" s="987"/>
      <c r="J50" s="987"/>
      <c r="K50" s="987"/>
      <c r="L50" s="987"/>
      <c r="O50" s="14" t="s">
        <v>775</v>
      </c>
      <c r="P50" s="147">
        <f>+'NAGE &amp; Non-Union Wages'!D5</f>
        <v>20.239999999999998</v>
      </c>
      <c r="Q50" s="18">
        <v>1828.5</v>
      </c>
      <c r="R50" s="136">
        <f>ROUND((+P50*Q50),2)</f>
        <v>37008.839999999997</v>
      </c>
      <c r="S50" s="152"/>
      <c r="T50" s="152"/>
      <c r="U50" s="712">
        <v>1</v>
      </c>
      <c r="V50" s="2"/>
      <c r="W50" s="194"/>
    </row>
    <row r="51" spans="1:25" x14ac:dyDescent="0.25">
      <c r="A51" s="727"/>
      <c r="B51" s="60"/>
      <c r="C51" s="71"/>
      <c r="D51" s="987"/>
      <c r="E51" s="987"/>
      <c r="F51" s="987"/>
      <c r="G51" s="987"/>
      <c r="H51" s="987"/>
      <c r="I51" s="987"/>
      <c r="J51" s="987"/>
      <c r="K51" s="987"/>
      <c r="L51" s="987"/>
      <c r="O51" s="127"/>
      <c r="P51" s="13"/>
      <c r="Q51" s="18"/>
      <c r="R51" s="136"/>
      <c r="S51" s="54"/>
      <c r="T51" s="54"/>
      <c r="U51" s="25"/>
      <c r="V51" s="2"/>
      <c r="W51" s="1"/>
    </row>
    <row r="52" spans="1:25" x14ac:dyDescent="0.25">
      <c r="A52" s="703"/>
      <c r="B52" s="4"/>
      <c r="C52" s="23"/>
      <c r="D52" s="23"/>
      <c r="E52" s="23"/>
      <c r="F52" s="194"/>
      <c r="G52" s="194"/>
      <c r="H52" s="194"/>
      <c r="I52" s="23"/>
      <c r="J52" s="23"/>
      <c r="K52" s="194"/>
      <c r="L52" s="194"/>
      <c r="O52" s="23"/>
      <c r="P52" s="23"/>
      <c r="Q52" s="23"/>
      <c r="R52" s="25"/>
      <c r="S52" s="23"/>
      <c r="T52" s="23"/>
      <c r="U52" s="23"/>
      <c r="V52" s="23"/>
      <c r="W52" s="25"/>
      <c r="X52" s="25"/>
      <c r="Y52" s="25"/>
    </row>
    <row r="53" spans="1:25" x14ac:dyDescent="0.25">
      <c r="A53" s="703"/>
      <c r="B53" s="4"/>
      <c r="C53" s="23"/>
      <c r="D53" s="23"/>
      <c r="E53" s="23"/>
      <c r="F53" s="194"/>
      <c r="G53" s="194"/>
      <c r="H53" s="194"/>
      <c r="I53" s="23"/>
      <c r="J53" s="23"/>
      <c r="K53" s="194"/>
      <c r="L53" s="194"/>
      <c r="O53" s="23"/>
      <c r="P53" s="23"/>
      <c r="Q53" s="23"/>
      <c r="R53" s="25"/>
      <c r="S53" s="23"/>
      <c r="T53" s="23"/>
      <c r="U53" s="23"/>
      <c r="V53" s="23"/>
      <c r="W53" s="25"/>
      <c r="X53" s="25"/>
      <c r="Y53" s="25"/>
    </row>
    <row r="54" spans="1:25" ht="13.8" thickBot="1" x14ac:dyDescent="0.3">
      <c r="A54" s="703"/>
      <c r="B54" s="4"/>
      <c r="C54" s="23"/>
      <c r="D54" s="23"/>
      <c r="E54" s="23"/>
      <c r="F54" s="194"/>
      <c r="G54" s="194"/>
      <c r="H54" s="194"/>
      <c r="I54" s="23"/>
      <c r="J54" s="23"/>
      <c r="K54" s="194"/>
      <c r="L54" s="194"/>
      <c r="O54" s="23"/>
      <c r="P54" s="23"/>
      <c r="Q54" s="23"/>
      <c r="R54" s="25"/>
      <c r="S54" s="23"/>
      <c r="T54" s="23"/>
      <c r="U54" s="23"/>
      <c r="V54" s="23"/>
      <c r="W54" s="25"/>
      <c r="X54" s="25"/>
      <c r="Y54" s="25"/>
    </row>
    <row r="55" spans="1:25" ht="13.8" thickTop="1" x14ac:dyDescent="0.25">
      <c r="A55" s="718"/>
      <c r="B55" s="349"/>
      <c r="C55" s="350" t="s">
        <v>256</v>
      </c>
      <c r="D55" s="351" t="s">
        <v>256</v>
      </c>
      <c r="E55" s="351" t="s">
        <v>256</v>
      </c>
      <c r="F55" s="194"/>
      <c r="G55" s="194"/>
      <c r="H55" s="194"/>
      <c r="I55" s="194"/>
      <c r="J55" s="194"/>
      <c r="K55" s="194"/>
      <c r="L55" s="194"/>
      <c r="O55" s="352" t="s">
        <v>255</v>
      </c>
      <c r="P55" s="353" t="s">
        <v>716</v>
      </c>
      <c r="Q55" s="354" t="s">
        <v>730</v>
      </c>
      <c r="R55" s="353" t="s">
        <v>731</v>
      </c>
      <c r="S55" s="355"/>
      <c r="T55" s="550"/>
      <c r="U55" s="354"/>
      <c r="V55" s="23"/>
      <c r="W55" s="25"/>
      <c r="X55" s="25"/>
      <c r="Y55" s="25"/>
    </row>
    <row r="56" spans="1:25" ht="13.8" thickBot="1" x14ac:dyDescent="0.3">
      <c r="A56" s="719" t="s">
        <v>715</v>
      </c>
      <c r="B56" s="356"/>
      <c r="C56" s="357" t="s">
        <v>243</v>
      </c>
      <c r="D56" s="357" t="s">
        <v>244</v>
      </c>
      <c r="E56" s="358" t="s">
        <v>245</v>
      </c>
      <c r="F56" s="194"/>
      <c r="G56" s="194"/>
      <c r="H56" s="194"/>
      <c r="I56" s="194"/>
      <c r="J56" s="194"/>
      <c r="K56" s="194"/>
      <c r="L56" s="194"/>
      <c r="O56" s="359" t="s">
        <v>469</v>
      </c>
      <c r="P56" s="359" t="s">
        <v>1345</v>
      </c>
      <c r="Q56" s="358" t="s">
        <v>732</v>
      </c>
      <c r="R56" s="360" t="s">
        <v>732</v>
      </c>
      <c r="S56" s="361" t="s">
        <v>733</v>
      </c>
      <c r="T56" s="551"/>
      <c r="U56" s="359"/>
      <c r="V56" s="23"/>
      <c r="W56" s="25"/>
      <c r="X56" s="25"/>
      <c r="Y56" s="25"/>
    </row>
    <row r="57" spans="1:25" ht="13.8" thickTop="1" x14ac:dyDescent="0.25">
      <c r="A57" s="723"/>
      <c r="B57" s="383"/>
      <c r="C57" s="384"/>
      <c r="D57" s="385"/>
      <c r="E57" s="385"/>
      <c r="F57" s="194"/>
      <c r="G57" s="194"/>
      <c r="H57" s="194"/>
      <c r="I57" s="194"/>
      <c r="J57" s="194"/>
      <c r="K57" s="194"/>
      <c r="L57" s="194"/>
      <c r="O57" s="386"/>
      <c r="P57" s="365"/>
      <c r="Q57" s="396"/>
      <c r="R57" s="374"/>
      <c r="S57" s="367"/>
      <c r="T57" s="553"/>
      <c r="U57" s="368"/>
      <c r="V57" s="23"/>
      <c r="W57" s="25"/>
      <c r="X57" s="25"/>
      <c r="Y57" s="25"/>
    </row>
    <row r="58" spans="1:25" x14ac:dyDescent="0.25">
      <c r="A58" s="724">
        <v>5111</v>
      </c>
      <c r="B58" s="369" t="s">
        <v>1264</v>
      </c>
      <c r="C58" s="373">
        <v>62644</v>
      </c>
      <c r="D58" s="373">
        <f>129+62937</f>
        <v>63066</v>
      </c>
      <c r="E58" s="373">
        <v>64970</v>
      </c>
      <c r="F58" s="194"/>
      <c r="G58" s="194"/>
      <c r="H58" s="194"/>
      <c r="I58" s="194"/>
      <c r="J58" s="194"/>
      <c r="K58" s="194"/>
      <c r="L58" s="194"/>
      <c r="O58" s="372">
        <f>+Q9</f>
        <v>120054</v>
      </c>
      <c r="P58" s="393">
        <f>+S9</f>
        <v>111270</v>
      </c>
      <c r="Q58" s="396">
        <f t="shared" ref="Q58:Q68" si="10">+P58-O58</f>
        <v>-8784</v>
      </c>
      <c r="R58" s="374">
        <f t="shared" ref="R58:R69" si="11">IF(O58+P58&lt;&gt;0,IF(O58&lt;&gt;0,IF(Q58&lt;&gt;0,ROUND((+Q58/O58),4),""),1),"")</f>
        <v>-7.3200000000000001E-2</v>
      </c>
      <c r="S58" s="367" t="s">
        <v>2305</v>
      </c>
      <c r="T58" s="553"/>
      <c r="U58" s="368"/>
      <c r="V58" s="23"/>
      <c r="W58" s="4"/>
      <c r="X58" s="4"/>
      <c r="Y58" s="4"/>
    </row>
    <row r="59" spans="1:25" x14ac:dyDescent="0.25">
      <c r="A59" s="724">
        <v>5113</v>
      </c>
      <c r="B59" s="369" t="s">
        <v>1265</v>
      </c>
      <c r="C59" s="373">
        <v>11965.6</v>
      </c>
      <c r="D59" s="373">
        <v>22300.3</v>
      </c>
      <c r="E59" s="373">
        <v>16105.72</v>
      </c>
      <c r="F59" s="194"/>
      <c r="G59" s="194"/>
      <c r="H59" s="194"/>
      <c r="I59" s="194"/>
      <c r="J59" s="194"/>
      <c r="K59" s="194"/>
      <c r="L59" s="194"/>
      <c r="O59" s="372" t="e">
        <f>+#REF!</f>
        <v>#REF!</v>
      </c>
      <c r="P59" s="393" t="e">
        <f>+#REF!</f>
        <v>#REF!</v>
      </c>
      <c r="Q59" s="396" t="e">
        <f t="shared" si="10"/>
        <v>#REF!</v>
      </c>
      <c r="R59" s="374" t="e">
        <f t="shared" si="11"/>
        <v>#REF!</v>
      </c>
      <c r="S59" s="367"/>
      <c r="T59" s="553"/>
      <c r="U59" s="368"/>
      <c r="V59" s="23"/>
      <c r="W59" s="4"/>
      <c r="X59" s="4"/>
      <c r="Y59" s="4"/>
    </row>
    <row r="60" spans="1:25" x14ac:dyDescent="0.25">
      <c r="A60" s="724">
        <v>5114</v>
      </c>
      <c r="B60" s="369" t="s">
        <v>1278</v>
      </c>
      <c r="C60" s="373">
        <v>12727.84</v>
      </c>
      <c r="D60" s="373">
        <v>14529.42</v>
      </c>
      <c r="E60" s="373">
        <v>15036.46</v>
      </c>
      <c r="F60" s="194"/>
      <c r="G60" s="194"/>
      <c r="H60" s="194"/>
      <c r="I60" s="194"/>
      <c r="J60" s="194"/>
      <c r="K60" s="194"/>
      <c r="L60" s="194"/>
      <c r="O60" s="372">
        <f>+Q10</f>
        <v>0</v>
      </c>
      <c r="P60" s="393">
        <f>+S10</f>
        <v>0</v>
      </c>
      <c r="Q60" s="396">
        <f t="shared" si="10"/>
        <v>0</v>
      </c>
      <c r="R60" s="374" t="str">
        <f t="shared" si="11"/>
        <v/>
      </c>
      <c r="S60" s="367"/>
      <c r="T60" s="553"/>
      <c r="U60" s="368"/>
      <c r="V60" s="23"/>
      <c r="W60" s="4"/>
      <c r="X60" s="4"/>
      <c r="Y60" s="4"/>
    </row>
    <row r="61" spans="1:25" x14ac:dyDescent="0.25">
      <c r="A61" s="724">
        <v>5116</v>
      </c>
      <c r="B61" s="369" t="s">
        <v>1266</v>
      </c>
      <c r="C61" s="373">
        <v>1500</v>
      </c>
      <c r="D61" s="373">
        <v>1500</v>
      </c>
      <c r="E61" s="373">
        <v>1500</v>
      </c>
      <c r="F61" s="194"/>
      <c r="G61" s="194"/>
      <c r="H61" s="194"/>
      <c r="I61" s="194"/>
      <c r="J61" s="194"/>
      <c r="K61" s="194"/>
      <c r="L61" s="194"/>
      <c r="O61" s="372">
        <f>+Q11</f>
        <v>1575</v>
      </c>
      <c r="P61" s="393">
        <f>+S11</f>
        <v>1764</v>
      </c>
      <c r="Q61" s="396">
        <f t="shared" si="10"/>
        <v>189</v>
      </c>
      <c r="R61" s="374">
        <f t="shared" si="11"/>
        <v>0.12</v>
      </c>
      <c r="S61" s="367" t="s">
        <v>2306</v>
      </c>
      <c r="T61" s="553"/>
      <c r="U61" s="368"/>
      <c r="V61" s="23"/>
      <c r="W61" s="4"/>
      <c r="X61" s="4"/>
      <c r="Y61" s="4"/>
    </row>
    <row r="62" spans="1:25" x14ac:dyDescent="0.25">
      <c r="A62" s="724">
        <v>5117</v>
      </c>
      <c r="B62" s="369" t="s">
        <v>1267</v>
      </c>
      <c r="C62" s="375">
        <v>500</v>
      </c>
      <c r="D62" s="375">
        <v>0</v>
      </c>
      <c r="E62" s="375">
        <v>500</v>
      </c>
      <c r="F62" s="194"/>
      <c r="G62" s="194"/>
      <c r="H62" s="194"/>
      <c r="I62" s="194"/>
      <c r="J62" s="194"/>
      <c r="K62" s="194"/>
      <c r="L62" s="194"/>
      <c r="O62" s="372">
        <f>+Q12</f>
        <v>1050</v>
      </c>
      <c r="P62" s="393">
        <f>+S12</f>
        <v>1400</v>
      </c>
      <c r="Q62" s="396">
        <f t="shared" si="10"/>
        <v>350</v>
      </c>
      <c r="R62" s="374">
        <f t="shared" si="11"/>
        <v>0.33329999999999999</v>
      </c>
      <c r="S62" s="367" t="s">
        <v>2306</v>
      </c>
      <c r="T62" s="920"/>
      <c r="U62" s="374"/>
      <c r="V62" s="23"/>
      <c r="W62" s="4"/>
      <c r="X62" s="4"/>
      <c r="Y62" s="4"/>
    </row>
    <row r="63" spans="1:25" x14ac:dyDescent="0.25">
      <c r="A63" s="724"/>
      <c r="B63" s="369" t="s">
        <v>817</v>
      </c>
      <c r="C63" s="375">
        <v>1000</v>
      </c>
      <c r="D63" s="375">
        <v>1500</v>
      </c>
      <c r="E63" s="375">
        <v>1500</v>
      </c>
      <c r="F63" s="194"/>
      <c r="G63" s="194"/>
      <c r="H63" s="194"/>
      <c r="I63" s="194"/>
      <c r="J63" s="194"/>
      <c r="K63" s="194"/>
      <c r="L63" s="194"/>
      <c r="O63" s="372">
        <f t="shared" ref="O63:O69" si="12">+Q14</f>
        <v>1765</v>
      </c>
      <c r="P63" s="393">
        <f t="shared" ref="P63:P69" si="13">+S14</f>
        <v>1980</v>
      </c>
      <c r="Q63" s="396">
        <f t="shared" si="10"/>
        <v>215</v>
      </c>
      <c r="R63" s="374">
        <f t="shared" si="11"/>
        <v>0.12180000000000001</v>
      </c>
      <c r="S63" s="367" t="s">
        <v>2306</v>
      </c>
      <c r="T63" s="920"/>
      <c r="U63" s="374"/>
      <c r="V63" s="23"/>
      <c r="W63" s="4"/>
      <c r="X63" s="4"/>
      <c r="Y63" s="4"/>
    </row>
    <row r="64" spans="1:25" x14ac:dyDescent="0.25">
      <c r="A64" s="724"/>
      <c r="B64" s="369" t="s">
        <v>741</v>
      </c>
      <c r="C64" s="375">
        <v>1000</v>
      </c>
      <c r="D64" s="375">
        <v>1500</v>
      </c>
      <c r="E64" s="375">
        <v>1500</v>
      </c>
      <c r="F64" s="194"/>
      <c r="G64" s="194"/>
      <c r="H64" s="194"/>
      <c r="I64" s="194"/>
      <c r="J64" s="194"/>
      <c r="K64" s="194"/>
      <c r="L64" s="194"/>
      <c r="O64" s="372">
        <f t="shared" si="12"/>
        <v>1605</v>
      </c>
      <c r="P64" s="393">
        <f t="shared" si="13"/>
        <v>1800</v>
      </c>
      <c r="Q64" s="396">
        <f t="shared" si="10"/>
        <v>195</v>
      </c>
      <c r="R64" s="374">
        <f t="shared" si="11"/>
        <v>0.1215</v>
      </c>
      <c r="S64" s="367" t="s">
        <v>2306</v>
      </c>
      <c r="T64" s="920"/>
      <c r="U64" s="374"/>
      <c r="V64" s="23"/>
      <c r="W64" s="4"/>
      <c r="X64" s="4"/>
      <c r="Y64" s="4"/>
    </row>
    <row r="65" spans="1:25" x14ac:dyDescent="0.25">
      <c r="A65" s="724">
        <v>5115</v>
      </c>
      <c r="B65" s="369" t="s">
        <v>742</v>
      </c>
      <c r="C65" s="373">
        <v>1000</v>
      </c>
      <c r="D65" s="373">
        <v>1500</v>
      </c>
      <c r="E65" s="373">
        <v>1500</v>
      </c>
      <c r="F65" s="194"/>
      <c r="G65" s="194"/>
      <c r="H65" s="194"/>
      <c r="I65" s="194"/>
      <c r="J65" s="194"/>
      <c r="K65" s="194"/>
      <c r="L65" s="194"/>
      <c r="O65" s="372">
        <f t="shared" si="12"/>
        <v>1605</v>
      </c>
      <c r="P65" s="393">
        <f t="shared" si="13"/>
        <v>1800</v>
      </c>
      <c r="Q65" s="396">
        <f t="shared" si="10"/>
        <v>195</v>
      </c>
      <c r="R65" s="374">
        <f t="shared" si="11"/>
        <v>0.1215</v>
      </c>
      <c r="S65" s="367" t="s">
        <v>2306</v>
      </c>
      <c r="T65" s="920"/>
      <c r="U65" s="374"/>
      <c r="V65" s="23"/>
      <c r="W65" s="4"/>
      <c r="X65" s="4"/>
      <c r="Y65" s="4"/>
    </row>
    <row r="66" spans="1:25" x14ac:dyDescent="0.25">
      <c r="A66" s="724">
        <v>5144</v>
      </c>
      <c r="B66" s="369" t="s">
        <v>27</v>
      </c>
      <c r="C66" s="375"/>
      <c r="D66" s="375"/>
      <c r="E66" s="375"/>
      <c r="F66" s="194"/>
      <c r="G66" s="194"/>
      <c r="H66" s="194"/>
      <c r="I66" s="194"/>
      <c r="J66" s="194"/>
      <c r="K66" s="194"/>
      <c r="L66" s="194"/>
      <c r="O66" s="372">
        <f t="shared" si="12"/>
        <v>500</v>
      </c>
      <c r="P66" s="393">
        <f t="shared" si="13"/>
        <v>0</v>
      </c>
      <c r="Q66" s="396">
        <f t="shared" si="10"/>
        <v>-500</v>
      </c>
      <c r="R66" s="374">
        <f t="shared" si="11"/>
        <v>-1</v>
      </c>
      <c r="S66" s="367" t="s">
        <v>2307</v>
      </c>
      <c r="T66" s="553"/>
      <c r="U66" s="368"/>
      <c r="V66" s="23"/>
      <c r="W66" s="4"/>
      <c r="X66" s="4"/>
      <c r="Y66" s="4"/>
    </row>
    <row r="67" spans="1:25" ht="13.8" thickBot="1" x14ac:dyDescent="0.3">
      <c r="A67" s="724">
        <v>5145</v>
      </c>
      <c r="B67" s="369" t="s">
        <v>744</v>
      </c>
      <c r="C67" s="371">
        <v>300.04000000000002</v>
      </c>
      <c r="D67" s="371">
        <v>300.04000000000002</v>
      </c>
      <c r="E67" s="371">
        <v>300.04000000000002</v>
      </c>
      <c r="F67" s="194"/>
      <c r="G67" s="194"/>
      <c r="H67" s="194"/>
      <c r="I67" s="194"/>
      <c r="J67" s="194"/>
      <c r="K67" s="194"/>
      <c r="L67" s="194"/>
      <c r="O67" s="372">
        <f t="shared" si="12"/>
        <v>300</v>
      </c>
      <c r="P67" s="393">
        <f t="shared" si="13"/>
        <v>300</v>
      </c>
      <c r="Q67" s="396">
        <f t="shared" si="10"/>
        <v>0</v>
      </c>
      <c r="R67" s="374" t="str">
        <f t="shared" si="11"/>
        <v/>
      </c>
      <c r="S67" s="367"/>
      <c r="T67" s="553"/>
      <c r="U67" s="368"/>
      <c r="V67" s="23"/>
      <c r="W67" s="4"/>
      <c r="X67" s="4"/>
      <c r="Y67" s="4"/>
    </row>
    <row r="68" spans="1:25" x14ac:dyDescent="0.25">
      <c r="A68" s="724">
        <v>5193</v>
      </c>
      <c r="B68" s="369" t="s">
        <v>919</v>
      </c>
      <c r="C68" s="375"/>
      <c r="D68" s="375"/>
      <c r="E68" s="375"/>
      <c r="F68" s="194"/>
      <c r="G68" s="194"/>
      <c r="H68" s="194"/>
      <c r="I68" s="194"/>
      <c r="J68" s="194"/>
      <c r="K68" s="194"/>
      <c r="L68" s="194"/>
      <c r="O68" s="372">
        <f t="shared" si="12"/>
        <v>0</v>
      </c>
      <c r="P68" s="393">
        <f t="shared" si="13"/>
        <v>0</v>
      </c>
      <c r="Q68" s="396">
        <f t="shared" si="10"/>
        <v>0</v>
      </c>
      <c r="R68" s="374" t="str">
        <f t="shared" si="11"/>
        <v/>
      </c>
      <c r="S68" s="367"/>
      <c r="T68" s="553"/>
      <c r="U68" s="368"/>
      <c r="V68" s="23"/>
      <c r="W68" s="4"/>
      <c r="X68" s="4"/>
      <c r="Y68" s="4"/>
    </row>
    <row r="69" spans="1:25" x14ac:dyDescent="0.25">
      <c r="A69" s="724">
        <v>5194</v>
      </c>
      <c r="B69" s="369" t="s">
        <v>918</v>
      </c>
      <c r="C69" s="375"/>
      <c r="D69" s="375"/>
      <c r="E69" s="375"/>
      <c r="F69" s="194"/>
      <c r="G69" s="194"/>
      <c r="H69" s="194"/>
      <c r="I69" s="194"/>
      <c r="J69" s="194"/>
      <c r="K69" s="194"/>
      <c r="L69" s="194"/>
      <c r="O69" s="372">
        <f t="shared" si="12"/>
        <v>0</v>
      </c>
      <c r="P69" s="393">
        <f t="shared" si="13"/>
        <v>0</v>
      </c>
      <c r="Q69" s="396">
        <f>+P69-O68</f>
        <v>0</v>
      </c>
      <c r="R69" s="374" t="str">
        <f t="shared" si="11"/>
        <v/>
      </c>
      <c r="S69" s="367"/>
      <c r="T69" s="553"/>
      <c r="U69" s="368"/>
      <c r="V69" s="23"/>
      <c r="W69" s="4"/>
      <c r="X69" s="4"/>
      <c r="Y69" s="4"/>
    </row>
    <row r="70" spans="1:25" x14ac:dyDescent="0.25">
      <c r="A70" s="724">
        <v>5310</v>
      </c>
      <c r="B70" s="369" t="s">
        <v>1269</v>
      </c>
      <c r="C70" s="375"/>
      <c r="D70" s="375"/>
      <c r="E70" s="375"/>
      <c r="F70" s="194"/>
      <c r="G70" s="194"/>
      <c r="H70" s="194"/>
      <c r="I70" s="194"/>
      <c r="J70" s="194"/>
      <c r="K70" s="194"/>
      <c r="L70" s="194"/>
      <c r="O70" s="366">
        <f t="shared" ref="O70:O78" si="14">+Q24</f>
        <v>0</v>
      </c>
      <c r="P70" s="393">
        <f t="shared" ref="P70:P82" si="15">+S24</f>
        <v>1000</v>
      </c>
      <c r="Q70" s="396">
        <f>+P70-O69</f>
        <v>1000</v>
      </c>
      <c r="R70" s="374">
        <f>IF(O70+P70&lt;&gt;0,IF(O70&lt;&gt;0,IF(Q70&lt;&gt;0,ROUND((+Q70/O70),4),""),1),"")</f>
        <v>1</v>
      </c>
      <c r="S70" s="367" t="s">
        <v>2308</v>
      </c>
      <c r="T70" s="553"/>
      <c r="U70" s="368"/>
      <c r="V70" s="23"/>
      <c r="W70" s="4"/>
      <c r="X70" s="4"/>
      <c r="Y70" s="4"/>
    </row>
    <row r="71" spans="1:25" x14ac:dyDescent="0.25">
      <c r="A71" s="724">
        <v>5314</v>
      </c>
      <c r="B71" s="369" t="s">
        <v>749</v>
      </c>
      <c r="C71" s="373">
        <v>844</v>
      </c>
      <c r="D71" s="373">
        <v>760</v>
      </c>
      <c r="E71" s="373">
        <v>560</v>
      </c>
      <c r="F71" s="194"/>
      <c r="G71" s="194"/>
      <c r="H71" s="194"/>
      <c r="I71" s="194"/>
      <c r="J71" s="194"/>
      <c r="K71" s="194"/>
      <c r="L71" s="194"/>
      <c r="O71" s="366">
        <f t="shared" si="14"/>
        <v>1500</v>
      </c>
      <c r="P71" s="393">
        <f t="shared" si="15"/>
        <v>1500</v>
      </c>
      <c r="Q71" s="396">
        <f t="shared" ref="Q71:Q79" si="16">+P71-O71</f>
        <v>0</v>
      </c>
      <c r="R71" s="374" t="str">
        <f t="shared" ref="R71:R79" si="17">IF(O71+P71&lt;&gt;0,IF(O71&lt;&gt;0,IF(Q71&lt;&gt;0,ROUND((+Q71/O71),4),""),1),"")</f>
        <v/>
      </c>
      <c r="S71" s="367"/>
      <c r="T71" s="553"/>
      <c r="U71" s="368"/>
      <c r="V71" s="23"/>
      <c r="W71" s="4"/>
      <c r="X71" s="4"/>
      <c r="Y71" s="4"/>
    </row>
    <row r="72" spans="1:25" x14ac:dyDescent="0.25">
      <c r="A72" s="724">
        <v>5315</v>
      </c>
      <c r="B72" s="369" t="s">
        <v>1270</v>
      </c>
      <c r="C72" s="373">
        <v>8934.75</v>
      </c>
      <c r="D72" s="373">
        <v>7969.5</v>
      </c>
      <c r="E72" s="373">
        <v>3688.75</v>
      </c>
      <c r="F72" s="194"/>
      <c r="G72" s="194"/>
      <c r="H72" s="194"/>
      <c r="I72" s="194"/>
      <c r="J72" s="194"/>
      <c r="K72" s="194"/>
      <c r="L72" s="194"/>
      <c r="O72" s="366">
        <f t="shared" si="14"/>
        <v>28600</v>
      </c>
      <c r="P72" s="393">
        <f t="shared" si="15"/>
        <v>28600</v>
      </c>
      <c r="Q72" s="396">
        <f t="shared" si="16"/>
        <v>0</v>
      </c>
      <c r="R72" s="374" t="str">
        <f t="shared" si="17"/>
        <v/>
      </c>
      <c r="S72" s="367"/>
      <c r="T72" s="553"/>
      <c r="U72" s="368"/>
      <c r="V72" s="23"/>
      <c r="W72" s="4"/>
      <c r="X72" s="4"/>
      <c r="Y72" s="4"/>
    </row>
    <row r="73" spans="1:25" x14ac:dyDescent="0.25">
      <c r="A73" s="724">
        <v>5341</v>
      </c>
      <c r="B73" s="369" t="s">
        <v>751</v>
      </c>
      <c r="C73" s="373">
        <v>618.01</v>
      </c>
      <c r="D73" s="373">
        <v>604.71</v>
      </c>
      <c r="E73" s="373">
        <v>786.39</v>
      </c>
      <c r="F73" s="194"/>
      <c r="G73" s="194"/>
      <c r="H73" s="194"/>
      <c r="I73" s="194"/>
      <c r="J73" s="194"/>
      <c r="K73" s="194"/>
      <c r="L73" s="194"/>
      <c r="O73" s="366">
        <f t="shared" si="14"/>
        <v>1440</v>
      </c>
      <c r="P73" s="393">
        <f t="shared" si="15"/>
        <v>1440</v>
      </c>
      <c r="Q73" s="396">
        <f t="shared" si="16"/>
        <v>0</v>
      </c>
      <c r="R73" s="374" t="str">
        <f t="shared" si="17"/>
        <v/>
      </c>
      <c r="S73" s="367"/>
      <c r="T73" s="553"/>
      <c r="U73" s="368"/>
      <c r="V73" s="23"/>
      <c r="W73" s="4"/>
      <c r="X73" s="4"/>
      <c r="Y73" s="4"/>
    </row>
    <row r="74" spans="1:25" x14ac:dyDescent="0.25">
      <c r="A74" s="724">
        <v>5344</v>
      </c>
      <c r="B74" s="369" t="s">
        <v>722</v>
      </c>
      <c r="C74" s="373">
        <v>372.41</v>
      </c>
      <c r="D74" s="373">
        <v>723.38</v>
      </c>
      <c r="E74" s="373">
        <v>1380.06</v>
      </c>
      <c r="F74" s="194"/>
      <c r="G74" s="194"/>
      <c r="H74" s="194"/>
      <c r="I74" s="194"/>
      <c r="J74" s="194"/>
      <c r="K74" s="194"/>
      <c r="L74" s="194"/>
      <c r="O74" s="366">
        <f t="shared" si="14"/>
        <v>1250</v>
      </c>
      <c r="P74" s="393">
        <f t="shared" si="15"/>
        <v>1250</v>
      </c>
      <c r="Q74" s="396">
        <f t="shared" si="16"/>
        <v>0</v>
      </c>
      <c r="R74" s="374" t="str">
        <f t="shared" si="17"/>
        <v/>
      </c>
      <c r="S74" s="367"/>
      <c r="T74" s="553"/>
      <c r="U74" s="368"/>
      <c r="V74" s="23"/>
      <c r="W74" s="4"/>
      <c r="X74" s="4"/>
      <c r="Y74" s="4"/>
    </row>
    <row r="75" spans="1:25" x14ac:dyDescent="0.25">
      <c r="A75" s="724">
        <v>5345</v>
      </c>
      <c r="B75" s="369" t="s">
        <v>752</v>
      </c>
      <c r="C75" s="373">
        <v>377.02</v>
      </c>
      <c r="D75" s="373">
        <v>0</v>
      </c>
      <c r="E75" s="373">
        <v>843.5</v>
      </c>
      <c r="F75" s="194"/>
      <c r="G75" s="194"/>
      <c r="H75" s="194"/>
      <c r="I75" s="194"/>
      <c r="J75" s="194"/>
      <c r="K75" s="194"/>
      <c r="L75" s="194"/>
      <c r="O75" s="366">
        <f t="shared" si="14"/>
        <v>300</v>
      </c>
      <c r="P75" s="393">
        <f t="shared" si="15"/>
        <v>0</v>
      </c>
      <c r="Q75" s="396">
        <f t="shared" si="16"/>
        <v>-300</v>
      </c>
      <c r="R75" s="374">
        <f t="shared" si="17"/>
        <v>-1</v>
      </c>
      <c r="S75" s="367" t="s">
        <v>2309</v>
      </c>
      <c r="T75" s="553"/>
      <c r="U75" s="368"/>
      <c r="V75" s="23"/>
      <c r="W75" s="4"/>
      <c r="X75" s="4"/>
      <c r="Y75" s="4"/>
    </row>
    <row r="76" spans="1:25" x14ac:dyDescent="0.25">
      <c r="A76" s="724">
        <v>5350</v>
      </c>
      <c r="B76" s="369" t="s">
        <v>1279</v>
      </c>
      <c r="C76" s="373"/>
      <c r="D76" s="373"/>
      <c r="E76" s="373"/>
      <c r="F76" s="194"/>
      <c r="G76" s="194"/>
      <c r="H76" s="194"/>
      <c r="I76" s="194"/>
      <c r="J76" s="194"/>
      <c r="K76" s="194"/>
      <c r="L76" s="194"/>
      <c r="O76" s="366">
        <f t="shared" si="14"/>
        <v>3000</v>
      </c>
      <c r="P76" s="393">
        <f t="shared" si="15"/>
        <v>3000</v>
      </c>
      <c r="Q76" s="396">
        <f t="shared" si="16"/>
        <v>0</v>
      </c>
      <c r="R76" s="374" t="str">
        <f t="shared" si="17"/>
        <v/>
      </c>
      <c r="S76" s="367"/>
      <c r="T76" s="553"/>
      <c r="U76" s="368"/>
      <c r="V76" s="23"/>
      <c r="W76" s="4"/>
      <c r="X76" s="4"/>
      <c r="Y76" s="4"/>
    </row>
    <row r="77" spans="1:25" x14ac:dyDescent="0.25">
      <c r="A77" s="724">
        <v>5380</v>
      </c>
      <c r="B77" s="369" t="s">
        <v>1280</v>
      </c>
      <c r="C77" s="373">
        <v>614.07000000000005</v>
      </c>
      <c r="D77" s="373">
        <v>674.22</v>
      </c>
      <c r="E77" s="373">
        <v>1414.08</v>
      </c>
      <c r="F77" s="194"/>
      <c r="G77" s="194"/>
      <c r="H77" s="194"/>
      <c r="I77" s="194"/>
      <c r="J77" s="194"/>
      <c r="K77" s="194"/>
      <c r="L77" s="194"/>
      <c r="O77" s="366">
        <f t="shared" si="14"/>
        <v>500</v>
      </c>
      <c r="P77" s="393">
        <f t="shared" si="15"/>
        <v>500</v>
      </c>
      <c r="Q77" s="396">
        <f t="shared" si="16"/>
        <v>0</v>
      </c>
      <c r="R77" s="374" t="str">
        <f t="shared" si="17"/>
        <v/>
      </c>
      <c r="S77" s="367"/>
      <c r="T77" s="553"/>
      <c r="U77" s="368"/>
      <c r="V77" s="23"/>
      <c r="W77" s="4"/>
      <c r="X77" s="4"/>
      <c r="Y77" s="4"/>
    </row>
    <row r="78" spans="1:25" x14ac:dyDescent="0.25">
      <c r="A78" s="724">
        <v>5420</v>
      </c>
      <c r="B78" s="369" t="s">
        <v>753</v>
      </c>
      <c r="C78" s="365">
        <v>1921.7</v>
      </c>
      <c r="D78" s="365">
        <v>2106.65</v>
      </c>
      <c r="E78" s="365">
        <v>5741.26</v>
      </c>
      <c r="F78" s="194"/>
      <c r="G78" s="194"/>
      <c r="H78" s="194"/>
      <c r="I78" s="194"/>
      <c r="J78" s="194"/>
      <c r="K78" s="194"/>
      <c r="L78" s="194"/>
      <c r="O78" s="366">
        <f t="shared" si="14"/>
        <v>4500</v>
      </c>
      <c r="P78" s="393">
        <f t="shared" si="15"/>
        <v>3500</v>
      </c>
      <c r="Q78" s="396">
        <f t="shared" si="16"/>
        <v>-1000</v>
      </c>
      <c r="R78" s="374">
        <f t="shared" si="17"/>
        <v>-0.22220000000000001</v>
      </c>
      <c r="S78" s="367" t="s">
        <v>2310</v>
      </c>
      <c r="T78" s="553"/>
      <c r="U78" s="368"/>
      <c r="V78" s="23"/>
      <c r="W78" s="4"/>
      <c r="X78" s="4"/>
      <c r="Y78" s="4"/>
    </row>
    <row r="79" spans="1:25" x14ac:dyDescent="0.25">
      <c r="A79" s="724">
        <v>5500</v>
      </c>
      <c r="B79" s="397" t="s">
        <v>1168</v>
      </c>
      <c r="C79" s="373"/>
      <c r="D79" s="373">
        <v>120.28</v>
      </c>
      <c r="E79" s="373">
        <v>12.41</v>
      </c>
      <c r="F79" s="194"/>
      <c r="G79" s="194"/>
      <c r="H79" s="194"/>
      <c r="I79" s="194"/>
      <c r="J79" s="194"/>
      <c r="K79" s="194"/>
      <c r="L79" s="194"/>
      <c r="O79" s="366">
        <f>+O33</f>
        <v>2000</v>
      </c>
      <c r="P79" s="393">
        <f t="shared" si="15"/>
        <v>2000</v>
      </c>
      <c r="Q79" s="396">
        <f t="shared" si="16"/>
        <v>0</v>
      </c>
      <c r="R79" s="374" t="str">
        <f t="shared" si="17"/>
        <v/>
      </c>
      <c r="S79" s="367"/>
      <c r="T79" s="553"/>
      <c r="U79" s="368"/>
      <c r="V79" s="23"/>
      <c r="W79" s="4"/>
      <c r="X79" s="4"/>
      <c r="Y79" s="4"/>
    </row>
    <row r="80" spans="1:25" x14ac:dyDescent="0.25">
      <c r="A80" s="724">
        <v>5580</v>
      </c>
      <c r="B80" s="369" t="s">
        <v>1039</v>
      </c>
      <c r="C80" s="373"/>
      <c r="D80" s="373"/>
      <c r="E80" s="373"/>
      <c r="F80" s="194"/>
      <c r="G80" s="194"/>
      <c r="H80" s="194"/>
      <c r="I80" s="194"/>
      <c r="J80" s="194"/>
      <c r="K80" s="194"/>
      <c r="L80" s="194"/>
      <c r="O80" s="366">
        <f>+Q34</f>
        <v>0</v>
      </c>
      <c r="P80" s="393">
        <f t="shared" si="15"/>
        <v>1000</v>
      </c>
      <c r="Q80" s="396"/>
      <c r="R80" s="374"/>
      <c r="S80" s="367" t="s">
        <v>2311</v>
      </c>
      <c r="T80" s="553"/>
      <c r="U80" s="368"/>
      <c r="V80" s="23"/>
      <c r="W80" s="4"/>
      <c r="X80" s="4"/>
      <c r="Y80" s="4"/>
    </row>
    <row r="81" spans="1:25" x14ac:dyDescent="0.25">
      <c r="A81" s="724">
        <v>5581</v>
      </c>
      <c r="B81" s="369" t="s">
        <v>755</v>
      </c>
      <c r="C81" s="373">
        <v>200</v>
      </c>
      <c r="D81" s="373">
        <v>0</v>
      </c>
      <c r="E81" s="373"/>
      <c r="F81" s="194"/>
      <c r="G81" s="194"/>
      <c r="H81" s="194"/>
      <c r="I81" s="194"/>
      <c r="J81" s="194"/>
      <c r="K81" s="194"/>
      <c r="L81" s="194"/>
      <c r="O81" s="366">
        <f>+Q35</f>
        <v>300</v>
      </c>
      <c r="P81" s="393">
        <f t="shared" si="15"/>
        <v>300</v>
      </c>
      <c r="Q81" s="396">
        <f>+P81-O81</f>
        <v>0</v>
      </c>
      <c r="R81" s="374" t="str">
        <f>IF(O81+P81&lt;&gt;0,IF(O81&lt;&gt;0,IF(Q81&lt;&gt;0,ROUND((+Q81/O81),4),""),1),"")</f>
        <v/>
      </c>
      <c r="S81" s="367"/>
      <c r="T81" s="553"/>
      <c r="U81" s="368"/>
      <c r="V81" s="23"/>
      <c r="W81" s="4"/>
      <c r="X81" s="4"/>
      <c r="Y81" s="4"/>
    </row>
    <row r="82" spans="1:25" x14ac:dyDescent="0.25">
      <c r="A82" s="724">
        <v>5710</v>
      </c>
      <c r="B82" s="369" t="s">
        <v>758</v>
      </c>
      <c r="C82" s="365">
        <v>1714.45</v>
      </c>
      <c r="D82" s="365">
        <v>899.49</v>
      </c>
      <c r="E82" s="365">
        <v>890.73</v>
      </c>
      <c r="F82" s="194"/>
      <c r="G82" s="194"/>
      <c r="H82" s="194"/>
      <c r="I82" s="194"/>
      <c r="J82" s="194"/>
      <c r="K82" s="194"/>
      <c r="L82" s="194"/>
      <c r="O82" s="366">
        <f>+Q36</f>
        <v>3000</v>
      </c>
      <c r="P82" s="393">
        <f t="shared" si="15"/>
        <v>3000</v>
      </c>
      <c r="Q82" s="396">
        <f>+P82-O82</f>
        <v>0</v>
      </c>
      <c r="R82" s="374" t="str">
        <f>IF(O82+P82&lt;&gt;0,IF(O82&lt;&gt;0,IF(Q82&lt;&gt;0,ROUND((+Q82/O82),4),""),1),"")</f>
        <v/>
      </c>
      <c r="S82" s="367"/>
      <c r="T82" s="553"/>
      <c r="U82" s="368"/>
      <c r="V82" s="23"/>
      <c r="W82" s="4"/>
      <c r="X82" s="4"/>
      <c r="Y82" s="4"/>
    </row>
    <row r="83" spans="1:25" ht="13.8" thickBot="1" x14ac:dyDescent="0.3">
      <c r="A83" s="724">
        <v>5730</v>
      </c>
      <c r="B83" s="369" t="s">
        <v>759</v>
      </c>
      <c r="C83" s="371">
        <v>355</v>
      </c>
      <c r="D83" s="371">
        <v>260</v>
      </c>
      <c r="E83" s="371">
        <v>210</v>
      </c>
      <c r="F83" s="194"/>
      <c r="G83" s="194"/>
      <c r="H83" s="194"/>
      <c r="I83" s="194"/>
      <c r="J83" s="194"/>
      <c r="K83" s="194"/>
      <c r="L83" s="194"/>
      <c r="O83" s="366">
        <f>+Q38</f>
        <v>600</v>
      </c>
      <c r="P83" s="393">
        <f>+S38</f>
        <v>600</v>
      </c>
      <c r="Q83" s="396">
        <f>+P83-O83</f>
        <v>0</v>
      </c>
      <c r="R83" s="374" t="str">
        <f>IF(O83+P83&lt;&gt;0,IF(O83&lt;&gt;0,IF(Q83&lt;&gt;0,ROUND((+Q83/O83),4),""),1),"")</f>
        <v/>
      </c>
      <c r="S83" s="367"/>
      <c r="T83" s="553"/>
      <c r="U83" s="368"/>
      <c r="V83" s="23"/>
      <c r="W83" s="4"/>
      <c r="X83" s="4"/>
      <c r="Y83" s="4"/>
    </row>
    <row r="84" spans="1:25" x14ac:dyDescent="0.25">
      <c r="A84" s="703"/>
      <c r="B84" s="4"/>
      <c r="C84" s="23"/>
      <c r="D84" s="23"/>
      <c r="E84" s="23"/>
      <c r="F84" s="23"/>
      <c r="G84" s="23"/>
      <c r="H84" s="194"/>
      <c r="I84" s="194"/>
      <c r="J84" s="194"/>
      <c r="K84" s="194"/>
      <c r="L84" s="194"/>
      <c r="O84" s="23"/>
      <c r="P84" s="23"/>
      <c r="Q84" s="23"/>
      <c r="R84" s="4"/>
      <c r="S84" s="23"/>
      <c r="T84" s="23"/>
      <c r="U84" s="23"/>
      <c r="V84" s="23"/>
      <c r="W84" s="4"/>
      <c r="X84" s="4"/>
      <c r="Y84" s="4"/>
    </row>
    <row r="85" spans="1:25" x14ac:dyDescent="0.25">
      <c r="B85" s="4" t="s">
        <v>735</v>
      </c>
      <c r="C85" s="23"/>
      <c r="D85" s="23"/>
      <c r="E85" s="23"/>
      <c r="F85" s="23"/>
      <c r="G85" s="23"/>
      <c r="H85" s="194"/>
      <c r="I85" s="194"/>
      <c r="J85" s="194"/>
      <c r="K85" s="194"/>
      <c r="L85" s="194"/>
      <c r="O85" s="597" t="e">
        <f>SUM(O58:O83)</f>
        <v>#REF!</v>
      </c>
      <c r="P85" s="597" t="e">
        <f>SUM(P58:P83)</f>
        <v>#REF!</v>
      </c>
      <c r="Q85" s="25" t="e">
        <f>+P85-O85</f>
        <v>#REF!</v>
      </c>
      <c r="R85" s="598" t="e">
        <f>IF(O85+P85&lt;&gt;0,IF(O85&lt;&gt;0,IF(Q85&lt;&gt;0,ROUND((+Q85/O85),4),""),1),"")</f>
        <v>#REF!</v>
      </c>
    </row>
    <row r="86" spans="1:25" x14ac:dyDescent="0.25">
      <c r="C86" s="194"/>
      <c r="D86" s="194"/>
      <c r="E86" s="194"/>
      <c r="F86" s="194"/>
      <c r="G86" s="194"/>
      <c r="H86" s="194"/>
      <c r="I86" s="194"/>
      <c r="J86" s="194"/>
      <c r="K86" s="194"/>
      <c r="L86" s="194"/>
      <c r="M86" s="194"/>
      <c r="N86" s="194"/>
      <c r="O86" s="194"/>
      <c r="P86" s="194"/>
      <c r="Q86" s="194"/>
    </row>
    <row r="87" spans="1:25" x14ac:dyDescent="0.25">
      <c r="C87" s="194"/>
      <c r="D87" s="194"/>
      <c r="E87" s="194"/>
      <c r="F87" s="194"/>
      <c r="G87" s="194"/>
      <c r="H87" s="194"/>
      <c r="I87" s="194"/>
      <c r="J87" s="194"/>
      <c r="K87" s="194"/>
      <c r="L87" s="194"/>
      <c r="M87" s="194"/>
      <c r="N87" s="194"/>
      <c r="O87" s="194"/>
      <c r="P87" s="194"/>
      <c r="Q87" s="194"/>
    </row>
    <row r="88" spans="1:25" x14ac:dyDescent="0.25">
      <c r="C88" s="194"/>
      <c r="D88" s="194"/>
      <c r="E88" s="194"/>
      <c r="F88" s="194"/>
      <c r="G88" s="194"/>
      <c r="H88" s="194"/>
      <c r="I88" s="194"/>
      <c r="J88" s="194"/>
      <c r="K88" s="194"/>
      <c r="L88" s="194"/>
      <c r="M88" s="194"/>
      <c r="N88" s="194"/>
      <c r="O88" s="194"/>
      <c r="P88" s="194"/>
      <c r="Q88" s="194"/>
    </row>
    <row r="89" spans="1:25" x14ac:dyDescent="0.25">
      <c r="C89" s="194"/>
      <c r="D89" s="194"/>
      <c r="E89" s="194"/>
      <c r="F89" s="194"/>
      <c r="G89" s="194"/>
      <c r="H89" s="194"/>
      <c r="I89" s="194"/>
      <c r="J89" s="194"/>
      <c r="K89" s="194"/>
      <c r="L89" s="194"/>
      <c r="M89" s="194"/>
      <c r="N89" s="194"/>
      <c r="O89" s="194"/>
      <c r="P89" s="194"/>
      <c r="Q89" s="194"/>
    </row>
    <row r="90" spans="1:25" x14ac:dyDescent="0.25">
      <c r="C90" s="194"/>
      <c r="D90" s="194"/>
      <c r="E90" s="194"/>
      <c r="F90" s="194"/>
      <c r="G90" s="194"/>
      <c r="H90" s="194"/>
      <c r="I90" s="194"/>
      <c r="J90" s="194"/>
      <c r="K90" s="194"/>
      <c r="L90" s="194"/>
      <c r="M90" s="194"/>
      <c r="N90" s="194"/>
      <c r="O90" s="194"/>
      <c r="P90" s="194"/>
      <c r="Q90" s="194"/>
    </row>
    <row r="91" spans="1:25" x14ac:dyDescent="0.25">
      <c r="C91" s="194"/>
      <c r="D91" s="194"/>
      <c r="E91" s="194"/>
      <c r="F91" s="194"/>
      <c r="G91" s="194"/>
      <c r="H91" s="194"/>
      <c r="I91" s="194"/>
      <c r="J91" s="194"/>
      <c r="K91" s="194"/>
      <c r="L91" s="194"/>
      <c r="M91" s="194"/>
      <c r="N91" s="194"/>
      <c r="O91" s="194"/>
      <c r="P91" s="194"/>
      <c r="Q91" s="194"/>
    </row>
    <row r="92" spans="1:25" x14ac:dyDescent="0.25">
      <c r="C92" s="194"/>
      <c r="D92" s="194"/>
      <c r="E92" s="194"/>
      <c r="F92" s="194"/>
      <c r="G92" s="194"/>
      <c r="H92" s="194"/>
      <c r="I92" s="194"/>
      <c r="J92" s="194"/>
      <c r="K92" s="194"/>
      <c r="L92" s="194"/>
      <c r="M92" s="194"/>
      <c r="N92" s="194"/>
      <c r="O92" s="194"/>
      <c r="P92" s="194"/>
      <c r="Q92" s="194"/>
    </row>
    <row r="93" spans="1:25" x14ac:dyDescent="0.25">
      <c r="C93" s="194"/>
      <c r="D93" s="194"/>
      <c r="E93" s="194"/>
      <c r="F93" s="194"/>
      <c r="G93" s="194"/>
      <c r="H93" s="194"/>
      <c r="I93" s="194"/>
      <c r="J93" s="194"/>
      <c r="K93" s="194"/>
      <c r="L93" s="194"/>
      <c r="M93" s="194"/>
      <c r="N93" s="194"/>
      <c r="O93" s="194"/>
      <c r="P93" s="194"/>
      <c r="Q93" s="194"/>
    </row>
    <row r="94" spans="1:25" x14ac:dyDescent="0.25">
      <c r="C94" s="194"/>
      <c r="D94" s="194"/>
      <c r="E94" s="194"/>
      <c r="F94" s="194"/>
      <c r="G94" s="194"/>
      <c r="H94" s="194"/>
      <c r="I94" s="194"/>
      <c r="J94" s="194"/>
      <c r="K94" s="194"/>
      <c r="L94" s="194"/>
      <c r="M94" s="194"/>
      <c r="N94" s="194"/>
      <c r="O94" s="194"/>
      <c r="P94" s="194"/>
      <c r="Q94" s="194"/>
    </row>
    <row r="95" spans="1:25" x14ac:dyDescent="0.25">
      <c r="C95" s="194"/>
      <c r="D95" s="194"/>
      <c r="E95" s="194"/>
      <c r="F95" s="194"/>
      <c r="G95" s="194"/>
      <c r="H95" s="194"/>
      <c r="I95" s="194"/>
      <c r="J95" s="194"/>
      <c r="K95" s="194"/>
      <c r="L95" s="194"/>
      <c r="M95" s="194"/>
      <c r="N95" s="194"/>
      <c r="O95" s="194"/>
      <c r="P95" s="194"/>
      <c r="Q95" s="194"/>
    </row>
    <row r="96" spans="1:25" x14ac:dyDescent="0.25">
      <c r="C96" s="194"/>
      <c r="D96" s="194"/>
      <c r="E96" s="194"/>
      <c r="F96" s="194"/>
      <c r="G96" s="194"/>
      <c r="H96" s="194"/>
      <c r="I96" s="194"/>
      <c r="J96" s="194"/>
      <c r="K96" s="194"/>
      <c r="L96" s="194"/>
      <c r="M96" s="194"/>
      <c r="N96" s="194"/>
      <c r="O96" s="194"/>
      <c r="P96" s="194"/>
      <c r="Q96" s="194"/>
    </row>
    <row r="97" spans="3:3" x14ac:dyDescent="0.25">
      <c r="C97" s="194"/>
    </row>
    <row r="98" spans="3:3" x14ac:dyDescent="0.25">
      <c r="C98" s="194"/>
    </row>
    <row r="99" spans="3:3" x14ac:dyDescent="0.25">
      <c r="C99" s="194"/>
    </row>
    <row r="100" spans="3:3" x14ac:dyDescent="0.25">
      <c r="C100" s="194"/>
    </row>
    <row r="101" spans="3:3" x14ac:dyDescent="0.25">
      <c r="C101" s="194"/>
    </row>
    <row r="102" spans="3:3" x14ac:dyDescent="0.25">
      <c r="C102" s="194"/>
    </row>
    <row r="103" spans="3:3" x14ac:dyDescent="0.25">
      <c r="C103" s="194"/>
    </row>
    <row r="104" spans="3:3" x14ac:dyDescent="0.25">
      <c r="C104" s="194"/>
    </row>
    <row r="105" spans="3:3" x14ac:dyDescent="0.25">
      <c r="C105" s="194"/>
    </row>
    <row r="106" spans="3:3" x14ac:dyDescent="0.25">
      <c r="C106" s="194"/>
    </row>
    <row r="107" spans="3:3" x14ac:dyDescent="0.25">
      <c r="C107" s="194"/>
    </row>
    <row r="108" spans="3:3" x14ac:dyDescent="0.25">
      <c r="C108" s="194"/>
    </row>
    <row r="109" spans="3:3" x14ac:dyDescent="0.25">
      <c r="C109" s="194"/>
    </row>
    <row r="110" spans="3:3" x14ac:dyDescent="0.25">
      <c r="C110" s="194"/>
    </row>
    <row r="111" spans="3:3" x14ac:dyDescent="0.25">
      <c r="C111" s="194"/>
    </row>
  </sheetData>
  <phoneticPr fontId="0" type="noConversion"/>
  <hyperlinks>
    <hyperlink ref="A1" location="'Working Budget with funding det'!A1" display="Main " xr:uid="{00000000-0004-0000-2A00-000000000000}"/>
    <hyperlink ref="B1" location="'Table of Contents'!A1" display="TOC" xr:uid="{00000000-0004-0000-2A00-000001000000}"/>
  </hyperlinks>
  <pageMargins left="0.75" right="0.75" top="1" bottom="1" header="0.5" footer="0.5"/>
  <pageSetup scale="91" fitToHeight="2" orientation="landscape" r:id="rId1"/>
  <headerFooter alignWithMargins="0">
    <oddFooter>&amp;L&amp;D     &amp;T&amp;C&amp;F&amp;R&amp;A   &amp;P</oddFooter>
  </headerFooter>
  <rowBreaks count="1" manualBreakCount="1">
    <brk id="45" max="1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pageSetUpPr fitToPage="1"/>
  </sheetPr>
  <dimension ref="A1:Z162"/>
  <sheetViews>
    <sheetView workbookViewId="0">
      <selection activeCell="R20" sqref="R20"/>
    </sheetView>
  </sheetViews>
  <sheetFormatPr defaultRowHeight="13.2" x14ac:dyDescent="0.25"/>
  <cols>
    <col min="1" max="1" width="10.664062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 min="23" max="25" width="14.44140625" customWidth="1"/>
    <col min="26" max="26" width="14.6640625" style="2" customWidth="1"/>
  </cols>
  <sheetData>
    <row r="1" spans="1:25" x14ac:dyDescent="0.25">
      <c r="A1" s="701" t="s">
        <v>736</v>
      </c>
      <c r="B1" s="290" t="s">
        <v>194</v>
      </c>
      <c r="D1" s="194"/>
      <c r="E1" s="194"/>
      <c r="F1" s="194"/>
      <c r="G1" s="194"/>
      <c r="H1" s="194"/>
      <c r="I1" s="194"/>
      <c r="J1" s="194"/>
      <c r="K1" s="194"/>
      <c r="L1" s="194"/>
      <c r="M1" s="194"/>
      <c r="N1" s="194"/>
      <c r="O1" s="194"/>
      <c r="P1" s="194"/>
      <c r="Q1" s="194"/>
      <c r="V1"/>
    </row>
    <row r="2" spans="1:25" ht="13.8" x14ac:dyDescent="0.25">
      <c r="A2" s="702" t="s">
        <v>1262</v>
      </c>
      <c r="B2" s="43"/>
      <c r="D2" s="194"/>
      <c r="E2" s="125"/>
      <c r="F2" s="194"/>
      <c r="G2" s="194"/>
      <c r="H2" s="194"/>
      <c r="I2" s="125" t="s">
        <v>706</v>
      </c>
      <c r="J2" s="125"/>
      <c r="K2" s="125"/>
      <c r="L2" s="125"/>
      <c r="M2" s="125"/>
      <c r="N2" s="125"/>
      <c r="O2" s="125"/>
      <c r="P2" s="125"/>
      <c r="Q2" s="125"/>
      <c r="R2" s="58" t="s">
        <v>551</v>
      </c>
      <c r="U2" s="44" t="s">
        <v>1281</v>
      </c>
    </row>
    <row r="3" spans="1:25" ht="13.8" thickBot="1" x14ac:dyDescent="0.3">
      <c r="A3" s="703"/>
      <c r="B3" s="4"/>
      <c r="C3" s="23"/>
      <c r="D3" s="23"/>
      <c r="E3" s="23"/>
      <c r="F3" s="23"/>
      <c r="G3" s="23"/>
      <c r="H3" s="23"/>
      <c r="I3" s="23"/>
      <c r="J3" s="23"/>
      <c r="K3" s="23"/>
      <c r="L3" s="23"/>
      <c r="M3" s="23"/>
      <c r="N3" s="23"/>
      <c r="O3" s="23"/>
      <c r="P3" s="23"/>
      <c r="Q3" s="23"/>
      <c r="R3" s="4"/>
      <c r="S3" s="23"/>
      <c r="T3" s="23"/>
      <c r="U3" s="4"/>
      <c r="V3" s="4"/>
      <c r="Y3" s="4"/>
    </row>
    <row r="4" spans="1:25"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5"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5"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5"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5" ht="13.8" thickTop="1" x14ac:dyDescent="0.25">
      <c r="A8" s="725"/>
      <c r="B8" s="185"/>
      <c r="C8" s="117"/>
      <c r="D8" s="18"/>
      <c r="E8" s="18"/>
      <c r="F8" s="18"/>
      <c r="G8" s="18"/>
      <c r="H8" s="18"/>
      <c r="I8" s="19"/>
      <c r="J8" s="19"/>
      <c r="K8" s="19"/>
      <c r="L8" s="19"/>
      <c r="M8" s="19"/>
      <c r="N8" s="19"/>
      <c r="O8" s="19"/>
      <c r="P8" s="19"/>
      <c r="Q8" s="19"/>
      <c r="R8" s="18"/>
      <c r="S8" s="19"/>
      <c r="T8" s="19"/>
      <c r="U8" s="19"/>
    </row>
    <row r="9" spans="1:25" x14ac:dyDescent="0.25">
      <c r="A9" s="708">
        <v>5113</v>
      </c>
      <c r="B9" s="101" t="s">
        <v>1282</v>
      </c>
      <c r="C9" s="115">
        <v>16942.54</v>
      </c>
      <c r="D9" s="13">
        <v>25004.240000000002</v>
      </c>
      <c r="E9" s="13">
        <v>25781.62</v>
      </c>
      <c r="F9" s="13">
        <v>26924.799999999999</v>
      </c>
      <c r="G9" s="13">
        <v>27587.43</v>
      </c>
      <c r="H9" s="13">
        <v>28836.080000000002</v>
      </c>
      <c r="I9" s="13">
        <v>30144.400000000001</v>
      </c>
      <c r="J9" s="13">
        <v>31112.55</v>
      </c>
      <c r="K9" s="14">
        <v>32335</v>
      </c>
      <c r="L9" s="13">
        <v>32181.3</v>
      </c>
      <c r="M9" s="14">
        <v>33496</v>
      </c>
      <c r="N9" s="13">
        <v>33318.26</v>
      </c>
      <c r="O9" s="14">
        <f>1254+41780</f>
        <v>43034</v>
      </c>
      <c r="P9" s="13">
        <v>43242.92</v>
      </c>
      <c r="Q9" s="14">
        <v>45384</v>
      </c>
      <c r="R9" s="13">
        <v>21819</v>
      </c>
      <c r="S9" s="14">
        <f>ROUND((+R32),0)</f>
        <v>46557</v>
      </c>
      <c r="T9" s="14"/>
      <c r="U9" s="14"/>
    </row>
    <row r="10" spans="1:25" ht="13.8" thickBot="1" x14ac:dyDescent="0.3">
      <c r="A10" s="708">
        <v>5144</v>
      </c>
      <c r="B10" s="101" t="s">
        <v>27</v>
      </c>
      <c r="C10" s="116"/>
      <c r="D10" s="15"/>
      <c r="E10" s="15"/>
      <c r="F10" s="15"/>
      <c r="G10" s="15">
        <v>300</v>
      </c>
      <c r="H10" s="15">
        <v>300</v>
      </c>
      <c r="I10" s="15">
        <v>300</v>
      </c>
      <c r="J10" s="15">
        <v>500</v>
      </c>
      <c r="K10" s="16">
        <v>500</v>
      </c>
      <c r="L10" s="15">
        <v>500</v>
      </c>
      <c r="M10" s="16">
        <v>500</v>
      </c>
      <c r="N10" s="15">
        <v>500</v>
      </c>
      <c r="O10" s="16">
        <v>500</v>
      </c>
      <c r="P10" s="15">
        <v>500</v>
      </c>
      <c r="Q10" s="16">
        <v>500</v>
      </c>
      <c r="R10" s="15">
        <v>500</v>
      </c>
      <c r="S10" s="16">
        <v>500</v>
      </c>
      <c r="T10" s="16"/>
      <c r="U10" s="16"/>
    </row>
    <row r="11" spans="1:25" x14ac:dyDescent="0.25">
      <c r="A11" s="708"/>
      <c r="B11" s="61" t="s">
        <v>718</v>
      </c>
      <c r="C11" s="117">
        <f>SUM(C9:C9)</f>
        <v>16942.54</v>
      </c>
      <c r="D11" s="18">
        <f>SUM(D9:D9)</f>
        <v>25004.240000000002</v>
      </c>
      <c r="E11" s="18">
        <f>SUM(E9:E9)</f>
        <v>25781.62</v>
      </c>
      <c r="F11" s="18">
        <f>+F9</f>
        <v>26924.799999999999</v>
      </c>
      <c r="G11" s="18">
        <f t="shared" ref="G11:S11" si="0">SUM(G9:G10)</f>
        <v>27887.43</v>
      </c>
      <c r="H11" s="18">
        <f t="shared" si="0"/>
        <v>29136.080000000002</v>
      </c>
      <c r="I11" s="18">
        <f t="shared" si="0"/>
        <v>30444.400000000001</v>
      </c>
      <c r="J11" s="18">
        <f t="shared" si="0"/>
        <v>31612.55</v>
      </c>
      <c r="K11" s="34">
        <f t="shared" si="0"/>
        <v>32835</v>
      </c>
      <c r="L11" s="18">
        <f t="shared" si="0"/>
        <v>32681.3</v>
      </c>
      <c r="M11" s="34">
        <f t="shared" si="0"/>
        <v>33996</v>
      </c>
      <c r="N11" s="18">
        <f t="shared" si="0"/>
        <v>33818.26</v>
      </c>
      <c r="O11" s="34">
        <f t="shared" si="0"/>
        <v>43534</v>
      </c>
      <c r="P11" s="18">
        <f t="shared" si="0"/>
        <v>43742.92</v>
      </c>
      <c r="Q11" s="34">
        <f t="shared" ref="Q11" si="1">SUM(Q9:Q10)</f>
        <v>45884</v>
      </c>
      <c r="R11" s="18">
        <f t="shared" si="0"/>
        <v>22319</v>
      </c>
      <c r="S11" s="34">
        <f t="shared" si="0"/>
        <v>47057</v>
      </c>
      <c r="T11" s="34"/>
      <c r="U11" s="34">
        <f>SUM(U9:U9)</f>
        <v>0</v>
      </c>
    </row>
    <row r="12" spans="1:25" x14ac:dyDescent="0.25">
      <c r="A12" s="708"/>
      <c r="B12" s="60"/>
      <c r="C12" s="115"/>
      <c r="D12" s="13"/>
      <c r="E12" s="13"/>
      <c r="F12" s="13"/>
      <c r="G12" s="13"/>
      <c r="H12" s="13"/>
      <c r="I12" s="13"/>
      <c r="J12" s="13"/>
      <c r="K12" s="14"/>
      <c r="L12" s="127"/>
      <c r="M12" s="14"/>
      <c r="N12" s="127"/>
      <c r="O12" s="14"/>
      <c r="P12" s="13"/>
      <c r="Q12" s="14"/>
      <c r="R12" s="13"/>
      <c r="S12" s="14"/>
      <c r="T12" s="14"/>
      <c r="U12" s="14"/>
      <c r="V12" s="194"/>
    </row>
    <row r="13" spans="1:25" x14ac:dyDescent="0.25">
      <c r="A13" s="708">
        <v>5211</v>
      </c>
      <c r="B13" s="60" t="s">
        <v>1252</v>
      </c>
      <c r="C13" s="115">
        <v>3508.51</v>
      </c>
      <c r="D13" s="13">
        <v>3502.18</v>
      </c>
      <c r="E13" s="13">
        <v>3083.86</v>
      </c>
      <c r="F13" s="13">
        <v>3317.15</v>
      </c>
      <c r="G13" s="13">
        <v>3337.49</v>
      </c>
      <c r="H13" s="13">
        <v>3800.35</v>
      </c>
      <c r="I13" s="13">
        <v>3907.67</v>
      </c>
      <c r="J13" s="13">
        <v>3193.71</v>
      </c>
      <c r="K13" s="14">
        <v>3600</v>
      </c>
      <c r="L13" s="13">
        <v>2104.21</v>
      </c>
      <c r="M13" s="14">
        <v>3850</v>
      </c>
      <c r="N13" s="13">
        <v>2129.86</v>
      </c>
      <c r="O13" s="14">
        <v>4235</v>
      </c>
      <c r="P13" s="13">
        <v>2322.48</v>
      </c>
      <c r="Q13" s="14">
        <v>3732</v>
      </c>
      <c r="R13" s="13">
        <v>1005.32</v>
      </c>
      <c r="S13" s="14">
        <v>3840</v>
      </c>
      <c r="T13" s="14"/>
      <c r="U13" s="14"/>
    </row>
    <row r="14" spans="1:25" x14ac:dyDescent="0.25">
      <c r="A14" s="708">
        <v>5214</v>
      </c>
      <c r="B14" s="60" t="s">
        <v>1283</v>
      </c>
      <c r="C14" s="115">
        <v>1669.01</v>
      </c>
      <c r="D14" s="13">
        <v>1925.82</v>
      </c>
      <c r="E14" s="13">
        <v>1944.03</v>
      </c>
      <c r="F14" s="13">
        <v>1383.3</v>
      </c>
      <c r="G14" s="13">
        <v>1632</v>
      </c>
      <c r="H14" s="13">
        <v>1728.79</v>
      </c>
      <c r="I14" s="13">
        <v>1865.25</v>
      </c>
      <c r="J14" s="13">
        <v>1523.32</v>
      </c>
      <c r="K14" s="14">
        <v>1500</v>
      </c>
      <c r="L14" s="13">
        <v>1208.83</v>
      </c>
      <c r="M14" s="14">
        <v>1500</v>
      </c>
      <c r="N14" s="13">
        <v>1820.96</v>
      </c>
      <c r="O14" s="14">
        <v>1650</v>
      </c>
      <c r="P14" s="13">
        <v>2105.34</v>
      </c>
      <c r="Q14" s="14">
        <v>1952</v>
      </c>
      <c r="R14" s="13">
        <v>352.24</v>
      </c>
      <c r="S14" s="14">
        <v>2000</v>
      </c>
      <c r="T14" s="14"/>
      <c r="U14" s="14"/>
    </row>
    <row r="15" spans="1:25" x14ac:dyDescent="0.25">
      <c r="A15" s="708">
        <v>5231</v>
      </c>
      <c r="B15" s="60" t="s">
        <v>1284</v>
      </c>
      <c r="C15" s="115"/>
      <c r="D15" s="13"/>
      <c r="E15" s="13"/>
      <c r="F15" s="13"/>
      <c r="G15" s="13">
        <v>91.8</v>
      </c>
      <c r="H15" s="13">
        <v>67.2</v>
      </c>
      <c r="I15" s="13">
        <v>79.599999999999994</v>
      </c>
      <c r="J15" s="13">
        <v>96</v>
      </c>
      <c r="K15" s="14">
        <v>120</v>
      </c>
      <c r="L15" s="13">
        <v>66</v>
      </c>
      <c r="M15" s="14">
        <v>120</v>
      </c>
      <c r="N15" s="13">
        <v>70</v>
      </c>
      <c r="O15" s="14">
        <v>120</v>
      </c>
      <c r="P15" s="13">
        <v>73</v>
      </c>
      <c r="Q15" s="14">
        <v>75</v>
      </c>
      <c r="R15" s="13">
        <v>38</v>
      </c>
      <c r="S15" s="14">
        <v>75</v>
      </c>
      <c r="T15" s="14"/>
      <c r="U15" s="14"/>
    </row>
    <row r="16" spans="1:25" x14ac:dyDescent="0.25">
      <c r="A16" s="708">
        <v>5232</v>
      </c>
      <c r="B16" s="60" t="s">
        <v>478</v>
      </c>
      <c r="C16" s="115"/>
      <c r="D16" s="13"/>
      <c r="E16" s="13"/>
      <c r="F16" s="13"/>
      <c r="G16" s="13"/>
      <c r="H16" s="13">
        <v>563.04</v>
      </c>
      <c r="I16" s="13">
        <v>367.88</v>
      </c>
      <c r="J16" s="13">
        <v>457.28</v>
      </c>
      <c r="K16" s="14">
        <v>455</v>
      </c>
      <c r="L16" s="13">
        <v>407.68</v>
      </c>
      <c r="M16" s="14">
        <v>455</v>
      </c>
      <c r="N16" s="13">
        <v>132.46</v>
      </c>
      <c r="O16" s="14">
        <v>455</v>
      </c>
      <c r="P16" s="13">
        <v>237.16</v>
      </c>
      <c r="Q16" s="14">
        <v>250</v>
      </c>
      <c r="R16" s="13">
        <v>128.72999999999999</v>
      </c>
      <c r="S16" s="14">
        <v>300</v>
      </c>
      <c r="T16" s="14"/>
      <c r="U16" s="14"/>
    </row>
    <row r="17" spans="1:26" x14ac:dyDescent="0.25">
      <c r="A17" s="708">
        <v>5242</v>
      </c>
      <c r="B17" s="60" t="s">
        <v>1149</v>
      </c>
      <c r="C17" s="115">
        <v>545.99</v>
      </c>
      <c r="D17" s="13">
        <v>2105</v>
      </c>
      <c r="E17" s="13">
        <v>2382</v>
      </c>
      <c r="F17" s="13">
        <v>988.18</v>
      </c>
      <c r="G17" s="13">
        <v>7888.47</v>
      </c>
      <c r="H17" s="13">
        <v>2341.9899999999998</v>
      </c>
      <c r="I17" s="13">
        <v>1901</v>
      </c>
      <c r="J17" s="13">
        <v>1086.27</v>
      </c>
      <c r="K17" s="14">
        <v>2000</v>
      </c>
      <c r="L17" s="13">
        <v>2161</v>
      </c>
      <c r="M17" s="14">
        <v>2000</v>
      </c>
      <c r="N17" s="13">
        <v>707</v>
      </c>
      <c r="O17" s="14">
        <v>2000</v>
      </c>
      <c r="P17" s="13">
        <v>1039</v>
      </c>
      <c r="Q17" s="14">
        <v>2500</v>
      </c>
      <c r="R17" s="13"/>
      <c r="S17" s="14">
        <v>2000</v>
      </c>
      <c r="T17" s="14"/>
      <c r="U17" s="14"/>
    </row>
    <row r="18" spans="1:26" x14ac:dyDescent="0.25">
      <c r="A18" s="708">
        <v>5251</v>
      </c>
      <c r="B18" s="60" t="s">
        <v>1153</v>
      </c>
      <c r="C18" s="115">
        <v>149</v>
      </c>
      <c r="D18" s="13">
        <v>156.53</v>
      </c>
      <c r="E18" s="13">
        <v>244.8</v>
      </c>
      <c r="F18" s="13">
        <v>1950.99</v>
      </c>
      <c r="G18" s="13">
        <v>86.97</v>
      </c>
      <c r="H18" s="13">
        <v>842</v>
      </c>
      <c r="I18" s="13">
        <v>89.99</v>
      </c>
      <c r="J18" s="13">
        <v>479.98</v>
      </c>
      <c r="K18" s="14">
        <v>850</v>
      </c>
      <c r="L18" s="13"/>
      <c r="M18" s="14">
        <v>400</v>
      </c>
      <c r="N18" s="13"/>
      <c r="O18" s="14">
        <v>400</v>
      </c>
      <c r="P18" s="13">
        <v>498.99</v>
      </c>
      <c r="Q18" s="14"/>
      <c r="R18" s="13">
        <v>1848</v>
      </c>
      <c r="S18" s="14">
        <v>500</v>
      </c>
      <c r="T18" s="14"/>
      <c r="U18" s="14"/>
    </row>
    <row r="19" spans="1:26" x14ac:dyDescent="0.25">
      <c r="A19" s="708">
        <v>5279</v>
      </c>
      <c r="B19" s="12" t="s">
        <v>1285</v>
      </c>
      <c r="C19" s="13">
        <v>3920</v>
      </c>
      <c r="D19" s="13">
        <v>3690</v>
      </c>
      <c r="E19" s="13">
        <v>2650</v>
      </c>
      <c r="F19" s="13">
        <v>2640</v>
      </c>
      <c r="G19" s="13">
        <v>913.5</v>
      </c>
      <c r="H19" s="13">
        <v>3436.5</v>
      </c>
      <c r="I19" s="13">
        <v>4705.25</v>
      </c>
      <c r="J19" s="13">
        <v>3538</v>
      </c>
      <c r="K19" s="14">
        <v>4770</v>
      </c>
      <c r="L19" s="13">
        <v>145</v>
      </c>
      <c r="M19" s="14">
        <v>4000</v>
      </c>
      <c r="N19" s="13">
        <v>101.5</v>
      </c>
      <c r="O19" s="14">
        <v>4000</v>
      </c>
      <c r="P19" s="13">
        <v>2600</v>
      </c>
      <c r="Q19" s="14">
        <v>4000</v>
      </c>
      <c r="R19" s="13"/>
      <c r="S19" s="14">
        <v>2500</v>
      </c>
      <c r="T19" s="14"/>
      <c r="U19" s="14"/>
    </row>
    <row r="20" spans="1:26" x14ac:dyDescent="0.25">
      <c r="A20" s="708">
        <v>5344</v>
      </c>
      <c r="B20" s="12" t="s">
        <v>722</v>
      </c>
      <c r="C20" s="13">
        <v>272.74</v>
      </c>
      <c r="D20" s="13"/>
      <c r="E20" s="13">
        <v>386.06</v>
      </c>
      <c r="F20" s="13"/>
      <c r="G20" s="13"/>
      <c r="H20" s="13">
        <v>50</v>
      </c>
      <c r="I20" s="13"/>
      <c r="J20" s="13"/>
      <c r="K20" s="14"/>
      <c r="L20" s="13"/>
      <c r="M20" s="14"/>
      <c r="N20" s="13"/>
      <c r="O20" s="14"/>
      <c r="P20" s="13"/>
      <c r="Q20" s="14"/>
      <c r="R20" s="13"/>
      <c r="S20" s="14">
        <v>300</v>
      </c>
      <c r="T20" s="14"/>
      <c r="U20" s="14"/>
    </row>
    <row r="21" spans="1:26" x14ac:dyDescent="0.25">
      <c r="A21" s="708">
        <v>5451</v>
      </c>
      <c r="B21" s="12" t="s">
        <v>1035</v>
      </c>
      <c r="C21" s="13"/>
      <c r="D21" s="13"/>
      <c r="E21" s="13"/>
      <c r="F21" s="13"/>
      <c r="G21" s="13"/>
      <c r="H21" s="13">
        <v>198.99</v>
      </c>
      <c r="I21" s="13">
        <v>0</v>
      </c>
      <c r="J21" s="13"/>
      <c r="K21" s="14">
        <v>200</v>
      </c>
      <c r="L21" s="13"/>
      <c r="M21" s="14">
        <v>200</v>
      </c>
      <c r="N21" s="13"/>
      <c r="O21" s="14">
        <v>200</v>
      </c>
      <c r="P21" s="13"/>
      <c r="Q21" s="14">
        <v>200</v>
      </c>
      <c r="R21" s="13"/>
      <c r="S21" s="14">
        <v>300</v>
      </c>
      <c r="T21" s="14"/>
      <c r="U21" s="14"/>
    </row>
    <row r="22" spans="1:26" x14ac:dyDescent="0.25">
      <c r="A22" s="708">
        <v>5586</v>
      </c>
      <c r="B22" s="12" t="s">
        <v>1280</v>
      </c>
      <c r="C22" s="13"/>
      <c r="D22" s="13">
        <v>314.31</v>
      </c>
      <c r="E22" s="13">
        <v>1371.15</v>
      </c>
      <c r="F22" s="13">
        <v>930.03</v>
      </c>
      <c r="G22" s="13">
        <v>590.49</v>
      </c>
      <c r="H22" s="13">
        <v>684.99</v>
      </c>
      <c r="I22" s="13">
        <v>527.96</v>
      </c>
      <c r="J22" s="13"/>
      <c r="K22" s="14">
        <v>500</v>
      </c>
      <c r="L22" s="13"/>
      <c r="M22" s="14">
        <v>0</v>
      </c>
      <c r="N22" s="13"/>
      <c r="O22" s="14">
        <v>0</v>
      </c>
      <c r="P22" s="13">
        <v>52.31</v>
      </c>
      <c r="Q22" s="14">
        <v>0</v>
      </c>
      <c r="R22" s="13"/>
      <c r="S22" s="14">
        <v>0</v>
      </c>
      <c r="T22" s="14"/>
      <c r="U22" s="14"/>
    </row>
    <row r="23" spans="1:26" ht="13.8" thickBot="1" x14ac:dyDescent="0.3">
      <c r="A23" s="708">
        <v>5710</v>
      </c>
      <c r="B23" s="12" t="s">
        <v>758</v>
      </c>
      <c r="C23" s="15">
        <v>205</v>
      </c>
      <c r="D23" s="15">
        <v>46.92</v>
      </c>
      <c r="E23" s="15"/>
      <c r="F23" s="15">
        <v>111.22</v>
      </c>
      <c r="G23" s="15">
        <v>29.16</v>
      </c>
      <c r="H23" s="15">
        <v>28.89</v>
      </c>
      <c r="I23" s="15">
        <v>0</v>
      </c>
      <c r="J23" s="15">
        <v>144.09</v>
      </c>
      <c r="K23" s="16">
        <v>150</v>
      </c>
      <c r="L23" s="15"/>
      <c r="M23" s="16">
        <v>0</v>
      </c>
      <c r="N23" s="15"/>
      <c r="O23" s="16">
        <v>0</v>
      </c>
      <c r="P23" s="15"/>
      <c r="Q23" s="16">
        <v>0</v>
      </c>
      <c r="R23" s="15"/>
      <c r="S23" s="16">
        <v>400</v>
      </c>
      <c r="T23" s="16"/>
      <c r="U23" s="16"/>
    </row>
    <row r="24" spans="1:26" x14ac:dyDescent="0.25">
      <c r="A24" s="708"/>
      <c r="B24" s="17" t="s">
        <v>728</v>
      </c>
      <c r="C24" s="13">
        <f t="shared" ref="C24:R24" si="2">SUM(C13:C23)</f>
        <v>10270.25</v>
      </c>
      <c r="D24" s="13">
        <f t="shared" si="2"/>
        <v>11740.759999999998</v>
      </c>
      <c r="E24" s="13">
        <f t="shared" si="2"/>
        <v>12061.9</v>
      </c>
      <c r="F24" s="13">
        <f>SUM(F13:F23)</f>
        <v>11320.869999999999</v>
      </c>
      <c r="G24" s="13">
        <f>SUM(G13:G23)</f>
        <v>14569.88</v>
      </c>
      <c r="H24" s="13">
        <f>SUM(H13:H23)</f>
        <v>13742.739999999998</v>
      </c>
      <c r="I24" s="13">
        <f t="shared" si="2"/>
        <v>13444.600000000002</v>
      </c>
      <c r="J24" s="13">
        <f t="shared" ref="J24" si="3">SUM(J13:J23)</f>
        <v>10518.65</v>
      </c>
      <c r="K24" s="14">
        <f>SUM(K13:K23)</f>
        <v>14145</v>
      </c>
      <c r="L24" s="13">
        <f t="shared" ref="L24:O24" si="4">SUM(L13:L23)</f>
        <v>6092.7199999999993</v>
      </c>
      <c r="M24" s="14">
        <f t="shared" si="4"/>
        <v>12525</v>
      </c>
      <c r="N24" s="13">
        <f t="shared" ref="N24" si="5">SUM(N13:N23)</f>
        <v>4961.78</v>
      </c>
      <c r="O24" s="14">
        <f t="shared" si="4"/>
        <v>13060</v>
      </c>
      <c r="P24" s="13">
        <f t="shared" ref="P24" si="6">SUM(P13:P23)</f>
        <v>8928.2799999999988</v>
      </c>
      <c r="Q24" s="14">
        <f>SUM(Q13:Q23)</f>
        <v>12709</v>
      </c>
      <c r="R24" s="13">
        <f t="shared" si="2"/>
        <v>3372.29</v>
      </c>
      <c r="S24" s="14">
        <f>SUM(S13:S23)</f>
        <v>12215</v>
      </c>
      <c r="T24" s="14"/>
      <c r="U24" s="14">
        <f>SUM(U13:U23)</f>
        <v>0</v>
      </c>
    </row>
    <row r="25" spans="1:26" x14ac:dyDescent="0.25">
      <c r="A25" s="708"/>
      <c r="B25" s="12"/>
      <c r="C25" s="13"/>
      <c r="D25" s="13"/>
      <c r="E25" s="13"/>
      <c r="F25" s="13"/>
      <c r="G25" s="13"/>
      <c r="H25" s="13"/>
      <c r="I25" s="13"/>
      <c r="J25" s="13"/>
      <c r="K25" s="14"/>
      <c r="L25" s="13"/>
      <c r="M25" s="14"/>
      <c r="N25" s="13"/>
      <c r="O25" s="14"/>
      <c r="P25" s="13"/>
      <c r="Q25" s="14"/>
      <c r="R25" s="13"/>
      <c r="S25" s="14"/>
      <c r="T25" s="14"/>
      <c r="U25" s="14"/>
    </row>
    <row r="26" spans="1:26" ht="13.8" thickBot="1" x14ac:dyDescent="0.3">
      <c r="A26" s="709"/>
      <c r="B26" s="20" t="s">
        <v>1286</v>
      </c>
      <c r="C26" s="21">
        <f t="shared" ref="C26:R26" si="7">+C24+C11</f>
        <v>27212.79</v>
      </c>
      <c r="D26" s="21">
        <f t="shared" si="7"/>
        <v>36745</v>
      </c>
      <c r="E26" s="21">
        <f t="shared" si="7"/>
        <v>37843.519999999997</v>
      </c>
      <c r="F26" s="21">
        <f>+F24+F11</f>
        <v>38245.67</v>
      </c>
      <c r="G26" s="21">
        <f>+G24+G11</f>
        <v>42457.31</v>
      </c>
      <c r="H26" s="21">
        <f>+H24+H11</f>
        <v>42878.82</v>
      </c>
      <c r="I26" s="21">
        <f t="shared" si="7"/>
        <v>43889</v>
      </c>
      <c r="J26" s="21">
        <f t="shared" ref="J26" si="8">+J24+J11</f>
        <v>42131.199999999997</v>
      </c>
      <c r="K26" s="22">
        <f>+K24+K11</f>
        <v>46980</v>
      </c>
      <c r="L26" s="21">
        <f t="shared" ref="L26:O26" si="9">+L24+L11</f>
        <v>38774.019999999997</v>
      </c>
      <c r="M26" s="22">
        <f t="shared" si="9"/>
        <v>46521</v>
      </c>
      <c r="N26" s="21">
        <f t="shared" ref="N26" si="10">+N24+N11</f>
        <v>38780.04</v>
      </c>
      <c r="O26" s="22">
        <f t="shared" si="9"/>
        <v>56594</v>
      </c>
      <c r="P26" s="21">
        <f t="shared" ref="P26" si="11">+P24+P11</f>
        <v>52671.199999999997</v>
      </c>
      <c r="Q26" s="22">
        <f>+Q24+Q11</f>
        <v>58593</v>
      </c>
      <c r="R26" s="21">
        <f t="shared" si="7"/>
        <v>25691.29</v>
      </c>
      <c r="S26" s="22">
        <f>+S24+S11</f>
        <v>59272</v>
      </c>
      <c r="T26" s="22">
        <f>+S26</f>
        <v>59272</v>
      </c>
      <c r="U26" s="22">
        <f>+S26</f>
        <v>59272</v>
      </c>
    </row>
    <row r="27" spans="1:26" ht="16.2" thickTop="1" x14ac:dyDescent="0.3">
      <c r="A27" s="703"/>
      <c r="B27" s="4"/>
      <c r="C27" s="23"/>
      <c r="D27" s="23"/>
      <c r="E27" s="23"/>
      <c r="F27" s="23"/>
      <c r="G27" s="23"/>
      <c r="H27" s="23"/>
      <c r="I27" s="23"/>
      <c r="J27" s="23"/>
      <c r="K27" s="23"/>
      <c r="L27" s="23"/>
      <c r="M27" s="23"/>
      <c r="N27" s="23"/>
      <c r="O27" s="23"/>
      <c r="P27" s="23"/>
      <c r="Q27" s="23"/>
      <c r="R27" s="181" t="s">
        <v>732</v>
      </c>
      <c r="S27" s="1001">
        <f>+S26-Q26</f>
        <v>679</v>
      </c>
      <c r="T27" s="1002">
        <f>ROUND((+S27/Q26),4)</f>
        <v>1.1599999999999999E-2</v>
      </c>
      <c r="U27" s="73"/>
      <c r="V27" s="23"/>
      <c r="W27" s="25"/>
      <c r="X27" s="183"/>
      <c r="Y27" s="25"/>
    </row>
    <row r="28" spans="1:26" x14ac:dyDescent="0.25">
      <c r="A28" s="703"/>
      <c r="B28" s="4" t="s">
        <v>793</v>
      </c>
      <c r="C28" s="23"/>
      <c r="D28" s="194"/>
      <c r="E28" s="194"/>
      <c r="F28" s="194"/>
      <c r="G28" s="194"/>
      <c r="H28" s="194"/>
      <c r="I28" s="194"/>
      <c r="J28" s="194"/>
      <c r="K28" s="194"/>
      <c r="L28" s="194"/>
      <c r="M28" s="194"/>
      <c r="N28" s="194"/>
      <c r="O28" s="194"/>
      <c r="P28" s="194"/>
      <c r="Q28" s="194"/>
      <c r="R28" s="1"/>
      <c r="S28"/>
      <c r="T28"/>
      <c r="U28" s="73"/>
      <c r="V28" s="25"/>
      <c r="W28" s="1"/>
      <c r="Z28"/>
    </row>
    <row r="29" spans="1:26" ht="13.8" thickBot="1" x14ac:dyDescent="0.3">
      <c r="A29" s="703"/>
      <c r="B29" s="4"/>
      <c r="C29" s="23"/>
      <c r="D29" s="194"/>
      <c r="E29" s="194"/>
      <c r="F29" s="194"/>
      <c r="G29" s="194"/>
      <c r="H29" s="194"/>
      <c r="I29" s="194"/>
      <c r="J29" s="194"/>
      <c r="K29" s="194"/>
      <c r="L29" s="194"/>
      <c r="M29" s="194"/>
      <c r="N29" s="194"/>
      <c r="O29" s="194"/>
      <c r="P29" s="194"/>
      <c r="Q29" s="194"/>
      <c r="R29" s="1"/>
      <c r="S29"/>
      <c r="T29"/>
      <c r="U29"/>
      <c r="V29"/>
      <c r="W29" s="1"/>
      <c r="Z29"/>
    </row>
    <row r="30" spans="1:26" ht="13.8" thickTop="1" x14ac:dyDescent="0.25">
      <c r="A30" s="710" t="s">
        <v>760</v>
      </c>
      <c r="B30" s="98"/>
      <c r="D30" s="194"/>
      <c r="E30" s="194"/>
      <c r="F30" s="194"/>
      <c r="G30" s="194"/>
      <c r="H30" s="130" t="s">
        <v>761</v>
      </c>
      <c r="I30" s="194"/>
      <c r="J30" s="194"/>
      <c r="K30" s="194"/>
      <c r="L30" s="194"/>
      <c r="O30" s="251" t="s">
        <v>761</v>
      </c>
      <c r="P30" s="137" t="s">
        <v>1075</v>
      </c>
      <c r="Q30" s="149" t="s">
        <v>1100</v>
      </c>
      <c r="R30" s="139" t="s">
        <v>763</v>
      </c>
      <c r="S30"/>
      <c r="T30"/>
      <c r="U30" s="187" t="s">
        <v>764</v>
      </c>
      <c r="V30"/>
    </row>
    <row r="31" spans="1:26" ht="13.8" thickBot="1" x14ac:dyDescent="0.3">
      <c r="A31" s="711" t="s">
        <v>765</v>
      </c>
      <c r="B31" s="100" t="s">
        <v>766</v>
      </c>
      <c r="D31" s="194"/>
      <c r="E31" s="194"/>
      <c r="F31" s="194"/>
      <c r="G31" s="194"/>
      <c r="H31" s="141" t="s">
        <v>794</v>
      </c>
      <c r="I31" s="194"/>
      <c r="J31" s="194"/>
      <c r="K31" s="194"/>
      <c r="L31" s="194"/>
      <c r="O31" s="269">
        <v>45474</v>
      </c>
      <c r="P31" s="140" t="s">
        <v>767</v>
      </c>
      <c r="Q31" s="141" t="s">
        <v>768</v>
      </c>
      <c r="R31" s="141" t="s">
        <v>769</v>
      </c>
      <c r="S31" s="106" t="s">
        <v>770</v>
      </c>
      <c r="T31" s="106"/>
      <c r="U31" s="106" t="s">
        <v>1345</v>
      </c>
      <c r="V31" s="106" t="s">
        <v>771</v>
      </c>
    </row>
    <row r="32" spans="1:26" ht="13.8" thickTop="1" x14ac:dyDescent="0.25">
      <c r="A32" s="152">
        <v>40009</v>
      </c>
      <c r="B32" s="60" t="s">
        <v>1287</v>
      </c>
      <c r="D32" s="194"/>
      <c r="E32" s="194"/>
      <c r="F32" s="194"/>
      <c r="G32" s="194"/>
      <c r="H32" s="13" t="s">
        <v>1288</v>
      </c>
      <c r="I32" s="194"/>
      <c r="J32" s="194"/>
      <c r="K32" s="194"/>
      <c r="L32" s="194"/>
      <c r="O32" s="13" t="s">
        <v>1289</v>
      </c>
      <c r="P32" s="13">
        <f>+'NAGE &amp; Non-Union Wages'!L18</f>
        <v>42.44</v>
      </c>
      <c r="Q32" s="14">
        <v>1097</v>
      </c>
      <c r="R32" s="147">
        <f>ROUND((+P32*Q32),2)</f>
        <v>46556.68</v>
      </c>
      <c r="S32" s="152">
        <v>40009</v>
      </c>
      <c r="T32" s="152"/>
      <c r="U32" s="712">
        <v>15</v>
      </c>
      <c r="V32" s="2">
        <v>900</v>
      </c>
    </row>
    <row r="33" spans="1:26" x14ac:dyDescent="0.25">
      <c r="A33" s="703"/>
      <c r="B33" s="4" t="s">
        <v>1290</v>
      </c>
      <c r="C33" s="23"/>
      <c r="D33" s="23"/>
      <c r="E33" s="23"/>
      <c r="F33" s="194"/>
      <c r="G33" s="23"/>
      <c r="H33" s="23"/>
      <c r="I33" s="23"/>
      <c r="J33" s="23"/>
      <c r="K33" s="23"/>
      <c r="L33" s="23"/>
      <c r="O33" s="23"/>
      <c r="P33" s="23"/>
      <c r="Q33" s="23"/>
      <c r="R33" s="25"/>
      <c r="S33" s="23"/>
      <c r="T33" s="23"/>
      <c r="U33" s="23"/>
      <c r="V33" s="23"/>
      <c r="W33" s="25"/>
      <c r="X33" s="25"/>
      <c r="Y33" s="25"/>
    </row>
    <row r="34" spans="1:26" ht="13.8" thickBot="1" x14ac:dyDescent="0.3">
      <c r="A34" s="703"/>
      <c r="B34" s="4"/>
      <c r="C34" s="23"/>
      <c r="D34" s="23"/>
      <c r="E34" s="23"/>
      <c r="F34" s="194"/>
      <c r="G34" s="23"/>
      <c r="H34" s="23"/>
      <c r="I34" s="23"/>
      <c r="J34" s="23"/>
      <c r="K34" s="23"/>
      <c r="L34" s="23"/>
      <c r="O34" s="23"/>
      <c r="P34" s="23"/>
      <c r="Q34" s="23"/>
      <c r="R34" s="25"/>
      <c r="S34" s="23"/>
      <c r="T34" s="23"/>
      <c r="U34" s="23"/>
      <c r="V34" s="23"/>
      <c r="W34" s="25"/>
      <c r="X34" s="25"/>
      <c r="Y34" s="25"/>
    </row>
    <row r="35" spans="1:26" ht="13.8" thickTop="1" x14ac:dyDescent="0.25">
      <c r="A35" s="718"/>
      <c r="B35" s="349"/>
      <c r="C35" s="350" t="s">
        <v>256</v>
      </c>
      <c r="D35" s="351" t="s">
        <v>256</v>
      </c>
      <c r="E35" s="351" t="s">
        <v>256</v>
      </c>
      <c r="F35" s="194"/>
      <c r="G35" s="194"/>
      <c r="H35" s="194"/>
      <c r="I35" s="194"/>
      <c r="J35" s="194"/>
      <c r="K35" s="194"/>
      <c r="L35" s="194"/>
      <c r="O35" s="352" t="s">
        <v>255</v>
      </c>
      <c r="P35" s="353" t="s">
        <v>716</v>
      </c>
      <c r="Q35" s="354" t="s">
        <v>730</v>
      </c>
      <c r="R35" s="353" t="s">
        <v>731</v>
      </c>
      <c r="S35" s="355"/>
      <c r="T35" s="550"/>
      <c r="U35" s="354"/>
      <c r="V35" s="23"/>
      <c r="W35" s="25"/>
      <c r="X35" s="25"/>
      <c r="Y35" s="25"/>
      <c r="Z35"/>
    </row>
    <row r="36" spans="1:26" ht="13.8" thickBot="1" x14ac:dyDescent="0.3">
      <c r="A36" s="719" t="s">
        <v>715</v>
      </c>
      <c r="B36" s="356"/>
      <c r="C36" s="357" t="s">
        <v>243</v>
      </c>
      <c r="D36" s="357" t="s">
        <v>244</v>
      </c>
      <c r="E36" s="358" t="s">
        <v>245</v>
      </c>
      <c r="F36" s="194"/>
      <c r="G36" s="194"/>
      <c r="H36" s="194"/>
      <c r="I36" s="194"/>
      <c r="J36" s="194"/>
      <c r="K36" s="194"/>
      <c r="L36" s="194"/>
      <c r="O36" s="359" t="s">
        <v>469</v>
      </c>
      <c r="P36" s="359" t="s">
        <v>1345</v>
      </c>
      <c r="Q36" s="358" t="s">
        <v>732</v>
      </c>
      <c r="R36" s="360" t="s">
        <v>732</v>
      </c>
      <c r="S36" s="361" t="s">
        <v>733</v>
      </c>
      <c r="T36" s="551"/>
      <c r="U36" s="359"/>
      <c r="V36" s="23"/>
      <c r="W36" s="25"/>
      <c r="X36" s="25"/>
      <c r="Y36" s="25"/>
      <c r="Z36"/>
    </row>
    <row r="37" spans="1:26" ht="13.8" thickTop="1" x14ac:dyDescent="0.25">
      <c r="A37" s="726"/>
      <c r="B37" s="376"/>
      <c r="C37" s="365"/>
      <c r="D37" s="365"/>
      <c r="E37" s="365"/>
      <c r="F37" s="194"/>
      <c r="G37" s="194"/>
      <c r="H37" s="194"/>
      <c r="I37" s="194"/>
      <c r="J37" s="194"/>
      <c r="K37" s="194"/>
      <c r="L37" s="194"/>
      <c r="O37" s="366"/>
      <c r="P37" s="365"/>
      <c r="Q37" s="396"/>
      <c r="R37" s="374"/>
      <c r="S37" s="367"/>
      <c r="T37" s="553"/>
      <c r="U37" s="368"/>
      <c r="V37" s="23"/>
      <c r="W37" s="25"/>
      <c r="X37" s="25"/>
      <c r="Y37" s="25"/>
      <c r="Z37"/>
    </row>
    <row r="38" spans="1:26" x14ac:dyDescent="0.25">
      <c r="A38" s="724">
        <v>5113</v>
      </c>
      <c r="B38" s="400" t="s">
        <v>1282</v>
      </c>
      <c r="C38" s="373">
        <v>16942.54</v>
      </c>
      <c r="D38" s="373">
        <v>25004.240000000002</v>
      </c>
      <c r="E38" s="373">
        <v>25781.62</v>
      </c>
      <c r="F38" s="194"/>
      <c r="G38" s="194"/>
      <c r="H38" s="194"/>
      <c r="I38" s="194"/>
      <c r="J38" s="194"/>
      <c r="K38" s="194"/>
      <c r="L38" s="194"/>
      <c r="O38" s="539">
        <f>+Q9</f>
        <v>45384</v>
      </c>
      <c r="P38" s="393">
        <f>+S9</f>
        <v>46557</v>
      </c>
      <c r="Q38" s="396">
        <f t="shared" ref="Q38:Q50" si="12">+P38-O38</f>
        <v>1173</v>
      </c>
      <c r="R38" s="374">
        <f t="shared" ref="R38:R50" si="13">IF(O38+P38&lt;&gt;0,IF(O38&lt;&gt;0,IF(Q38&lt;&gt;0,ROUND((+Q38/O38),4),""),1),"")</f>
        <v>2.58E-2</v>
      </c>
      <c r="S38" s="367" t="s">
        <v>2450</v>
      </c>
      <c r="T38" s="553"/>
      <c r="U38" s="368"/>
      <c r="V38" s="23"/>
      <c r="W38" s="25"/>
      <c r="X38" s="25"/>
      <c r="Y38" s="25"/>
      <c r="Z38"/>
    </row>
    <row r="39" spans="1:26" ht="13.8" thickBot="1" x14ac:dyDescent="0.3">
      <c r="A39" s="724">
        <v>5144</v>
      </c>
      <c r="B39" s="376" t="s">
        <v>27</v>
      </c>
      <c r="C39" s="371"/>
      <c r="D39" s="371"/>
      <c r="E39" s="371"/>
      <c r="F39" s="194"/>
      <c r="G39" s="194"/>
      <c r="H39" s="194"/>
      <c r="I39" s="194"/>
      <c r="J39" s="194"/>
      <c r="K39" s="194"/>
      <c r="L39" s="194"/>
      <c r="O39" s="539">
        <f>+Q10</f>
        <v>500</v>
      </c>
      <c r="P39" s="393">
        <f>+S10</f>
        <v>500</v>
      </c>
      <c r="Q39" s="396">
        <f t="shared" si="12"/>
        <v>0</v>
      </c>
      <c r="R39" s="374" t="str">
        <f t="shared" si="13"/>
        <v/>
      </c>
      <c r="S39" s="367"/>
      <c r="T39" s="553"/>
      <c r="U39" s="368"/>
      <c r="V39" s="23"/>
      <c r="W39" s="25"/>
      <c r="X39" s="25"/>
      <c r="Y39" s="25"/>
      <c r="Z39"/>
    </row>
    <row r="40" spans="1:26" x14ac:dyDescent="0.25">
      <c r="A40" s="724">
        <v>5211</v>
      </c>
      <c r="B40" s="369" t="s">
        <v>1252</v>
      </c>
      <c r="C40" s="373">
        <v>3508.51</v>
      </c>
      <c r="D40" s="373">
        <v>3502.18</v>
      </c>
      <c r="E40" s="373">
        <v>3083.86</v>
      </c>
      <c r="F40" s="194"/>
      <c r="G40" s="194"/>
      <c r="H40" s="194"/>
      <c r="I40" s="194"/>
      <c r="J40" s="194"/>
      <c r="K40" s="194"/>
      <c r="L40" s="194"/>
      <c r="O40" s="366">
        <f t="shared" ref="O40:O50" si="14">+Q13</f>
        <v>3732</v>
      </c>
      <c r="P40" s="393">
        <f t="shared" ref="P40:P50" si="15">+S13</f>
        <v>3840</v>
      </c>
      <c r="Q40" s="396">
        <f t="shared" si="12"/>
        <v>108</v>
      </c>
      <c r="R40" s="374">
        <f t="shared" si="13"/>
        <v>2.8899999999999999E-2</v>
      </c>
      <c r="S40" s="367" t="s">
        <v>2451</v>
      </c>
      <c r="T40" s="553"/>
      <c r="U40" s="368"/>
      <c r="V40" s="23"/>
      <c r="W40" s="25"/>
      <c r="X40" s="25"/>
      <c r="Y40" s="25"/>
      <c r="Z40"/>
    </row>
    <row r="41" spans="1:26" x14ac:dyDescent="0.25">
      <c r="A41" s="724">
        <v>5214</v>
      </c>
      <c r="B41" s="369" t="s">
        <v>1283</v>
      </c>
      <c r="C41" s="373">
        <v>1669.01</v>
      </c>
      <c r="D41" s="373">
        <v>1925.82</v>
      </c>
      <c r="E41" s="373">
        <v>1944.03</v>
      </c>
      <c r="F41" s="194"/>
      <c r="G41" s="194"/>
      <c r="H41" s="194"/>
      <c r="I41" s="194"/>
      <c r="J41" s="194"/>
      <c r="K41" s="194"/>
      <c r="L41" s="194"/>
      <c r="O41" s="366">
        <f t="shared" si="14"/>
        <v>1952</v>
      </c>
      <c r="P41" s="393">
        <f t="shared" si="15"/>
        <v>2000</v>
      </c>
      <c r="Q41" s="396">
        <f t="shared" si="12"/>
        <v>48</v>
      </c>
      <c r="R41" s="374">
        <f t="shared" si="13"/>
        <v>2.46E-2</v>
      </c>
      <c r="S41" s="367" t="s">
        <v>2451</v>
      </c>
      <c r="T41" s="553"/>
      <c r="U41" s="368"/>
      <c r="V41" s="23"/>
      <c r="W41" s="25"/>
      <c r="X41" s="25"/>
      <c r="Y41" s="25"/>
      <c r="Z41"/>
    </row>
    <row r="42" spans="1:26" x14ac:dyDescent="0.25">
      <c r="A42" s="724">
        <v>5231</v>
      </c>
      <c r="B42" s="369" t="s">
        <v>1284</v>
      </c>
      <c r="C42" s="373"/>
      <c r="D42" s="373"/>
      <c r="E42" s="373"/>
      <c r="F42" s="194"/>
      <c r="G42" s="194"/>
      <c r="H42" s="194"/>
      <c r="I42" s="194"/>
      <c r="J42" s="194"/>
      <c r="K42" s="194"/>
      <c r="L42" s="194"/>
      <c r="O42" s="366">
        <f t="shared" si="14"/>
        <v>75</v>
      </c>
      <c r="P42" s="393">
        <f t="shared" si="15"/>
        <v>75</v>
      </c>
      <c r="Q42" s="396">
        <f t="shared" si="12"/>
        <v>0</v>
      </c>
      <c r="R42" s="374" t="str">
        <f t="shared" si="13"/>
        <v/>
      </c>
      <c r="S42" s="367"/>
      <c r="T42" s="553"/>
      <c r="U42" s="368"/>
      <c r="V42" s="23"/>
      <c r="W42" s="25"/>
      <c r="X42" s="25"/>
      <c r="Y42" s="25"/>
      <c r="Z42"/>
    </row>
    <row r="43" spans="1:26" x14ac:dyDescent="0.25">
      <c r="A43" s="724">
        <v>5232</v>
      </c>
      <c r="B43" s="369" t="s">
        <v>478</v>
      </c>
      <c r="C43" s="373"/>
      <c r="D43" s="373"/>
      <c r="E43" s="373"/>
      <c r="F43" s="194"/>
      <c r="G43" s="194"/>
      <c r="H43" s="194"/>
      <c r="I43" s="194"/>
      <c r="J43" s="194"/>
      <c r="K43" s="194"/>
      <c r="L43" s="194"/>
      <c r="O43" s="366">
        <f t="shared" si="14"/>
        <v>250</v>
      </c>
      <c r="P43" s="393">
        <f t="shared" si="15"/>
        <v>300</v>
      </c>
      <c r="Q43" s="396">
        <f t="shared" si="12"/>
        <v>50</v>
      </c>
      <c r="R43" s="374">
        <f t="shared" si="13"/>
        <v>0.2</v>
      </c>
      <c r="S43" s="367" t="s">
        <v>2452</v>
      </c>
      <c r="T43" s="553"/>
      <c r="U43" s="368"/>
      <c r="V43" s="23"/>
      <c r="W43" s="25"/>
      <c r="X43" s="25"/>
      <c r="Y43" s="25"/>
      <c r="Z43"/>
    </row>
    <row r="44" spans="1:26" x14ac:dyDescent="0.25">
      <c r="A44" s="724">
        <v>5242</v>
      </c>
      <c r="B44" s="369" t="s">
        <v>1149</v>
      </c>
      <c r="C44" s="373">
        <v>545.99</v>
      </c>
      <c r="D44" s="373">
        <v>2105</v>
      </c>
      <c r="E44" s="373">
        <v>2382</v>
      </c>
      <c r="F44" s="194"/>
      <c r="G44" s="194"/>
      <c r="H44" s="194"/>
      <c r="I44" s="194"/>
      <c r="J44" s="194"/>
      <c r="K44" s="194"/>
      <c r="L44" s="194"/>
      <c r="O44" s="366">
        <f t="shared" si="14"/>
        <v>2500</v>
      </c>
      <c r="P44" s="393">
        <f t="shared" si="15"/>
        <v>2000</v>
      </c>
      <c r="Q44" s="396">
        <f t="shared" si="12"/>
        <v>-500</v>
      </c>
      <c r="R44" s="374">
        <f t="shared" si="13"/>
        <v>-0.2</v>
      </c>
      <c r="S44" s="367" t="s">
        <v>2453</v>
      </c>
      <c r="T44" s="553"/>
      <c r="U44" s="368"/>
      <c r="V44" s="23"/>
      <c r="W44" s="25"/>
      <c r="X44" s="25"/>
      <c r="Y44" s="25"/>
      <c r="Z44"/>
    </row>
    <row r="45" spans="1:26" x14ac:dyDescent="0.25">
      <c r="A45" s="724">
        <v>5251</v>
      </c>
      <c r="B45" s="369" t="s">
        <v>1153</v>
      </c>
      <c r="C45" s="373">
        <v>149</v>
      </c>
      <c r="D45" s="373">
        <v>156.53</v>
      </c>
      <c r="E45" s="373">
        <v>244.8</v>
      </c>
      <c r="F45" s="194"/>
      <c r="G45" s="194"/>
      <c r="H45" s="194"/>
      <c r="I45" s="194"/>
      <c r="J45" s="194"/>
      <c r="K45" s="194"/>
      <c r="L45" s="194"/>
      <c r="O45" s="366">
        <f t="shared" si="14"/>
        <v>0</v>
      </c>
      <c r="P45" s="393">
        <f t="shared" si="15"/>
        <v>500</v>
      </c>
      <c r="Q45" s="396">
        <f t="shared" si="12"/>
        <v>500</v>
      </c>
      <c r="R45" s="374">
        <f t="shared" si="13"/>
        <v>1</v>
      </c>
      <c r="S45" s="367" t="s">
        <v>2454</v>
      </c>
      <c r="T45" s="553"/>
      <c r="U45" s="368"/>
      <c r="V45" s="23"/>
      <c r="W45" s="25"/>
      <c r="X45" s="25"/>
      <c r="Y45" s="25"/>
      <c r="Z45"/>
    </row>
    <row r="46" spans="1:26" x14ac:dyDescent="0.25">
      <c r="A46" s="724">
        <v>5279</v>
      </c>
      <c r="B46" s="369" t="s">
        <v>1291</v>
      </c>
      <c r="C46" s="373">
        <v>3920</v>
      </c>
      <c r="D46" s="373">
        <v>3690</v>
      </c>
      <c r="E46" s="373">
        <v>2650</v>
      </c>
      <c r="F46" s="194"/>
      <c r="G46" s="194"/>
      <c r="H46" s="194"/>
      <c r="I46" s="194"/>
      <c r="J46" s="194"/>
      <c r="K46" s="194"/>
      <c r="L46" s="194"/>
      <c r="O46" s="366">
        <f t="shared" si="14"/>
        <v>4000</v>
      </c>
      <c r="P46" s="393">
        <f t="shared" si="15"/>
        <v>2500</v>
      </c>
      <c r="Q46" s="396">
        <f t="shared" si="12"/>
        <v>-1500</v>
      </c>
      <c r="R46" s="374">
        <f t="shared" si="13"/>
        <v>-0.375</v>
      </c>
      <c r="S46" s="367" t="s">
        <v>2455</v>
      </c>
      <c r="T46" s="553"/>
      <c r="U46" s="368"/>
      <c r="V46" s="23"/>
      <c r="W46" s="25"/>
      <c r="X46" s="25"/>
      <c r="Y46" s="25"/>
      <c r="Z46"/>
    </row>
    <row r="47" spans="1:26" x14ac:dyDescent="0.25">
      <c r="A47" s="724">
        <v>5344</v>
      </c>
      <c r="B47" s="369" t="s">
        <v>722</v>
      </c>
      <c r="C47" s="373">
        <v>272.74</v>
      </c>
      <c r="D47" s="373"/>
      <c r="E47" s="373">
        <v>386.06</v>
      </c>
      <c r="F47" s="194"/>
      <c r="G47" s="194"/>
      <c r="H47" s="194"/>
      <c r="I47" s="194"/>
      <c r="J47" s="194"/>
      <c r="K47" s="194"/>
      <c r="L47" s="194"/>
      <c r="O47" s="366">
        <f t="shared" si="14"/>
        <v>0</v>
      </c>
      <c r="P47" s="393">
        <f t="shared" si="15"/>
        <v>300</v>
      </c>
      <c r="Q47" s="396">
        <f t="shared" si="12"/>
        <v>300</v>
      </c>
      <c r="R47" s="374">
        <f t="shared" si="13"/>
        <v>1</v>
      </c>
      <c r="S47" s="367" t="s">
        <v>2456</v>
      </c>
      <c r="T47" s="553"/>
      <c r="U47" s="368"/>
      <c r="V47" s="23"/>
      <c r="W47" s="25"/>
      <c r="X47" s="25"/>
      <c r="Y47" s="25"/>
      <c r="Z47"/>
    </row>
    <row r="48" spans="1:26" x14ac:dyDescent="0.25">
      <c r="A48" s="724">
        <v>5451</v>
      </c>
      <c r="B48" s="369" t="s">
        <v>1035</v>
      </c>
      <c r="C48" s="373"/>
      <c r="D48" s="373"/>
      <c r="E48" s="373"/>
      <c r="F48" s="194"/>
      <c r="G48" s="194"/>
      <c r="H48" s="194"/>
      <c r="I48" s="194"/>
      <c r="J48" s="194"/>
      <c r="K48" s="194"/>
      <c r="L48" s="194"/>
      <c r="O48" s="366">
        <f t="shared" si="14"/>
        <v>200</v>
      </c>
      <c r="P48" s="393">
        <f t="shared" si="15"/>
        <v>300</v>
      </c>
      <c r="Q48" s="396">
        <f t="shared" si="12"/>
        <v>100</v>
      </c>
      <c r="R48" s="374">
        <f t="shared" si="13"/>
        <v>0.5</v>
      </c>
      <c r="S48" s="367" t="s">
        <v>2457</v>
      </c>
      <c r="T48" s="553"/>
      <c r="U48" s="368"/>
      <c r="V48" s="23"/>
      <c r="W48" s="4"/>
      <c r="X48" s="4" t="s">
        <v>1292</v>
      </c>
      <c r="Y48" s="4"/>
      <c r="Z48"/>
    </row>
    <row r="49" spans="1:26" x14ac:dyDescent="0.25">
      <c r="A49" s="724">
        <v>5586</v>
      </c>
      <c r="B49" s="369" t="s">
        <v>1280</v>
      </c>
      <c r="C49" s="373"/>
      <c r="D49" s="373">
        <v>314.31</v>
      </c>
      <c r="E49" s="373">
        <v>1371.15</v>
      </c>
      <c r="F49" s="194"/>
      <c r="G49" s="194"/>
      <c r="H49" s="194"/>
      <c r="I49" s="194"/>
      <c r="J49" s="194"/>
      <c r="K49" s="194"/>
      <c r="L49" s="194"/>
      <c r="O49" s="366">
        <f t="shared" si="14"/>
        <v>0</v>
      </c>
      <c r="P49" s="393">
        <f t="shared" si="15"/>
        <v>0</v>
      </c>
      <c r="Q49" s="396">
        <f t="shared" si="12"/>
        <v>0</v>
      </c>
      <c r="R49" s="374" t="str">
        <f t="shared" si="13"/>
        <v/>
      </c>
      <c r="S49" s="367"/>
      <c r="T49" s="553"/>
      <c r="U49" s="368"/>
      <c r="V49" s="23"/>
      <c r="W49" s="4"/>
      <c r="X49" s="4"/>
      <c r="Y49" s="4"/>
      <c r="Z49"/>
    </row>
    <row r="50" spans="1:26" ht="13.8" thickBot="1" x14ac:dyDescent="0.3">
      <c r="A50" s="724">
        <v>5710</v>
      </c>
      <c r="B50" s="369" t="s">
        <v>758</v>
      </c>
      <c r="C50" s="371">
        <v>205</v>
      </c>
      <c r="D50" s="371">
        <v>46.92</v>
      </c>
      <c r="E50" s="371"/>
      <c r="F50" s="194"/>
      <c r="G50" s="194"/>
      <c r="H50" s="194"/>
      <c r="I50" s="194"/>
      <c r="J50" s="194"/>
      <c r="K50" s="194"/>
      <c r="L50" s="194"/>
      <c r="O50" s="366">
        <f t="shared" si="14"/>
        <v>0</v>
      </c>
      <c r="P50" s="393">
        <f t="shared" si="15"/>
        <v>400</v>
      </c>
      <c r="Q50" s="396">
        <f t="shared" si="12"/>
        <v>400</v>
      </c>
      <c r="R50" s="374">
        <f t="shared" si="13"/>
        <v>1</v>
      </c>
      <c r="S50" s="367" t="s">
        <v>2458</v>
      </c>
      <c r="T50" s="553"/>
      <c r="U50" s="368"/>
      <c r="V50" s="23"/>
      <c r="W50" s="4"/>
      <c r="X50" s="4"/>
      <c r="Y50" s="4"/>
      <c r="Z50"/>
    </row>
    <row r="51" spans="1:26" x14ac:dyDescent="0.25">
      <c r="A51" s="703"/>
      <c r="B51" s="4"/>
      <c r="C51" s="23"/>
      <c r="D51" s="23"/>
      <c r="E51" s="23"/>
      <c r="F51" s="23"/>
      <c r="G51" s="23"/>
      <c r="H51" s="194"/>
      <c r="I51" s="194"/>
      <c r="J51" s="194"/>
      <c r="K51" s="194"/>
      <c r="L51" s="194"/>
      <c r="O51" s="23"/>
      <c r="P51" s="23"/>
      <c r="Q51" s="23"/>
      <c r="R51" s="4"/>
      <c r="S51" s="23"/>
      <c r="T51" s="23"/>
      <c r="U51" s="23"/>
      <c r="V51" s="23"/>
      <c r="W51" s="4"/>
      <c r="X51" s="4"/>
      <c r="Y51" s="4"/>
      <c r="Z51"/>
    </row>
    <row r="52" spans="1:26" x14ac:dyDescent="0.25">
      <c r="A52" s="703"/>
      <c r="B52" s="4" t="s">
        <v>735</v>
      </c>
      <c r="C52" s="23"/>
      <c r="D52" s="23"/>
      <c r="E52" s="23"/>
      <c r="F52" s="23"/>
      <c r="G52" s="23"/>
      <c r="H52" s="194"/>
      <c r="I52" s="194"/>
      <c r="J52" s="194"/>
      <c r="K52" s="194"/>
      <c r="L52" s="194"/>
      <c r="O52" s="597">
        <f>SUM(O38:O51)</f>
        <v>58593</v>
      </c>
      <c r="P52" s="597">
        <f>SUM(P38:P51)</f>
        <v>59272</v>
      </c>
      <c r="Q52" s="25">
        <f>+P52-O52</f>
        <v>679</v>
      </c>
      <c r="R52" s="598">
        <f>IF(O52+P52&lt;&gt;0,IF(O52&lt;&gt;0,IF(Q52&lt;&gt;0,ROUND((+Q52/O52),4),""),1),"")</f>
        <v>1.1599999999999999E-2</v>
      </c>
      <c r="S52" s="23"/>
      <c r="T52" s="23"/>
      <c r="U52" s="23"/>
      <c r="V52" s="23"/>
      <c r="W52" s="4"/>
      <c r="X52" s="4"/>
      <c r="Y52" s="4"/>
      <c r="Z52"/>
    </row>
    <row r="53" spans="1:26" x14ac:dyDescent="0.25">
      <c r="A53" s="703"/>
      <c r="B53" s="4"/>
      <c r="C53" s="23"/>
      <c r="D53" s="23"/>
      <c r="E53" s="23"/>
      <c r="F53" s="23"/>
      <c r="G53" s="23"/>
      <c r="H53" s="23"/>
      <c r="I53" s="23"/>
      <c r="J53" s="23"/>
      <c r="K53" s="23"/>
      <c r="L53" s="23"/>
      <c r="M53" s="23"/>
      <c r="N53" s="23"/>
      <c r="O53" s="23"/>
      <c r="P53" s="23"/>
      <c r="Q53" s="23"/>
      <c r="R53" s="4"/>
      <c r="S53" s="23"/>
      <c r="T53" s="23"/>
      <c r="U53" s="23"/>
      <c r="V53" s="23"/>
      <c r="W53" s="4"/>
      <c r="X53" s="4"/>
      <c r="Y53" s="4"/>
      <c r="Z53"/>
    </row>
    <row r="54" spans="1:26" x14ac:dyDescent="0.25">
      <c r="A54" s="703"/>
      <c r="B54" s="4"/>
      <c r="C54" s="23"/>
      <c r="D54" s="23"/>
      <c r="E54" s="23"/>
      <c r="F54" s="23"/>
      <c r="G54" s="23"/>
      <c r="H54" s="23"/>
      <c r="I54" s="23"/>
      <c r="J54" s="23"/>
      <c r="K54" s="23"/>
      <c r="L54" s="23"/>
      <c r="M54" s="23"/>
      <c r="N54" s="23"/>
      <c r="O54" s="23"/>
      <c r="P54" s="23"/>
      <c r="Q54" s="23"/>
      <c r="R54" s="4"/>
      <c r="S54" s="23"/>
      <c r="T54" s="23"/>
      <c r="U54" s="23"/>
      <c r="V54" s="23"/>
      <c r="W54" s="4"/>
      <c r="X54" s="4"/>
      <c r="Y54" s="4"/>
      <c r="Z54"/>
    </row>
    <row r="55" spans="1:26" x14ac:dyDescent="0.25">
      <c r="A55" s="703"/>
      <c r="B55" s="4"/>
      <c r="C55" s="23"/>
      <c r="D55" s="23"/>
      <c r="E55" s="23"/>
      <c r="F55" s="23"/>
      <c r="G55" s="23"/>
      <c r="H55" s="23"/>
      <c r="I55" s="23"/>
      <c r="J55" s="23"/>
      <c r="K55" s="23"/>
      <c r="L55" s="23"/>
      <c r="M55" s="23"/>
      <c r="N55" s="23"/>
      <c r="O55" s="23"/>
      <c r="P55" s="23"/>
      <c r="Q55" s="23"/>
      <c r="R55" s="4"/>
      <c r="S55" s="23"/>
      <c r="T55" s="23"/>
      <c r="U55" s="23"/>
      <c r="V55" s="23"/>
      <c r="W55" s="4"/>
      <c r="X55" s="4"/>
      <c r="Y55" s="4"/>
      <c r="Z55"/>
    </row>
    <row r="56" spans="1:26" x14ac:dyDescent="0.25">
      <c r="A56" s="703"/>
      <c r="B56" s="4"/>
      <c r="C56" s="23"/>
      <c r="D56" s="23"/>
      <c r="E56" s="23"/>
      <c r="F56" s="23"/>
      <c r="G56" s="23"/>
      <c r="H56" s="23"/>
      <c r="I56" s="23"/>
      <c r="J56" s="23"/>
      <c r="K56" s="23"/>
      <c r="L56" s="23"/>
      <c r="M56" s="23"/>
      <c r="N56" s="23"/>
      <c r="O56" s="23"/>
      <c r="P56" s="23"/>
      <c r="Q56" s="23"/>
      <c r="R56" s="4"/>
      <c r="S56" s="23"/>
      <c r="T56" s="23"/>
      <c r="U56" s="23"/>
      <c r="V56" s="23"/>
      <c r="W56" s="4"/>
      <c r="X56" s="4"/>
      <c r="Y56" s="4"/>
      <c r="Z56"/>
    </row>
    <row r="57" spans="1:26" x14ac:dyDescent="0.25">
      <c r="A57" s="703"/>
      <c r="B57" s="4"/>
      <c r="C57" s="23"/>
      <c r="D57" s="23"/>
      <c r="E57" s="23"/>
      <c r="F57" s="23"/>
      <c r="G57" s="23"/>
      <c r="H57" s="23"/>
      <c r="I57" s="23"/>
      <c r="J57" s="23"/>
      <c r="K57" s="23"/>
      <c r="L57" s="23"/>
      <c r="M57" s="23"/>
      <c r="N57" s="23"/>
      <c r="O57" s="23"/>
      <c r="P57" s="23"/>
      <c r="Q57" s="23"/>
      <c r="R57" s="4"/>
      <c r="S57" s="23"/>
      <c r="T57" s="23"/>
      <c r="U57" s="23"/>
      <c r="V57" s="23"/>
      <c r="W57" s="4"/>
      <c r="X57" s="4"/>
      <c r="Y57" s="4"/>
      <c r="Z57"/>
    </row>
    <row r="58" spans="1:26" x14ac:dyDescent="0.25">
      <c r="A58" s="703"/>
      <c r="B58" s="4"/>
      <c r="C58" s="23"/>
      <c r="D58" s="23"/>
      <c r="E58" s="23"/>
      <c r="F58" s="23"/>
      <c r="G58" s="23"/>
      <c r="H58" s="23"/>
      <c r="I58" s="23"/>
      <c r="J58" s="23"/>
      <c r="K58" s="23"/>
      <c r="L58" s="23"/>
      <c r="M58" s="23"/>
      <c r="N58" s="23"/>
      <c r="O58" s="23"/>
      <c r="P58" s="23"/>
      <c r="Q58" s="23"/>
      <c r="R58" s="4"/>
      <c r="S58" s="23"/>
      <c r="T58" s="23"/>
      <c r="U58" s="23"/>
      <c r="V58" s="23"/>
      <c r="W58" s="4"/>
      <c r="X58" s="4"/>
      <c r="Y58" s="4"/>
      <c r="Z58"/>
    </row>
    <row r="59" spans="1:26" x14ac:dyDescent="0.25">
      <c r="A59" s="703"/>
      <c r="B59" s="4"/>
      <c r="C59" s="23"/>
      <c r="D59" s="23"/>
      <c r="E59" s="23"/>
      <c r="F59" s="23"/>
      <c r="G59" s="23"/>
      <c r="H59" s="23"/>
      <c r="I59" s="23"/>
      <c r="J59" s="23"/>
      <c r="K59" s="23"/>
      <c r="L59" s="23"/>
      <c r="M59" s="23"/>
      <c r="N59" s="23"/>
      <c r="O59" s="23"/>
      <c r="P59" s="23"/>
      <c r="Q59" s="23"/>
      <c r="R59" s="4"/>
      <c r="S59" s="23"/>
      <c r="T59" s="23"/>
      <c r="U59" s="23"/>
      <c r="V59" s="23"/>
      <c r="W59" s="4"/>
      <c r="X59" s="4"/>
      <c r="Y59" s="4"/>
      <c r="Z59"/>
    </row>
    <row r="60" spans="1:26" x14ac:dyDescent="0.25">
      <c r="A60" s="703"/>
      <c r="B60" s="4"/>
      <c r="C60" s="23"/>
      <c r="D60" s="23"/>
      <c r="E60" s="23"/>
      <c r="F60" s="23"/>
      <c r="G60" s="23"/>
      <c r="H60" s="23"/>
      <c r="I60" s="23"/>
      <c r="J60" s="23"/>
      <c r="K60" s="23"/>
      <c r="L60" s="23"/>
      <c r="M60" s="23"/>
      <c r="N60" s="23"/>
      <c r="O60" s="23"/>
      <c r="P60" s="23"/>
      <c r="Q60" s="23"/>
      <c r="R60" s="4"/>
      <c r="S60" s="23"/>
      <c r="T60" s="23"/>
      <c r="U60" s="23"/>
      <c r="V60" s="23"/>
      <c r="W60" s="4"/>
      <c r="X60" s="4"/>
      <c r="Y60" s="4"/>
      <c r="Z60"/>
    </row>
    <row r="61" spans="1:26" x14ac:dyDescent="0.25">
      <c r="A61" s="703"/>
      <c r="B61" s="4"/>
      <c r="C61" s="23"/>
      <c r="D61" s="23"/>
      <c r="E61" s="23"/>
      <c r="F61" s="23"/>
      <c r="G61" s="23"/>
      <c r="H61" s="23"/>
      <c r="I61" s="23"/>
      <c r="J61" s="23"/>
      <c r="K61" s="23"/>
      <c r="L61" s="23"/>
      <c r="M61" s="23"/>
      <c r="N61" s="23"/>
      <c r="O61" s="23"/>
      <c r="P61" s="23"/>
      <c r="Q61" s="23"/>
      <c r="R61" s="4"/>
      <c r="S61" s="23"/>
      <c r="T61" s="23"/>
      <c r="U61" s="23"/>
      <c r="V61" s="23"/>
      <c r="W61" s="4"/>
      <c r="X61" s="4"/>
      <c r="Y61" s="4"/>
      <c r="Z61"/>
    </row>
    <row r="62" spans="1:26" x14ac:dyDescent="0.25">
      <c r="A62" s="703"/>
      <c r="B62" s="4"/>
      <c r="C62" s="23"/>
      <c r="D62" s="23"/>
      <c r="E62" s="23"/>
      <c r="F62" s="23"/>
      <c r="G62" s="23"/>
      <c r="H62" s="23"/>
      <c r="I62" s="23"/>
      <c r="J62" s="23"/>
      <c r="K62" s="23"/>
      <c r="L62" s="23"/>
      <c r="M62" s="23"/>
      <c r="N62" s="23"/>
      <c r="O62" s="23"/>
      <c r="P62" s="23"/>
      <c r="Q62" s="23"/>
      <c r="R62" s="4"/>
      <c r="S62" s="23"/>
      <c r="T62" s="23"/>
      <c r="U62" s="23"/>
      <c r="V62" s="23"/>
      <c r="W62" s="4"/>
      <c r="X62" s="4"/>
      <c r="Y62" s="4"/>
      <c r="Z62"/>
    </row>
    <row r="63" spans="1:26" x14ac:dyDescent="0.25">
      <c r="A63" s="703"/>
      <c r="B63" s="4"/>
      <c r="C63" s="23"/>
      <c r="D63" s="23"/>
      <c r="E63" s="23"/>
      <c r="F63" s="23"/>
      <c r="G63" s="23"/>
      <c r="H63" s="23"/>
      <c r="I63" s="23"/>
      <c r="J63" s="23"/>
      <c r="K63" s="23"/>
      <c r="L63" s="23"/>
      <c r="M63" s="23"/>
      <c r="N63" s="23"/>
      <c r="O63" s="23"/>
      <c r="P63" s="23"/>
      <c r="Q63" s="23"/>
      <c r="R63" s="4"/>
      <c r="S63" s="23"/>
      <c r="T63" s="23"/>
      <c r="U63" s="23"/>
      <c r="V63" s="23"/>
      <c r="W63" s="4"/>
      <c r="X63" s="4"/>
      <c r="Y63" s="4"/>
      <c r="Z63"/>
    </row>
    <row r="64" spans="1:26" x14ac:dyDescent="0.25">
      <c r="A64" s="703"/>
      <c r="B64" s="4"/>
      <c r="C64" s="23"/>
      <c r="D64" s="23"/>
      <c r="E64" s="23"/>
      <c r="F64" s="23"/>
      <c r="G64" s="23"/>
      <c r="H64" s="23"/>
      <c r="I64" s="23"/>
      <c r="J64" s="23"/>
      <c r="K64" s="23"/>
      <c r="L64" s="23"/>
      <c r="M64" s="23"/>
      <c r="N64" s="23"/>
      <c r="O64" s="23"/>
      <c r="P64" s="23"/>
      <c r="Q64" s="23"/>
      <c r="R64" s="4"/>
      <c r="S64" s="23"/>
      <c r="T64" s="23"/>
      <c r="U64" s="23"/>
      <c r="V64" s="23"/>
      <c r="W64" s="4"/>
      <c r="X64" s="4"/>
      <c r="Y64" s="4"/>
      <c r="Z64"/>
    </row>
    <row r="65" spans="1:26" x14ac:dyDescent="0.25">
      <c r="A65" s="703"/>
      <c r="B65" s="4"/>
      <c r="C65" s="23"/>
      <c r="D65" s="23"/>
      <c r="E65" s="23"/>
      <c r="F65" s="23"/>
      <c r="G65" s="23"/>
      <c r="H65" s="23"/>
      <c r="I65" s="23"/>
      <c r="J65" s="23"/>
      <c r="K65" s="23"/>
      <c r="L65" s="23"/>
      <c r="M65" s="23"/>
      <c r="N65" s="23"/>
      <c r="O65" s="23"/>
      <c r="P65" s="23"/>
      <c r="Q65" s="23"/>
      <c r="R65" s="4"/>
      <c r="S65" s="23"/>
      <c r="T65" s="23"/>
      <c r="U65" s="23"/>
      <c r="V65" s="23"/>
      <c r="W65" s="4"/>
      <c r="X65" s="4"/>
      <c r="Y65" s="4"/>
      <c r="Z65"/>
    </row>
    <row r="66" spans="1:26" x14ac:dyDescent="0.25">
      <c r="A66" s="703"/>
      <c r="B66" s="4"/>
      <c r="C66" s="23"/>
      <c r="D66" s="23"/>
      <c r="E66" s="23"/>
      <c r="F66" s="23"/>
      <c r="G66" s="23"/>
      <c r="H66" s="23"/>
      <c r="I66" s="23"/>
      <c r="J66" s="23"/>
      <c r="K66" s="23"/>
      <c r="L66" s="23"/>
      <c r="M66" s="23"/>
      <c r="N66" s="23"/>
      <c r="O66" s="23"/>
      <c r="P66" s="23"/>
      <c r="Q66" s="23"/>
      <c r="R66" s="4"/>
      <c r="S66" s="23"/>
      <c r="T66" s="23"/>
      <c r="U66" s="23"/>
      <c r="V66" s="23"/>
      <c r="W66" s="4"/>
      <c r="X66" s="4"/>
      <c r="Y66" s="4"/>
      <c r="Z66"/>
    </row>
    <row r="67" spans="1:26" x14ac:dyDescent="0.25">
      <c r="A67" s="703"/>
      <c r="B67" s="4"/>
      <c r="C67" s="23"/>
      <c r="D67" s="23"/>
      <c r="E67" s="23"/>
      <c r="F67" s="23"/>
      <c r="G67" s="23"/>
      <c r="H67" s="23"/>
      <c r="I67" s="23"/>
      <c r="J67" s="23"/>
      <c r="K67" s="23"/>
      <c r="L67" s="23"/>
      <c r="M67" s="23"/>
      <c r="N67" s="23"/>
      <c r="O67" s="23"/>
      <c r="P67" s="23"/>
      <c r="Q67" s="23"/>
      <c r="R67" s="4"/>
      <c r="S67" s="23"/>
      <c r="T67" s="23"/>
      <c r="U67" s="23"/>
      <c r="V67" s="23"/>
      <c r="W67" s="4"/>
      <c r="X67" s="4"/>
      <c r="Y67" s="4"/>
      <c r="Z67"/>
    </row>
    <row r="68" spans="1:26" x14ac:dyDescent="0.25">
      <c r="A68" s="703"/>
      <c r="B68" s="4"/>
      <c r="C68" s="23"/>
      <c r="D68" s="23"/>
      <c r="E68" s="23"/>
      <c r="F68" s="23"/>
      <c r="G68" s="23"/>
      <c r="H68" s="23"/>
      <c r="I68" s="23"/>
      <c r="J68" s="23"/>
      <c r="K68" s="23"/>
      <c r="L68" s="23"/>
      <c r="M68" s="23"/>
      <c r="N68" s="23"/>
      <c r="O68" s="23"/>
      <c r="P68" s="23"/>
      <c r="Q68" s="23"/>
      <c r="R68" s="4"/>
      <c r="S68" s="23"/>
      <c r="T68" s="23"/>
      <c r="U68" s="23"/>
      <c r="V68" s="23"/>
      <c r="W68" s="4"/>
      <c r="X68" s="4"/>
      <c r="Y68" s="4"/>
      <c r="Z68"/>
    </row>
    <row r="69" spans="1:26" x14ac:dyDescent="0.25">
      <c r="A69" s="703"/>
      <c r="B69" s="4"/>
      <c r="C69" s="23"/>
      <c r="D69" s="23"/>
      <c r="E69" s="23"/>
      <c r="F69" s="23"/>
      <c r="G69" s="23"/>
      <c r="H69" s="23"/>
      <c r="I69" s="23"/>
      <c r="J69" s="23"/>
      <c r="K69" s="23"/>
      <c r="L69" s="23"/>
      <c r="M69" s="23"/>
      <c r="N69" s="23"/>
      <c r="O69" s="23"/>
      <c r="P69" s="23"/>
      <c r="Q69" s="23"/>
      <c r="R69" s="4"/>
      <c r="S69" s="23"/>
      <c r="T69" s="23"/>
      <c r="U69" s="23"/>
      <c r="V69" s="23"/>
      <c r="W69" s="4"/>
      <c r="X69" s="4"/>
      <c r="Y69" s="4"/>
      <c r="Z69"/>
    </row>
    <row r="70" spans="1:26" x14ac:dyDescent="0.25">
      <c r="A70" s="703"/>
      <c r="B70" s="4"/>
      <c r="C70" s="23"/>
      <c r="D70" s="23"/>
      <c r="E70" s="23"/>
      <c r="F70" s="23"/>
      <c r="G70" s="23"/>
      <c r="H70" s="23"/>
      <c r="I70" s="23"/>
      <c r="J70" s="23"/>
      <c r="K70" s="23"/>
      <c r="L70" s="23"/>
      <c r="M70" s="23"/>
      <c r="N70" s="23"/>
      <c r="O70" s="23"/>
      <c r="P70" s="23"/>
      <c r="Q70" s="23"/>
      <c r="R70" s="4"/>
      <c r="S70" s="23"/>
      <c r="T70" s="23"/>
      <c r="U70" s="23"/>
      <c r="V70" s="23"/>
      <c r="W70" s="4"/>
      <c r="X70" s="4"/>
      <c r="Y70" s="4"/>
      <c r="Z70"/>
    </row>
    <row r="71" spans="1:26" x14ac:dyDescent="0.25">
      <c r="A71" s="703"/>
      <c r="B71" s="4"/>
      <c r="C71" s="23"/>
      <c r="D71" s="23"/>
      <c r="E71" s="23"/>
      <c r="F71" s="23"/>
      <c r="G71" s="23"/>
      <c r="H71" s="23"/>
      <c r="I71" s="23"/>
      <c r="J71" s="23"/>
      <c r="K71" s="23"/>
      <c r="L71" s="23"/>
      <c r="M71" s="23"/>
      <c r="N71" s="23"/>
      <c r="O71" s="23"/>
      <c r="P71" s="23"/>
      <c r="Q71" s="23"/>
      <c r="R71" s="4"/>
      <c r="S71" s="23"/>
      <c r="T71" s="23"/>
      <c r="U71" s="23"/>
      <c r="V71" s="23"/>
      <c r="W71" s="4"/>
      <c r="X71" s="4"/>
      <c r="Y71" s="4"/>
      <c r="Z71"/>
    </row>
    <row r="72" spans="1:26" x14ac:dyDescent="0.25">
      <c r="A72" s="703"/>
      <c r="B72" s="4"/>
      <c r="C72" s="23"/>
      <c r="D72" s="23"/>
      <c r="E72" s="23"/>
      <c r="F72" s="23"/>
      <c r="G72" s="23"/>
      <c r="H72" s="23"/>
      <c r="I72" s="23"/>
      <c r="J72" s="23"/>
      <c r="K72" s="23"/>
      <c r="L72" s="23"/>
      <c r="M72" s="23"/>
      <c r="N72" s="23"/>
      <c r="O72" s="23"/>
      <c r="P72" s="23"/>
      <c r="Q72" s="23"/>
      <c r="R72" s="4"/>
      <c r="S72" s="23"/>
      <c r="T72" s="23"/>
      <c r="U72" s="23"/>
      <c r="V72" s="23"/>
      <c r="W72" s="4"/>
      <c r="X72" s="4"/>
      <c r="Y72" s="4"/>
      <c r="Z72"/>
    </row>
    <row r="73" spans="1:26" x14ac:dyDescent="0.25">
      <c r="A73" s="703"/>
      <c r="B73" s="4"/>
      <c r="C73" s="23"/>
      <c r="D73" s="23"/>
      <c r="E73" s="23"/>
      <c r="F73" s="23"/>
      <c r="G73" s="23"/>
      <c r="H73" s="23"/>
      <c r="I73" s="23"/>
      <c r="J73" s="23"/>
      <c r="K73" s="23"/>
      <c r="L73" s="23"/>
      <c r="M73" s="23"/>
      <c r="N73" s="23"/>
      <c r="O73" s="23"/>
      <c r="P73" s="23"/>
      <c r="Q73" s="23"/>
      <c r="R73" s="4"/>
      <c r="S73" s="23"/>
      <c r="T73" s="23"/>
      <c r="U73" s="23"/>
      <c r="V73" s="23"/>
      <c r="W73" s="4"/>
      <c r="X73" s="4"/>
      <c r="Y73" s="4"/>
      <c r="Z73"/>
    </row>
    <row r="74" spans="1:26" x14ac:dyDescent="0.25">
      <c r="A74" s="703"/>
      <c r="B74" s="4"/>
      <c r="C74" s="23"/>
      <c r="D74" s="23"/>
      <c r="E74" s="23"/>
      <c r="F74" s="23"/>
      <c r="G74" s="23"/>
      <c r="H74" s="23"/>
      <c r="I74" s="23"/>
      <c r="J74" s="23"/>
      <c r="K74" s="23"/>
      <c r="L74" s="23"/>
      <c r="M74" s="23"/>
      <c r="N74" s="23"/>
      <c r="O74" s="23"/>
      <c r="P74" s="23"/>
      <c r="Q74" s="23"/>
      <c r="R74" s="4"/>
      <c r="S74" s="23"/>
      <c r="T74" s="23"/>
      <c r="U74" s="23"/>
      <c r="V74" s="23"/>
      <c r="W74" s="4"/>
      <c r="X74" s="4"/>
      <c r="Y74" s="4"/>
      <c r="Z74"/>
    </row>
    <row r="75" spans="1:26" x14ac:dyDescent="0.25">
      <c r="A75" s="703"/>
      <c r="B75" s="4"/>
      <c r="C75" s="23"/>
      <c r="D75" s="23"/>
      <c r="E75" s="23"/>
      <c r="F75" s="23"/>
      <c r="G75" s="23"/>
      <c r="H75" s="23"/>
      <c r="I75" s="23"/>
      <c r="J75" s="23"/>
      <c r="K75" s="23"/>
      <c r="L75" s="23"/>
      <c r="M75" s="23"/>
      <c r="N75" s="23"/>
      <c r="O75" s="23"/>
      <c r="P75" s="23"/>
      <c r="Q75" s="23"/>
      <c r="R75" s="4"/>
      <c r="S75" s="23"/>
      <c r="T75" s="23"/>
      <c r="U75" s="23"/>
      <c r="V75" s="23"/>
      <c r="W75" s="4"/>
      <c r="X75" s="4"/>
      <c r="Y75" s="4"/>
      <c r="Z75"/>
    </row>
    <row r="76" spans="1:26" x14ac:dyDescent="0.25">
      <c r="A76" s="703"/>
      <c r="B76" s="4"/>
      <c r="C76" s="23"/>
      <c r="D76" s="23"/>
      <c r="E76" s="23"/>
      <c r="F76" s="23"/>
      <c r="G76" s="23"/>
      <c r="H76" s="23"/>
      <c r="I76" s="23"/>
      <c r="J76" s="23"/>
      <c r="K76" s="23"/>
      <c r="L76" s="23"/>
      <c r="M76" s="23"/>
      <c r="N76" s="23"/>
      <c r="O76" s="23"/>
      <c r="P76" s="23"/>
      <c r="Q76" s="23"/>
      <c r="R76" s="4"/>
      <c r="S76" s="23"/>
      <c r="T76" s="23"/>
      <c r="U76" s="23"/>
      <c r="V76" s="23"/>
      <c r="W76" s="4"/>
      <c r="X76" s="4"/>
      <c r="Y76" s="4"/>
      <c r="Z76"/>
    </row>
    <row r="77" spans="1:26" x14ac:dyDescent="0.25">
      <c r="A77" s="703"/>
      <c r="B77" s="4"/>
      <c r="C77" s="23"/>
      <c r="D77" s="23"/>
      <c r="E77" s="23"/>
      <c r="F77" s="23"/>
      <c r="G77" s="23"/>
      <c r="H77" s="23"/>
      <c r="I77" s="23"/>
      <c r="J77" s="23"/>
      <c r="K77" s="23"/>
      <c r="L77" s="23"/>
      <c r="M77" s="23"/>
      <c r="N77" s="23"/>
      <c r="O77" s="23"/>
      <c r="P77" s="23"/>
      <c r="Q77" s="23"/>
      <c r="R77" s="4"/>
      <c r="S77" s="23"/>
      <c r="T77" s="23"/>
      <c r="U77" s="23"/>
      <c r="V77" s="23"/>
      <c r="W77" s="4"/>
      <c r="X77" s="4"/>
      <c r="Y77" s="4"/>
      <c r="Z77"/>
    </row>
    <row r="78" spans="1:26" x14ac:dyDescent="0.25">
      <c r="A78" s="703"/>
      <c r="B78" s="4"/>
      <c r="C78" s="23"/>
      <c r="D78" s="23"/>
      <c r="E78" s="23"/>
      <c r="F78" s="23"/>
      <c r="G78" s="23"/>
      <c r="H78" s="23"/>
      <c r="I78" s="23"/>
      <c r="J78" s="23"/>
      <c r="K78" s="23"/>
      <c r="L78" s="23"/>
      <c r="M78" s="23"/>
      <c r="N78" s="23"/>
      <c r="O78" s="23"/>
      <c r="P78" s="23"/>
      <c r="Q78" s="23"/>
      <c r="R78" s="4"/>
      <c r="S78" s="23"/>
      <c r="T78" s="23"/>
      <c r="U78" s="23"/>
      <c r="V78" s="23"/>
      <c r="W78" s="4"/>
      <c r="X78" s="4"/>
      <c r="Y78" s="4"/>
      <c r="Z78"/>
    </row>
    <row r="79" spans="1:26" x14ac:dyDescent="0.25">
      <c r="A79" s="703"/>
      <c r="B79" s="4"/>
      <c r="C79" s="23"/>
      <c r="D79" s="23"/>
      <c r="E79" s="23"/>
      <c r="F79" s="23"/>
      <c r="G79" s="23"/>
      <c r="H79" s="23"/>
      <c r="I79" s="23"/>
      <c r="J79" s="23"/>
      <c r="K79" s="23"/>
      <c r="L79" s="23"/>
      <c r="M79" s="23"/>
      <c r="N79" s="23"/>
      <c r="O79" s="23"/>
      <c r="P79" s="23"/>
      <c r="Q79" s="23"/>
      <c r="R79" s="4"/>
      <c r="S79" s="23"/>
      <c r="T79" s="23"/>
      <c r="U79" s="23"/>
      <c r="V79" s="23"/>
      <c r="W79" s="4"/>
      <c r="X79" s="4"/>
      <c r="Y79" s="4"/>
      <c r="Z79"/>
    </row>
    <row r="80" spans="1:26" x14ac:dyDescent="0.25">
      <c r="A80" s="703"/>
      <c r="B80" s="4"/>
      <c r="C80" s="23"/>
      <c r="D80" s="23"/>
      <c r="E80" s="23"/>
      <c r="F80" s="23"/>
      <c r="G80" s="23"/>
      <c r="H80" s="23"/>
      <c r="I80" s="23"/>
      <c r="J80" s="23"/>
      <c r="K80" s="23"/>
      <c r="L80" s="23"/>
      <c r="M80" s="23"/>
      <c r="N80" s="23"/>
      <c r="O80" s="23"/>
      <c r="P80" s="23"/>
      <c r="Q80" s="23"/>
      <c r="R80" s="4"/>
      <c r="S80" s="23"/>
      <c r="T80" s="23"/>
      <c r="U80" s="23"/>
      <c r="V80" s="23"/>
      <c r="W80" s="4"/>
      <c r="X80" s="4"/>
      <c r="Y80" s="4"/>
      <c r="Z80"/>
    </row>
    <row r="81" spans="1:26" x14ac:dyDescent="0.25">
      <c r="A81" s="703"/>
      <c r="B81" s="4"/>
      <c r="C81" s="23"/>
      <c r="D81" s="23"/>
      <c r="E81" s="23"/>
      <c r="F81" s="23"/>
      <c r="G81" s="23"/>
      <c r="H81" s="23"/>
      <c r="I81" s="23"/>
      <c r="J81" s="23"/>
      <c r="K81" s="23"/>
      <c r="L81" s="23"/>
      <c r="M81" s="23"/>
      <c r="N81" s="23"/>
      <c r="O81" s="23"/>
      <c r="P81" s="23"/>
      <c r="Q81" s="23"/>
      <c r="R81" s="4"/>
      <c r="S81" s="23"/>
      <c r="T81" s="23"/>
      <c r="U81" s="23"/>
      <c r="V81" s="23"/>
      <c r="W81" s="4"/>
      <c r="X81" s="4"/>
      <c r="Y81" s="4"/>
      <c r="Z81"/>
    </row>
    <row r="82" spans="1:26" x14ac:dyDescent="0.25">
      <c r="A82" s="703"/>
      <c r="B82" s="4"/>
      <c r="C82" s="23"/>
      <c r="D82" s="23"/>
      <c r="E82" s="23"/>
      <c r="F82" s="23"/>
      <c r="G82" s="23"/>
      <c r="H82" s="23"/>
      <c r="I82" s="23"/>
      <c r="J82" s="23"/>
      <c r="K82" s="23"/>
      <c r="L82" s="23"/>
      <c r="M82" s="23"/>
      <c r="N82" s="23"/>
      <c r="O82" s="23"/>
      <c r="P82" s="23"/>
      <c r="Q82" s="23"/>
      <c r="R82" s="4"/>
      <c r="S82" s="23"/>
      <c r="T82" s="23"/>
      <c r="U82" s="23"/>
      <c r="V82" s="23"/>
      <c r="W82" s="4"/>
      <c r="X82" s="4"/>
      <c r="Y82" s="4"/>
      <c r="Z82"/>
    </row>
    <row r="83" spans="1:26" x14ac:dyDescent="0.25">
      <c r="A83" s="703"/>
      <c r="B83" s="4"/>
      <c r="C83" s="23"/>
      <c r="D83" s="23"/>
      <c r="E83" s="23"/>
      <c r="F83" s="23"/>
      <c r="G83" s="23"/>
      <c r="H83" s="23"/>
      <c r="I83" s="23"/>
      <c r="J83" s="23"/>
      <c r="K83" s="23"/>
      <c r="L83" s="23"/>
      <c r="M83" s="23"/>
      <c r="N83" s="23"/>
      <c r="O83" s="23"/>
      <c r="P83" s="23"/>
      <c r="Q83" s="23"/>
      <c r="R83" s="4"/>
      <c r="S83" s="23"/>
      <c r="T83" s="23"/>
      <c r="U83" s="23"/>
      <c r="V83" s="23"/>
      <c r="W83" s="4"/>
      <c r="X83" s="4"/>
      <c r="Y83" s="4"/>
      <c r="Z83"/>
    </row>
    <row r="84" spans="1:26" x14ac:dyDescent="0.25">
      <c r="A84" s="703"/>
      <c r="B84" s="4"/>
      <c r="C84" s="23"/>
      <c r="D84" s="23"/>
      <c r="E84" s="23"/>
      <c r="F84" s="23"/>
      <c r="G84" s="23"/>
      <c r="H84" s="23"/>
      <c r="I84" s="23"/>
      <c r="J84" s="23"/>
      <c r="K84" s="23"/>
      <c r="L84" s="23"/>
      <c r="M84" s="23"/>
      <c r="N84" s="23"/>
      <c r="O84" s="23"/>
      <c r="P84" s="23"/>
      <c r="Q84" s="23"/>
      <c r="R84" s="4"/>
      <c r="S84" s="23"/>
      <c r="T84" s="23"/>
      <c r="U84" s="23"/>
      <c r="V84" s="23"/>
      <c r="W84" s="4"/>
      <c r="X84" s="4"/>
      <c r="Y84" s="4"/>
      <c r="Z84"/>
    </row>
    <row r="85" spans="1:26" x14ac:dyDescent="0.25">
      <c r="A85" s="703"/>
      <c r="B85" s="4"/>
      <c r="C85" s="23"/>
      <c r="D85" s="23"/>
      <c r="E85" s="23"/>
      <c r="F85" s="23"/>
      <c r="G85" s="23"/>
      <c r="H85" s="23"/>
      <c r="I85" s="23"/>
      <c r="J85" s="23"/>
      <c r="K85" s="23"/>
      <c r="L85" s="23"/>
      <c r="M85" s="23"/>
      <c r="N85" s="23"/>
      <c r="O85" s="23"/>
      <c r="P85" s="23"/>
      <c r="Q85" s="23"/>
      <c r="R85" s="4"/>
      <c r="S85" s="23"/>
      <c r="T85" s="23"/>
      <c r="U85" s="23"/>
      <c r="V85" s="23"/>
      <c r="W85" s="4"/>
      <c r="X85" s="4"/>
      <c r="Y85" s="4"/>
      <c r="Z85"/>
    </row>
    <row r="86" spans="1:26" x14ac:dyDescent="0.25">
      <c r="A86" s="703"/>
      <c r="B86" s="4"/>
      <c r="C86" s="23"/>
      <c r="D86" s="23"/>
      <c r="E86" s="23"/>
      <c r="F86" s="23"/>
      <c r="G86" s="23"/>
      <c r="H86" s="23"/>
      <c r="I86" s="23"/>
      <c r="J86" s="23"/>
      <c r="K86" s="23"/>
      <c r="L86" s="23"/>
      <c r="M86" s="23"/>
      <c r="N86" s="23"/>
      <c r="O86" s="23"/>
      <c r="P86" s="23"/>
      <c r="Q86" s="23"/>
      <c r="R86" s="4"/>
      <c r="S86" s="23"/>
      <c r="T86" s="23"/>
      <c r="U86" s="23"/>
      <c r="V86" s="23"/>
      <c r="W86" s="4"/>
      <c r="X86" s="4"/>
      <c r="Y86" s="4"/>
      <c r="Z86"/>
    </row>
    <row r="87" spans="1:26" x14ac:dyDescent="0.25">
      <c r="A87" s="703"/>
      <c r="B87" s="4"/>
      <c r="C87" s="23"/>
      <c r="D87" s="23"/>
      <c r="E87" s="23"/>
      <c r="F87" s="23"/>
      <c r="G87" s="23"/>
      <c r="H87" s="23"/>
      <c r="I87" s="23"/>
      <c r="J87" s="23"/>
      <c r="K87" s="23"/>
      <c r="L87" s="23"/>
      <c r="M87" s="23"/>
      <c r="N87" s="23"/>
      <c r="O87" s="23"/>
      <c r="P87" s="23"/>
      <c r="Q87" s="23"/>
      <c r="R87" s="4"/>
      <c r="S87" s="23"/>
      <c r="T87" s="23"/>
      <c r="U87" s="23"/>
      <c r="V87" s="23"/>
      <c r="W87" s="4"/>
      <c r="X87" s="4"/>
      <c r="Y87" s="4"/>
      <c r="Z87"/>
    </row>
    <row r="88" spans="1:26" x14ac:dyDescent="0.25">
      <c r="A88" s="703"/>
      <c r="B88" s="4"/>
      <c r="C88" s="23"/>
      <c r="D88" s="23"/>
      <c r="E88" s="23"/>
      <c r="F88" s="23"/>
      <c r="G88" s="23"/>
      <c r="H88" s="23"/>
      <c r="I88" s="23"/>
      <c r="J88" s="23"/>
      <c r="K88" s="23"/>
      <c r="L88" s="23"/>
      <c r="M88" s="23"/>
      <c r="N88" s="23"/>
      <c r="O88" s="23"/>
      <c r="P88" s="23"/>
      <c r="Q88" s="23"/>
      <c r="R88" s="4"/>
      <c r="S88" s="23"/>
      <c r="T88" s="23"/>
      <c r="U88" s="23"/>
      <c r="V88" s="23"/>
      <c r="W88" s="4"/>
      <c r="X88" s="4"/>
      <c r="Y88" s="4"/>
      <c r="Z88"/>
    </row>
    <row r="89" spans="1:26" x14ac:dyDescent="0.25">
      <c r="A89" s="703"/>
      <c r="B89" s="4"/>
      <c r="C89" s="23"/>
      <c r="D89" s="23"/>
      <c r="E89" s="23"/>
      <c r="F89" s="23"/>
      <c r="G89" s="23"/>
      <c r="H89" s="23"/>
      <c r="I89" s="23"/>
      <c r="J89" s="23"/>
      <c r="K89" s="23"/>
      <c r="L89" s="23"/>
      <c r="M89" s="23"/>
      <c r="N89" s="23"/>
      <c r="O89" s="23"/>
      <c r="P89" s="23"/>
      <c r="Q89" s="23"/>
      <c r="R89" s="4"/>
      <c r="S89" s="23"/>
      <c r="T89" s="23"/>
      <c r="U89" s="23"/>
      <c r="V89" s="23"/>
      <c r="W89" s="4"/>
      <c r="X89" s="4"/>
      <c r="Y89" s="4"/>
      <c r="Z89"/>
    </row>
    <row r="90" spans="1:26" x14ac:dyDescent="0.25">
      <c r="A90" s="703"/>
      <c r="B90" s="4"/>
      <c r="C90" s="23"/>
      <c r="D90" s="23"/>
      <c r="E90" s="23"/>
      <c r="F90" s="23"/>
      <c r="G90" s="23"/>
      <c r="H90" s="23"/>
      <c r="I90" s="23"/>
      <c r="J90" s="23"/>
      <c r="K90" s="23"/>
      <c r="L90" s="23"/>
      <c r="M90" s="23"/>
      <c r="N90" s="23"/>
      <c r="O90" s="23"/>
      <c r="P90" s="23"/>
      <c r="Q90" s="23"/>
      <c r="R90" s="4"/>
      <c r="S90" s="23"/>
      <c r="T90" s="23"/>
      <c r="U90" s="23"/>
      <c r="V90" s="23"/>
      <c r="W90" s="4"/>
      <c r="X90" s="4"/>
      <c r="Y90" s="4"/>
      <c r="Z90"/>
    </row>
    <row r="91" spans="1:26" x14ac:dyDescent="0.25">
      <c r="A91" s="703"/>
      <c r="B91" s="4"/>
      <c r="C91" s="23"/>
      <c r="D91" s="23"/>
      <c r="E91" s="23"/>
      <c r="F91" s="23"/>
      <c r="G91" s="23"/>
      <c r="H91" s="23"/>
      <c r="I91" s="23"/>
      <c r="J91" s="23"/>
      <c r="K91" s="23"/>
      <c r="L91" s="23"/>
      <c r="M91" s="23"/>
      <c r="N91" s="23"/>
      <c r="O91" s="23"/>
      <c r="P91" s="23"/>
      <c r="Q91" s="23"/>
      <c r="R91" s="4"/>
      <c r="S91" s="23"/>
      <c r="T91" s="23"/>
      <c r="U91" s="23"/>
      <c r="V91" s="23"/>
      <c r="W91" s="4"/>
      <c r="X91" s="4"/>
      <c r="Y91" s="4"/>
      <c r="Z91"/>
    </row>
    <row r="92" spans="1:26" x14ac:dyDescent="0.25">
      <c r="A92" s="703"/>
      <c r="B92" s="4"/>
      <c r="C92" s="23"/>
      <c r="D92" s="23"/>
      <c r="E92" s="23"/>
      <c r="F92" s="23"/>
      <c r="G92" s="23"/>
      <c r="H92" s="23"/>
      <c r="I92" s="23"/>
      <c r="J92" s="23"/>
      <c r="K92" s="23"/>
      <c r="L92" s="23"/>
      <c r="M92" s="23"/>
      <c r="N92" s="23"/>
      <c r="O92" s="23"/>
      <c r="P92" s="23"/>
      <c r="Q92" s="23"/>
      <c r="R92" s="4"/>
      <c r="S92" s="23"/>
      <c r="T92" s="23"/>
      <c r="U92" s="23"/>
      <c r="V92" s="23"/>
      <c r="W92" s="4"/>
      <c r="X92" s="4"/>
      <c r="Y92" s="4"/>
      <c r="Z92"/>
    </row>
    <row r="93" spans="1:26" x14ac:dyDescent="0.25">
      <c r="A93" s="703"/>
      <c r="B93" s="4"/>
      <c r="C93" s="23"/>
      <c r="D93" s="23"/>
      <c r="E93" s="23"/>
      <c r="F93" s="23"/>
      <c r="G93" s="23"/>
      <c r="H93" s="23"/>
      <c r="I93" s="23"/>
      <c r="J93" s="23"/>
      <c r="K93" s="23"/>
      <c r="L93" s="23"/>
      <c r="M93" s="23"/>
      <c r="N93" s="23"/>
      <c r="O93" s="23"/>
      <c r="P93" s="23"/>
      <c r="Q93" s="23"/>
      <c r="R93" s="4"/>
      <c r="S93" s="23"/>
      <c r="T93" s="23"/>
      <c r="U93" s="23"/>
      <c r="V93" s="23"/>
      <c r="W93" s="4"/>
      <c r="X93" s="4"/>
      <c r="Y93" s="4"/>
      <c r="Z93"/>
    </row>
    <row r="94" spans="1:26" x14ac:dyDescent="0.25">
      <c r="A94" s="703"/>
      <c r="B94" s="4"/>
      <c r="C94" s="23"/>
      <c r="D94" s="23"/>
      <c r="E94" s="23"/>
      <c r="F94" s="23"/>
      <c r="G94" s="23"/>
      <c r="H94" s="23"/>
      <c r="I94" s="23"/>
      <c r="J94" s="23"/>
      <c r="K94" s="23"/>
      <c r="L94" s="23"/>
      <c r="M94" s="23"/>
      <c r="N94" s="23"/>
      <c r="O94" s="23"/>
      <c r="P94" s="23"/>
      <c r="Q94" s="23"/>
      <c r="R94" s="4"/>
      <c r="S94" s="23"/>
      <c r="T94" s="23"/>
      <c r="U94" s="23"/>
      <c r="V94" s="23"/>
      <c r="W94" s="4"/>
      <c r="X94" s="4"/>
      <c r="Y94" s="4"/>
      <c r="Z94"/>
    </row>
    <row r="95" spans="1:26" x14ac:dyDescent="0.25">
      <c r="A95" s="703"/>
      <c r="B95" s="4"/>
      <c r="C95" s="23"/>
      <c r="D95" s="23"/>
      <c r="E95" s="23"/>
      <c r="F95" s="23"/>
      <c r="G95" s="23"/>
      <c r="H95" s="23"/>
      <c r="I95" s="23"/>
      <c r="J95" s="23"/>
      <c r="K95" s="23"/>
      <c r="L95" s="23"/>
      <c r="M95" s="23"/>
      <c r="N95" s="23"/>
      <c r="O95" s="23"/>
      <c r="P95" s="23"/>
      <c r="Q95" s="23"/>
      <c r="R95" s="4"/>
      <c r="S95" s="23"/>
      <c r="T95" s="23"/>
      <c r="U95" s="23"/>
      <c r="V95" s="23"/>
      <c r="W95" s="4"/>
      <c r="X95" s="4"/>
      <c r="Y95" s="4"/>
      <c r="Z95"/>
    </row>
    <row r="96" spans="1:26" x14ac:dyDescent="0.25">
      <c r="A96" s="703"/>
      <c r="B96" s="4"/>
      <c r="C96" s="23"/>
      <c r="D96" s="23"/>
      <c r="E96" s="23"/>
      <c r="F96" s="23"/>
      <c r="G96" s="23"/>
      <c r="H96" s="23"/>
      <c r="I96" s="23"/>
      <c r="J96" s="23"/>
      <c r="K96" s="23"/>
      <c r="L96" s="23"/>
      <c r="M96" s="23"/>
      <c r="N96" s="23"/>
      <c r="O96" s="23"/>
      <c r="P96" s="23"/>
      <c r="Q96" s="23"/>
      <c r="R96" s="4"/>
      <c r="S96" s="23"/>
      <c r="T96" s="23"/>
      <c r="U96" s="23"/>
      <c r="V96" s="23"/>
      <c r="W96" s="4"/>
      <c r="X96" s="4"/>
      <c r="Y96" s="4"/>
      <c r="Z96"/>
    </row>
    <row r="97" spans="1:26" x14ac:dyDescent="0.25">
      <c r="A97" s="703"/>
      <c r="B97" s="4"/>
      <c r="C97" s="23"/>
      <c r="D97" s="23"/>
      <c r="E97" s="23"/>
      <c r="F97" s="23"/>
      <c r="G97" s="23"/>
      <c r="H97" s="23"/>
      <c r="I97" s="23"/>
      <c r="J97" s="23"/>
      <c r="K97" s="23"/>
      <c r="L97" s="23"/>
      <c r="M97" s="23"/>
      <c r="N97" s="23"/>
      <c r="O97" s="23"/>
      <c r="P97" s="23"/>
      <c r="Q97" s="23"/>
      <c r="R97" s="4"/>
      <c r="S97" s="23"/>
      <c r="T97" s="23"/>
      <c r="U97" s="23"/>
      <c r="V97" s="23"/>
      <c r="W97" s="4"/>
      <c r="X97" s="4"/>
      <c r="Y97" s="4"/>
      <c r="Z97"/>
    </row>
    <row r="98" spans="1:26" x14ac:dyDescent="0.25">
      <c r="A98" s="703"/>
      <c r="B98" s="4"/>
      <c r="C98" s="23"/>
      <c r="D98" s="23"/>
      <c r="E98" s="23"/>
      <c r="F98" s="23"/>
      <c r="G98" s="23"/>
      <c r="H98" s="23"/>
      <c r="I98" s="23"/>
      <c r="J98" s="23"/>
      <c r="K98" s="23"/>
      <c r="L98" s="23"/>
      <c r="M98" s="23"/>
      <c r="N98" s="23"/>
      <c r="O98" s="23"/>
      <c r="P98" s="23"/>
      <c r="Q98" s="23"/>
      <c r="R98" s="4"/>
      <c r="S98" s="23"/>
      <c r="T98" s="23"/>
      <c r="U98" s="23"/>
      <c r="V98" s="23"/>
      <c r="W98" s="4"/>
      <c r="X98" s="4"/>
      <c r="Y98" s="4"/>
      <c r="Z98"/>
    </row>
    <row r="99" spans="1:26" x14ac:dyDescent="0.25">
      <c r="A99" s="703"/>
      <c r="B99" s="4"/>
      <c r="C99" s="23"/>
      <c r="D99" s="23"/>
      <c r="E99" s="23"/>
      <c r="F99" s="23"/>
      <c r="G99" s="23"/>
      <c r="H99" s="23"/>
      <c r="I99" s="23"/>
      <c r="J99" s="23"/>
      <c r="K99" s="23"/>
      <c r="L99" s="23"/>
      <c r="M99" s="23"/>
      <c r="N99" s="23"/>
      <c r="O99" s="23"/>
      <c r="P99" s="23"/>
      <c r="Q99" s="23"/>
      <c r="R99" s="4"/>
      <c r="S99" s="23"/>
      <c r="T99" s="23"/>
      <c r="U99" s="23"/>
      <c r="V99" s="23"/>
      <c r="W99" s="4"/>
      <c r="X99" s="4"/>
      <c r="Y99" s="4"/>
      <c r="Z99"/>
    </row>
    <row r="100" spans="1:26" x14ac:dyDescent="0.25">
      <c r="A100" s="703"/>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c r="Z100"/>
    </row>
    <row r="101" spans="1:26" x14ac:dyDescent="0.25">
      <c r="A101" s="703"/>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c r="Z101"/>
    </row>
    <row r="102" spans="1:26" x14ac:dyDescent="0.25">
      <c r="A102" s="703"/>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c r="Z102"/>
    </row>
    <row r="103" spans="1:26" x14ac:dyDescent="0.25">
      <c r="A103" s="703"/>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c r="Z103"/>
    </row>
    <row r="104" spans="1:26" x14ac:dyDescent="0.25">
      <c r="A104" s="703"/>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c r="Z104"/>
    </row>
    <row r="105" spans="1:26" x14ac:dyDescent="0.25">
      <c r="A105" s="703"/>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c r="Z105"/>
    </row>
    <row r="106" spans="1:26" x14ac:dyDescent="0.25">
      <c r="A106" s="703"/>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c r="Z106"/>
    </row>
    <row r="107" spans="1:26" x14ac:dyDescent="0.25">
      <c r="A107" s="703"/>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c r="Z107"/>
    </row>
    <row r="108" spans="1:26" x14ac:dyDescent="0.25">
      <c r="A108" s="703"/>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c r="Z108"/>
    </row>
    <row r="109" spans="1:26" x14ac:dyDescent="0.25">
      <c r="A109" s="703"/>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c r="Z109"/>
    </row>
    <row r="110" spans="1:26" x14ac:dyDescent="0.25">
      <c r="A110" s="703"/>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c r="Z110"/>
    </row>
    <row r="111" spans="1:26" x14ac:dyDescent="0.25">
      <c r="C111" s="194"/>
      <c r="D111" s="194"/>
      <c r="E111" s="194"/>
      <c r="F111" s="194"/>
      <c r="G111" s="194"/>
      <c r="H111" s="194"/>
      <c r="I111" s="194"/>
      <c r="J111" s="194"/>
      <c r="K111" s="194"/>
      <c r="L111" s="194"/>
      <c r="M111" s="194"/>
      <c r="N111" s="194"/>
      <c r="O111" s="194"/>
      <c r="P111" s="194"/>
      <c r="Q111" s="194"/>
      <c r="Z111"/>
    </row>
    <row r="112" spans="1:26" x14ac:dyDescent="0.25">
      <c r="C112" s="194"/>
      <c r="D112" s="194"/>
      <c r="E112" s="194"/>
      <c r="F112" s="194"/>
      <c r="G112" s="194"/>
      <c r="H112" s="194"/>
      <c r="I112" s="194"/>
      <c r="J112" s="194"/>
      <c r="K112" s="194"/>
      <c r="L112" s="194"/>
      <c r="M112" s="194"/>
      <c r="N112" s="194"/>
      <c r="O112" s="194"/>
      <c r="P112" s="194"/>
      <c r="Q112" s="194"/>
      <c r="Z112"/>
    </row>
    <row r="113" spans="3:26" x14ac:dyDescent="0.25">
      <c r="C113" s="194"/>
      <c r="D113" s="194"/>
      <c r="E113" s="194"/>
      <c r="F113" s="194"/>
      <c r="G113" s="194"/>
      <c r="H113" s="194"/>
      <c r="I113" s="194"/>
      <c r="J113" s="194"/>
      <c r="K113" s="194"/>
      <c r="L113" s="194"/>
      <c r="M113" s="194"/>
      <c r="N113" s="194"/>
      <c r="O113" s="194"/>
      <c r="P113" s="194"/>
      <c r="Q113" s="194"/>
      <c r="Z113"/>
    </row>
    <row r="114" spans="3:26" x14ac:dyDescent="0.25">
      <c r="C114" s="194"/>
      <c r="D114" s="194"/>
      <c r="E114" s="194"/>
      <c r="F114" s="194"/>
      <c r="G114" s="194"/>
      <c r="H114" s="194"/>
      <c r="I114" s="194"/>
      <c r="J114" s="194"/>
      <c r="K114" s="194"/>
      <c r="L114" s="194"/>
      <c r="M114" s="194"/>
      <c r="N114" s="194"/>
      <c r="O114" s="194"/>
      <c r="P114" s="194"/>
      <c r="Q114" s="194"/>
      <c r="Z114"/>
    </row>
    <row r="115" spans="3:26" x14ac:dyDescent="0.25">
      <c r="C115" s="194"/>
      <c r="D115" s="194"/>
      <c r="E115" s="194"/>
      <c r="F115" s="194"/>
      <c r="G115" s="194"/>
      <c r="H115" s="194"/>
      <c r="I115" s="194"/>
      <c r="J115" s="194"/>
      <c r="K115" s="194"/>
      <c r="L115" s="194"/>
      <c r="M115" s="194"/>
      <c r="N115" s="194"/>
      <c r="O115" s="194"/>
      <c r="P115" s="194"/>
      <c r="Q115" s="194"/>
      <c r="Z115"/>
    </row>
    <row r="116" spans="3:26" x14ac:dyDescent="0.25">
      <c r="C116" s="194"/>
      <c r="D116" s="194"/>
      <c r="E116" s="194"/>
      <c r="F116" s="194"/>
      <c r="G116" s="194"/>
      <c r="H116" s="194"/>
      <c r="I116" s="194"/>
      <c r="J116" s="194"/>
      <c r="K116" s="194"/>
      <c r="L116" s="194"/>
      <c r="M116" s="194"/>
      <c r="N116" s="194"/>
      <c r="O116" s="194"/>
      <c r="P116" s="194"/>
      <c r="Q116" s="194"/>
      <c r="Z116"/>
    </row>
    <row r="117" spans="3:26" x14ac:dyDescent="0.25">
      <c r="C117" s="194"/>
      <c r="D117" s="194"/>
      <c r="E117" s="194"/>
      <c r="F117" s="194"/>
      <c r="G117" s="194"/>
      <c r="H117" s="194"/>
      <c r="I117" s="194"/>
      <c r="J117" s="194"/>
      <c r="K117" s="194"/>
      <c r="L117" s="194"/>
      <c r="M117" s="194"/>
      <c r="N117" s="194"/>
      <c r="O117" s="194"/>
      <c r="P117" s="194"/>
      <c r="Q117" s="194"/>
      <c r="Z117"/>
    </row>
    <row r="118" spans="3:26" x14ac:dyDescent="0.25">
      <c r="C118" s="194"/>
      <c r="D118" s="194"/>
      <c r="E118" s="194"/>
      <c r="F118" s="194"/>
      <c r="G118" s="194"/>
      <c r="H118" s="194"/>
      <c r="I118" s="194"/>
      <c r="J118" s="194"/>
      <c r="K118" s="194"/>
      <c r="L118" s="194"/>
      <c r="M118" s="194"/>
      <c r="N118" s="194"/>
      <c r="O118" s="194"/>
      <c r="P118" s="194"/>
      <c r="Q118" s="194"/>
      <c r="Z118"/>
    </row>
    <row r="119" spans="3:26" x14ac:dyDescent="0.25">
      <c r="C119" s="194"/>
      <c r="D119" s="194"/>
      <c r="E119" s="194"/>
      <c r="F119" s="194"/>
      <c r="G119" s="194"/>
      <c r="H119" s="194"/>
      <c r="I119" s="194"/>
      <c r="J119" s="194"/>
      <c r="K119" s="194"/>
      <c r="L119" s="194"/>
      <c r="M119" s="194"/>
      <c r="N119" s="194"/>
      <c r="O119" s="194"/>
      <c r="P119" s="194"/>
      <c r="Q119" s="194"/>
      <c r="Z119"/>
    </row>
    <row r="120" spans="3:26" x14ac:dyDescent="0.25">
      <c r="C120" s="194"/>
      <c r="D120" s="194"/>
      <c r="E120" s="194"/>
      <c r="F120" s="194"/>
      <c r="G120" s="194"/>
      <c r="H120" s="194"/>
      <c r="I120" s="194"/>
      <c r="J120" s="194"/>
      <c r="K120" s="194"/>
      <c r="L120" s="194"/>
      <c r="M120" s="194"/>
      <c r="N120" s="194"/>
      <c r="O120" s="194"/>
      <c r="P120" s="194"/>
      <c r="Q120" s="194"/>
      <c r="Z120"/>
    </row>
    <row r="121" spans="3:26" x14ac:dyDescent="0.25">
      <c r="C121" s="194"/>
      <c r="D121" s="194"/>
      <c r="E121" s="194"/>
      <c r="F121" s="194"/>
      <c r="G121" s="194"/>
      <c r="H121" s="194"/>
      <c r="I121" s="194"/>
      <c r="J121" s="194"/>
      <c r="K121" s="194"/>
      <c r="L121" s="194"/>
      <c r="M121" s="194"/>
      <c r="N121" s="194"/>
      <c r="O121" s="194"/>
      <c r="P121" s="194"/>
      <c r="Q121" s="194"/>
      <c r="Z121"/>
    </row>
    <row r="122" spans="3:26" x14ac:dyDescent="0.25">
      <c r="C122" s="194"/>
      <c r="D122" s="194"/>
      <c r="E122" s="194"/>
      <c r="F122" s="194"/>
      <c r="G122" s="194"/>
      <c r="H122" s="194"/>
      <c r="I122" s="194"/>
      <c r="J122" s="194"/>
      <c r="K122" s="194"/>
      <c r="L122" s="194"/>
      <c r="M122" s="194"/>
      <c r="N122" s="194"/>
      <c r="O122" s="194"/>
      <c r="P122" s="194"/>
      <c r="Q122" s="194"/>
      <c r="Z122"/>
    </row>
    <row r="123" spans="3:26" x14ac:dyDescent="0.25">
      <c r="C123" s="194"/>
      <c r="D123" s="194"/>
      <c r="E123" s="194"/>
      <c r="F123" s="194"/>
      <c r="G123" s="194"/>
      <c r="H123" s="194"/>
      <c r="I123" s="194"/>
      <c r="J123" s="194"/>
      <c r="K123" s="194"/>
      <c r="L123" s="194"/>
      <c r="M123" s="194"/>
      <c r="N123" s="194"/>
      <c r="O123" s="194"/>
      <c r="P123" s="194"/>
      <c r="Q123" s="194"/>
      <c r="Z123"/>
    </row>
    <row r="124" spans="3:26" x14ac:dyDescent="0.25">
      <c r="C124" s="194"/>
      <c r="D124" s="194"/>
      <c r="E124" s="194"/>
      <c r="F124" s="194"/>
      <c r="G124" s="194"/>
      <c r="H124" s="194"/>
      <c r="I124" s="194"/>
      <c r="J124" s="194"/>
      <c r="K124" s="194"/>
      <c r="L124" s="194"/>
      <c r="M124" s="194"/>
      <c r="N124" s="194"/>
      <c r="O124" s="194"/>
      <c r="P124" s="194"/>
      <c r="Q124" s="194"/>
      <c r="Z124"/>
    </row>
    <row r="125" spans="3:26" x14ac:dyDescent="0.25">
      <c r="C125" s="194"/>
      <c r="D125"/>
      <c r="E125"/>
      <c r="F125"/>
      <c r="G125"/>
      <c r="H125"/>
      <c r="I125"/>
      <c r="J125"/>
      <c r="K125"/>
      <c r="L125"/>
      <c r="M125"/>
      <c r="N125"/>
      <c r="O125"/>
      <c r="P125"/>
      <c r="Q125"/>
      <c r="S125"/>
      <c r="T125"/>
      <c r="U125"/>
      <c r="V125"/>
      <c r="Z125"/>
    </row>
    <row r="126" spans="3:26" x14ac:dyDescent="0.25">
      <c r="C126" s="194"/>
      <c r="D126"/>
      <c r="E126"/>
      <c r="F126"/>
      <c r="G126"/>
      <c r="H126"/>
      <c r="I126"/>
      <c r="J126"/>
      <c r="K126"/>
      <c r="L126"/>
      <c r="M126"/>
      <c r="N126"/>
      <c r="O126"/>
      <c r="P126"/>
      <c r="Q126"/>
      <c r="S126"/>
      <c r="T126"/>
      <c r="U126"/>
      <c r="V126"/>
      <c r="Z126"/>
    </row>
    <row r="127" spans="3:26" x14ac:dyDescent="0.25">
      <c r="C127" s="194"/>
      <c r="D127"/>
      <c r="E127"/>
      <c r="F127"/>
      <c r="G127"/>
      <c r="H127"/>
      <c r="I127"/>
      <c r="J127"/>
      <c r="K127"/>
      <c r="L127"/>
      <c r="M127"/>
      <c r="N127"/>
      <c r="O127"/>
      <c r="P127"/>
      <c r="Q127"/>
      <c r="S127"/>
      <c r="T127"/>
      <c r="U127"/>
      <c r="V127"/>
      <c r="Z127"/>
    </row>
    <row r="128" spans="3:26" x14ac:dyDescent="0.25">
      <c r="C128" s="194"/>
      <c r="D128"/>
      <c r="E128"/>
      <c r="F128"/>
      <c r="G128"/>
      <c r="H128"/>
      <c r="I128"/>
      <c r="J128"/>
      <c r="K128"/>
      <c r="L128"/>
      <c r="M128"/>
      <c r="N128"/>
      <c r="O128"/>
      <c r="P128"/>
      <c r="Q128"/>
      <c r="S128"/>
      <c r="T128"/>
      <c r="U128"/>
      <c r="V128"/>
      <c r="Z128"/>
    </row>
    <row r="129" spans="3:26" x14ac:dyDescent="0.25">
      <c r="C129" s="194"/>
      <c r="D129"/>
      <c r="E129"/>
      <c r="F129"/>
      <c r="G129"/>
      <c r="H129"/>
      <c r="I129"/>
      <c r="J129"/>
      <c r="K129"/>
      <c r="L129"/>
      <c r="M129"/>
      <c r="N129"/>
      <c r="O129"/>
      <c r="P129"/>
      <c r="Q129"/>
      <c r="S129"/>
      <c r="T129"/>
      <c r="U129"/>
      <c r="V129"/>
      <c r="Z129"/>
    </row>
    <row r="130" spans="3:26" x14ac:dyDescent="0.25">
      <c r="C130" s="194"/>
      <c r="D130"/>
      <c r="E130"/>
      <c r="F130"/>
      <c r="G130"/>
      <c r="H130"/>
      <c r="I130"/>
      <c r="J130"/>
      <c r="K130"/>
      <c r="L130"/>
      <c r="M130"/>
      <c r="N130"/>
      <c r="O130"/>
      <c r="P130"/>
      <c r="Q130"/>
      <c r="S130"/>
      <c r="T130"/>
      <c r="U130"/>
      <c r="V130"/>
      <c r="Z130"/>
    </row>
    <row r="131" spans="3:26" x14ac:dyDescent="0.25">
      <c r="C131" s="194"/>
      <c r="D131"/>
      <c r="E131"/>
      <c r="F131"/>
      <c r="G131"/>
      <c r="H131"/>
      <c r="I131"/>
      <c r="J131"/>
      <c r="K131"/>
      <c r="L131"/>
      <c r="M131"/>
      <c r="N131"/>
      <c r="O131"/>
      <c r="P131"/>
      <c r="Q131"/>
      <c r="S131"/>
      <c r="T131"/>
      <c r="U131"/>
      <c r="V131"/>
      <c r="Z131"/>
    </row>
    <row r="132" spans="3:26" x14ac:dyDescent="0.25">
      <c r="C132" s="194"/>
      <c r="D132"/>
      <c r="E132"/>
      <c r="F132"/>
      <c r="G132"/>
      <c r="H132"/>
      <c r="I132"/>
      <c r="J132"/>
      <c r="K132"/>
      <c r="L132"/>
      <c r="M132"/>
      <c r="N132"/>
      <c r="O132"/>
      <c r="P132"/>
      <c r="Q132"/>
      <c r="S132"/>
      <c r="T132"/>
      <c r="U132"/>
      <c r="V132"/>
      <c r="Z132"/>
    </row>
    <row r="133" spans="3:26" x14ac:dyDescent="0.25">
      <c r="C133" s="194"/>
      <c r="D133"/>
      <c r="E133"/>
      <c r="F133"/>
      <c r="G133"/>
      <c r="H133"/>
      <c r="I133"/>
      <c r="J133"/>
      <c r="K133"/>
      <c r="L133"/>
      <c r="M133"/>
      <c r="N133"/>
      <c r="O133"/>
      <c r="P133"/>
      <c r="Q133"/>
      <c r="S133"/>
      <c r="T133"/>
      <c r="U133"/>
      <c r="V133"/>
      <c r="Z133"/>
    </row>
    <row r="134" spans="3:26" x14ac:dyDescent="0.25">
      <c r="C134" s="194"/>
      <c r="D134"/>
      <c r="E134"/>
      <c r="F134"/>
      <c r="G134"/>
      <c r="H134"/>
      <c r="I134"/>
      <c r="J134"/>
      <c r="K134"/>
      <c r="L134"/>
      <c r="M134"/>
      <c r="N134"/>
      <c r="O134"/>
      <c r="P134"/>
      <c r="Q134"/>
      <c r="S134"/>
      <c r="T134"/>
      <c r="U134"/>
      <c r="V134"/>
      <c r="Z134"/>
    </row>
    <row r="135" spans="3:26" x14ac:dyDescent="0.25">
      <c r="C135" s="194"/>
      <c r="D135"/>
      <c r="E135"/>
      <c r="F135"/>
      <c r="G135"/>
      <c r="H135"/>
      <c r="I135"/>
      <c r="J135"/>
      <c r="K135"/>
      <c r="L135"/>
      <c r="M135"/>
      <c r="N135"/>
      <c r="O135"/>
      <c r="P135"/>
      <c r="Q135"/>
      <c r="S135"/>
      <c r="T135"/>
      <c r="U135"/>
      <c r="V135"/>
      <c r="Z135"/>
    </row>
    <row r="136" spans="3:26" x14ac:dyDescent="0.25">
      <c r="C136" s="194"/>
      <c r="D136"/>
      <c r="E136"/>
      <c r="F136"/>
      <c r="G136"/>
      <c r="H136"/>
      <c r="I136"/>
      <c r="J136"/>
      <c r="K136"/>
      <c r="L136"/>
      <c r="M136"/>
      <c r="N136"/>
      <c r="O136"/>
      <c r="P136"/>
      <c r="Q136"/>
      <c r="S136"/>
      <c r="T136"/>
      <c r="U136"/>
      <c r="V136"/>
      <c r="Z136"/>
    </row>
    <row r="137" spans="3:26" x14ac:dyDescent="0.25">
      <c r="C137" s="194"/>
      <c r="D137"/>
      <c r="E137"/>
      <c r="F137"/>
      <c r="G137"/>
      <c r="H137"/>
      <c r="I137"/>
      <c r="J137"/>
      <c r="K137"/>
      <c r="L137"/>
      <c r="M137"/>
      <c r="N137"/>
      <c r="O137"/>
      <c r="P137"/>
      <c r="Q137"/>
      <c r="S137"/>
      <c r="T137"/>
      <c r="U137"/>
      <c r="V137"/>
      <c r="Z137"/>
    </row>
    <row r="138" spans="3:26" x14ac:dyDescent="0.25">
      <c r="C138" s="194"/>
      <c r="D138"/>
      <c r="E138"/>
      <c r="F138"/>
      <c r="G138"/>
      <c r="H138"/>
      <c r="I138"/>
      <c r="J138"/>
      <c r="K138"/>
      <c r="L138"/>
      <c r="M138"/>
      <c r="N138"/>
      <c r="O138"/>
      <c r="P138"/>
      <c r="Q138"/>
      <c r="S138"/>
      <c r="T138"/>
      <c r="U138"/>
      <c r="V138"/>
      <c r="Z138"/>
    </row>
    <row r="139" spans="3:26" x14ac:dyDescent="0.25">
      <c r="C139" s="194"/>
      <c r="D139"/>
      <c r="E139"/>
      <c r="F139"/>
      <c r="G139"/>
      <c r="H139"/>
      <c r="I139"/>
      <c r="J139"/>
      <c r="K139"/>
      <c r="L139"/>
      <c r="M139"/>
      <c r="N139"/>
      <c r="O139"/>
      <c r="P139"/>
      <c r="Q139"/>
      <c r="S139"/>
      <c r="T139"/>
      <c r="U139"/>
      <c r="V139"/>
      <c r="Z139"/>
    </row>
    <row r="140" spans="3:26" x14ac:dyDescent="0.25">
      <c r="C140" s="194"/>
      <c r="D140"/>
      <c r="E140"/>
      <c r="F140"/>
      <c r="G140"/>
      <c r="H140"/>
      <c r="I140"/>
      <c r="J140"/>
      <c r="K140"/>
      <c r="L140"/>
      <c r="M140"/>
      <c r="N140"/>
      <c r="O140"/>
      <c r="P140"/>
      <c r="Q140"/>
      <c r="S140"/>
      <c r="T140"/>
      <c r="U140"/>
      <c r="V140"/>
      <c r="Z140"/>
    </row>
    <row r="141" spans="3:26" x14ac:dyDescent="0.25">
      <c r="C141" s="194"/>
      <c r="D141"/>
      <c r="E141"/>
      <c r="F141"/>
      <c r="G141"/>
      <c r="H141"/>
      <c r="I141"/>
      <c r="J141"/>
      <c r="K141"/>
      <c r="L141"/>
      <c r="M141"/>
      <c r="N141"/>
      <c r="O141"/>
      <c r="P141"/>
      <c r="Q141"/>
      <c r="S141"/>
      <c r="T141"/>
      <c r="U141"/>
      <c r="V141"/>
      <c r="Z141"/>
    </row>
    <row r="142" spans="3:26" x14ac:dyDescent="0.25">
      <c r="C142" s="194"/>
      <c r="D142"/>
      <c r="E142"/>
      <c r="F142"/>
      <c r="G142"/>
      <c r="H142"/>
      <c r="I142"/>
      <c r="J142"/>
      <c r="K142"/>
      <c r="L142"/>
      <c r="M142"/>
      <c r="N142"/>
      <c r="O142"/>
      <c r="P142"/>
      <c r="Q142"/>
      <c r="S142"/>
      <c r="T142"/>
      <c r="U142"/>
      <c r="V142"/>
      <c r="Z142"/>
    </row>
    <row r="143" spans="3:26" x14ac:dyDescent="0.25">
      <c r="C143" s="194"/>
      <c r="D143"/>
      <c r="E143"/>
      <c r="F143"/>
      <c r="G143"/>
      <c r="H143"/>
      <c r="I143"/>
      <c r="J143"/>
      <c r="K143"/>
      <c r="L143"/>
      <c r="M143"/>
      <c r="N143"/>
      <c r="O143"/>
      <c r="P143"/>
      <c r="Q143"/>
      <c r="S143"/>
      <c r="T143"/>
      <c r="U143"/>
      <c r="V143"/>
      <c r="Z143"/>
    </row>
    <row r="144" spans="3:26" x14ac:dyDescent="0.25">
      <c r="C144" s="194"/>
      <c r="D144"/>
      <c r="E144"/>
      <c r="F144"/>
      <c r="G144"/>
      <c r="H144"/>
      <c r="I144"/>
      <c r="J144"/>
      <c r="K144"/>
      <c r="L144"/>
      <c r="M144"/>
      <c r="N144"/>
      <c r="O144"/>
      <c r="P144"/>
      <c r="Q144"/>
      <c r="S144"/>
      <c r="T144"/>
      <c r="U144"/>
      <c r="V144"/>
      <c r="Z144"/>
    </row>
    <row r="145" spans="3:26" x14ac:dyDescent="0.25">
      <c r="C145" s="194"/>
      <c r="D145"/>
      <c r="E145"/>
      <c r="F145"/>
      <c r="G145"/>
      <c r="H145"/>
      <c r="I145"/>
      <c r="J145"/>
      <c r="K145"/>
      <c r="L145"/>
      <c r="M145"/>
      <c r="N145"/>
      <c r="O145"/>
      <c r="P145"/>
      <c r="Q145"/>
      <c r="S145"/>
      <c r="T145"/>
      <c r="U145"/>
      <c r="V145"/>
      <c r="Z145"/>
    </row>
    <row r="146" spans="3:26" x14ac:dyDescent="0.25">
      <c r="C146" s="194"/>
      <c r="D146"/>
      <c r="E146"/>
      <c r="F146"/>
      <c r="G146"/>
      <c r="H146"/>
      <c r="I146"/>
      <c r="J146"/>
      <c r="K146"/>
      <c r="L146"/>
      <c r="M146"/>
      <c r="N146"/>
      <c r="O146"/>
      <c r="P146"/>
      <c r="Q146"/>
      <c r="S146"/>
      <c r="T146"/>
      <c r="U146"/>
      <c r="V146"/>
      <c r="Z146"/>
    </row>
    <row r="147" spans="3:26" x14ac:dyDescent="0.25">
      <c r="C147" s="194"/>
      <c r="D147"/>
      <c r="E147"/>
      <c r="F147"/>
      <c r="G147"/>
      <c r="H147"/>
      <c r="I147"/>
      <c r="J147"/>
      <c r="K147"/>
      <c r="L147"/>
      <c r="M147"/>
      <c r="N147"/>
      <c r="O147"/>
      <c r="P147"/>
      <c r="Q147"/>
      <c r="S147"/>
      <c r="T147"/>
      <c r="U147"/>
      <c r="V147"/>
      <c r="Z147"/>
    </row>
    <row r="148" spans="3:26" x14ac:dyDescent="0.25">
      <c r="C148" s="194"/>
      <c r="D148"/>
      <c r="E148"/>
      <c r="F148"/>
      <c r="G148"/>
      <c r="H148"/>
      <c r="I148"/>
      <c r="J148"/>
      <c r="K148"/>
      <c r="L148"/>
      <c r="M148"/>
      <c r="N148"/>
      <c r="O148"/>
      <c r="P148"/>
      <c r="Q148"/>
      <c r="S148"/>
      <c r="T148"/>
      <c r="U148"/>
      <c r="V148"/>
      <c r="Z148"/>
    </row>
    <row r="149" spans="3:26" x14ac:dyDescent="0.25">
      <c r="C149" s="194"/>
      <c r="D149"/>
      <c r="E149"/>
      <c r="F149"/>
      <c r="G149"/>
      <c r="H149"/>
      <c r="I149"/>
      <c r="J149"/>
      <c r="K149"/>
      <c r="L149"/>
      <c r="M149"/>
      <c r="N149"/>
      <c r="O149"/>
      <c r="P149"/>
      <c r="Q149"/>
      <c r="S149"/>
      <c r="T149"/>
      <c r="U149"/>
      <c r="V149"/>
      <c r="Z149"/>
    </row>
    <row r="150" spans="3:26" x14ac:dyDescent="0.25">
      <c r="C150" s="194"/>
      <c r="D150"/>
      <c r="E150"/>
      <c r="F150"/>
      <c r="G150"/>
      <c r="H150"/>
      <c r="I150"/>
      <c r="J150"/>
      <c r="K150"/>
      <c r="L150"/>
      <c r="M150"/>
      <c r="N150"/>
      <c r="O150"/>
      <c r="P150"/>
      <c r="Q150"/>
      <c r="S150"/>
      <c r="T150"/>
      <c r="U150"/>
      <c r="V150"/>
      <c r="Z150"/>
    </row>
    <row r="151" spans="3:26" x14ac:dyDescent="0.25">
      <c r="C151" s="194"/>
      <c r="D151"/>
      <c r="E151"/>
      <c r="F151"/>
      <c r="G151"/>
      <c r="H151"/>
      <c r="I151"/>
      <c r="J151"/>
      <c r="K151"/>
      <c r="L151"/>
      <c r="M151"/>
      <c r="N151"/>
      <c r="O151"/>
      <c r="P151"/>
      <c r="Q151"/>
      <c r="S151"/>
      <c r="T151"/>
      <c r="U151"/>
      <c r="V151"/>
      <c r="Z151"/>
    </row>
    <row r="152" spans="3:26" x14ac:dyDescent="0.25">
      <c r="C152" s="194"/>
      <c r="D152"/>
      <c r="E152"/>
      <c r="F152"/>
      <c r="G152"/>
      <c r="H152"/>
      <c r="I152"/>
      <c r="J152"/>
      <c r="K152"/>
      <c r="L152"/>
      <c r="M152"/>
      <c r="N152"/>
      <c r="O152"/>
      <c r="P152"/>
      <c r="Q152"/>
      <c r="S152"/>
      <c r="T152"/>
      <c r="U152"/>
      <c r="V152"/>
      <c r="Z152"/>
    </row>
    <row r="153" spans="3:26" x14ac:dyDescent="0.25">
      <c r="C153" s="194"/>
      <c r="D153"/>
      <c r="E153"/>
      <c r="F153"/>
      <c r="G153"/>
      <c r="H153"/>
      <c r="I153"/>
      <c r="J153"/>
      <c r="K153"/>
      <c r="L153"/>
      <c r="M153"/>
      <c r="N153"/>
      <c r="O153"/>
      <c r="P153"/>
      <c r="Q153"/>
      <c r="S153"/>
      <c r="T153"/>
      <c r="U153"/>
      <c r="V153"/>
      <c r="Z153"/>
    </row>
    <row r="154" spans="3:26" x14ac:dyDescent="0.25">
      <c r="C154" s="194"/>
      <c r="D154"/>
      <c r="E154"/>
      <c r="F154"/>
      <c r="G154"/>
      <c r="H154"/>
      <c r="I154"/>
      <c r="J154"/>
      <c r="K154"/>
      <c r="L154"/>
      <c r="M154"/>
      <c r="N154"/>
      <c r="O154"/>
      <c r="P154"/>
      <c r="Q154"/>
      <c r="S154"/>
      <c r="T154"/>
      <c r="U154"/>
      <c r="V154"/>
      <c r="Z154"/>
    </row>
    <row r="155" spans="3:26" x14ac:dyDescent="0.25">
      <c r="C155" s="194"/>
      <c r="D155"/>
      <c r="E155"/>
      <c r="F155"/>
      <c r="G155"/>
      <c r="H155"/>
      <c r="I155"/>
      <c r="J155"/>
      <c r="K155"/>
      <c r="L155"/>
      <c r="M155"/>
      <c r="N155"/>
      <c r="O155"/>
      <c r="P155"/>
      <c r="Q155"/>
      <c r="S155"/>
      <c r="T155"/>
      <c r="U155"/>
      <c r="V155"/>
      <c r="Z155"/>
    </row>
    <row r="156" spans="3:26" x14ac:dyDescent="0.25">
      <c r="C156" s="194"/>
      <c r="D156"/>
      <c r="E156"/>
      <c r="F156"/>
      <c r="G156"/>
      <c r="H156"/>
      <c r="I156"/>
      <c r="J156"/>
      <c r="K156"/>
      <c r="L156"/>
      <c r="M156"/>
      <c r="N156"/>
      <c r="O156"/>
      <c r="P156"/>
      <c r="Q156"/>
      <c r="S156"/>
      <c r="T156"/>
      <c r="U156"/>
      <c r="V156"/>
      <c r="Z156"/>
    </row>
    <row r="157" spans="3:26" x14ac:dyDescent="0.25">
      <c r="C157" s="194"/>
      <c r="D157"/>
      <c r="E157"/>
      <c r="F157"/>
      <c r="G157"/>
      <c r="H157"/>
      <c r="I157"/>
      <c r="J157"/>
      <c r="K157"/>
      <c r="L157"/>
      <c r="M157"/>
      <c r="N157"/>
      <c r="O157"/>
      <c r="P157"/>
      <c r="Q157"/>
      <c r="S157"/>
      <c r="T157"/>
      <c r="U157"/>
      <c r="V157"/>
      <c r="Z157"/>
    </row>
    <row r="158" spans="3:26" x14ac:dyDescent="0.25">
      <c r="C158" s="194"/>
      <c r="D158"/>
      <c r="E158"/>
      <c r="F158"/>
      <c r="G158"/>
      <c r="H158"/>
      <c r="I158"/>
      <c r="J158"/>
      <c r="K158"/>
      <c r="L158"/>
      <c r="M158"/>
      <c r="N158"/>
      <c r="O158"/>
      <c r="P158"/>
      <c r="Q158"/>
      <c r="S158"/>
      <c r="T158"/>
      <c r="U158"/>
      <c r="V158"/>
      <c r="Z158"/>
    </row>
    <row r="159" spans="3:26" x14ac:dyDescent="0.25">
      <c r="C159" s="194"/>
      <c r="D159"/>
      <c r="E159"/>
      <c r="F159"/>
      <c r="G159"/>
      <c r="H159"/>
      <c r="I159"/>
      <c r="J159"/>
      <c r="K159"/>
      <c r="L159"/>
      <c r="M159"/>
      <c r="N159"/>
      <c r="O159"/>
      <c r="P159"/>
      <c r="Q159"/>
      <c r="S159"/>
      <c r="T159"/>
      <c r="U159"/>
      <c r="V159"/>
      <c r="Z159"/>
    </row>
    <row r="160" spans="3:26" x14ac:dyDescent="0.25">
      <c r="C160" s="194"/>
      <c r="D160"/>
      <c r="E160"/>
      <c r="F160"/>
      <c r="G160"/>
      <c r="H160"/>
      <c r="I160"/>
      <c r="J160"/>
      <c r="K160"/>
      <c r="L160"/>
      <c r="M160"/>
      <c r="N160"/>
      <c r="O160"/>
      <c r="P160"/>
      <c r="Q160"/>
      <c r="S160"/>
      <c r="T160"/>
      <c r="U160"/>
      <c r="V160"/>
      <c r="Z160"/>
    </row>
    <row r="161" spans="3:26" x14ac:dyDescent="0.25">
      <c r="C161" s="194"/>
      <c r="D161"/>
      <c r="E161"/>
      <c r="F161"/>
      <c r="G161"/>
      <c r="H161"/>
      <c r="I161"/>
      <c r="J161"/>
      <c r="K161"/>
      <c r="L161"/>
      <c r="M161"/>
      <c r="N161"/>
      <c r="O161"/>
      <c r="P161"/>
      <c r="Q161"/>
      <c r="S161"/>
      <c r="T161"/>
      <c r="U161"/>
      <c r="V161"/>
      <c r="Z161"/>
    </row>
    <row r="162" spans="3:26" x14ac:dyDescent="0.25">
      <c r="C162" s="194"/>
      <c r="D162"/>
      <c r="E162"/>
      <c r="F162"/>
      <c r="G162"/>
      <c r="H162"/>
      <c r="I162"/>
      <c r="J162"/>
      <c r="K162"/>
      <c r="L162"/>
      <c r="M162"/>
      <c r="N162"/>
      <c r="O162"/>
      <c r="P162"/>
      <c r="Q162"/>
      <c r="S162"/>
      <c r="T162"/>
      <c r="U162"/>
      <c r="V162"/>
      <c r="Z162"/>
    </row>
  </sheetData>
  <phoneticPr fontId="0" type="noConversion"/>
  <hyperlinks>
    <hyperlink ref="A1" location="'Working Budget with funding det'!A1" display="Main " xr:uid="{00000000-0004-0000-2B00-000000000000}"/>
    <hyperlink ref="B1" location="'Table of Contents'!A1" display="TOC" xr:uid="{00000000-0004-0000-2B00-000001000000}"/>
  </hyperlinks>
  <pageMargins left="0.75" right="0.75" top="1" bottom="1" header="0.5" footer="0.5"/>
  <pageSetup scale="91" fitToHeight="0" orientation="landscape" r:id="rId1"/>
  <headerFooter alignWithMargins="0">
    <oddFooter>&amp;L&amp;D     &amp;T&amp;C&amp;F&amp;R&amp;A</oddFooter>
  </headerFooter>
  <rowBreaks count="1" manualBreakCount="1">
    <brk id="34" max="1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Z184"/>
  <sheetViews>
    <sheetView workbookViewId="0">
      <selection activeCell="R10" sqref="R10"/>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 min="23" max="25" width="14.44140625" customWidth="1"/>
    <col min="26" max="26" width="14.6640625" style="2" customWidth="1"/>
  </cols>
  <sheetData>
    <row r="1" spans="1:25" x14ac:dyDescent="0.25">
      <c r="A1" s="701" t="s">
        <v>736</v>
      </c>
      <c r="B1" s="290" t="s">
        <v>194</v>
      </c>
      <c r="D1" s="194"/>
      <c r="E1" s="194"/>
      <c r="F1" s="194"/>
      <c r="G1" s="194"/>
      <c r="H1" s="194"/>
      <c r="I1" s="194"/>
      <c r="J1" s="194"/>
      <c r="K1" s="194"/>
      <c r="L1" s="194"/>
      <c r="M1" s="194"/>
      <c r="N1" s="194"/>
      <c r="O1" s="194"/>
      <c r="P1" s="194"/>
      <c r="Q1" s="194"/>
      <c r="V1"/>
    </row>
    <row r="2" spans="1:25" ht="13.8" x14ac:dyDescent="0.25">
      <c r="A2" s="702" t="s">
        <v>1262</v>
      </c>
      <c r="B2" s="43"/>
      <c r="D2" s="194"/>
      <c r="E2" s="125"/>
      <c r="F2" s="194"/>
      <c r="G2" s="194"/>
      <c r="H2" s="194"/>
      <c r="I2" s="125" t="s">
        <v>706</v>
      </c>
      <c r="J2" s="125"/>
      <c r="K2" s="125"/>
      <c r="L2" s="125"/>
      <c r="M2" s="125"/>
      <c r="N2" s="125"/>
      <c r="O2" s="125"/>
      <c r="P2" s="125"/>
      <c r="Q2" s="125"/>
      <c r="R2" s="58" t="s">
        <v>1293</v>
      </c>
      <c r="U2" s="44" t="s">
        <v>1294</v>
      </c>
    </row>
    <row r="3" spans="1:25" ht="13.8" thickBot="1" x14ac:dyDescent="0.3">
      <c r="A3" s="703"/>
      <c r="B3" s="4"/>
      <c r="C3" s="23"/>
      <c r="D3" s="23"/>
      <c r="E3" s="23"/>
      <c r="F3" s="23"/>
      <c r="G3" s="23"/>
      <c r="H3" s="23"/>
      <c r="I3" s="23"/>
      <c r="J3" s="23"/>
      <c r="K3" s="23"/>
      <c r="L3" s="23"/>
      <c r="M3" s="23"/>
      <c r="N3" s="23"/>
      <c r="O3" s="23"/>
      <c r="P3" s="23"/>
      <c r="Q3" s="23"/>
      <c r="R3" s="4"/>
      <c r="S3" s="23"/>
      <c r="T3" s="23"/>
      <c r="U3" s="4"/>
      <c r="V3" s="4"/>
      <c r="Y3" s="4"/>
    </row>
    <row r="4" spans="1:25"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5" x14ac:dyDescent="0.25">
      <c r="A5" s="705"/>
      <c r="B5" s="184"/>
      <c r="C5" s="112"/>
      <c r="D5" s="82"/>
      <c r="E5" s="104"/>
      <c r="F5" s="104"/>
      <c r="G5" s="82"/>
      <c r="H5" s="104"/>
      <c r="I5" s="229"/>
      <c r="J5" s="229"/>
      <c r="K5" s="229"/>
      <c r="L5" s="229"/>
      <c r="M5" s="229"/>
      <c r="N5" s="229"/>
      <c r="O5" s="229"/>
      <c r="P5" s="229"/>
      <c r="Q5" s="229"/>
      <c r="R5" s="104" t="s">
        <v>709</v>
      </c>
      <c r="S5" s="83" t="s">
        <v>710</v>
      </c>
      <c r="T5" s="83" t="s">
        <v>711</v>
      </c>
      <c r="U5" s="178" t="s">
        <v>712</v>
      </c>
    </row>
    <row r="6" spans="1:25"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5"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5" ht="13.8" thickTop="1" x14ac:dyDescent="0.25">
      <c r="A8" s="725"/>
      <c r="B8" s="185"/>
      <c r="C8" s="117"/>
      <c r="D8" s="18"/>
      <c r="E8" s="18"/>
      <c r="F8" s="18"/>
      <c r="G8" s="18"/>
      <c r="H8" s="18"/>
      <c r="I8" s="19"/>
      <c r="J8" s="19"/>
      <c r="K8" s="19"/>
      <c r="L8" s="19"/>
      <c r="M8" s="19"/>
      <c r="N8" s="19"/>
      <c r="O8" s="19"/>
      <c r="P8" s="19"/>
      <c r="Q8" s="19"/>
      <c r="R8" s="18"/>
      <c r="S8" s="19"/>
      <c r="T8" s="19"/>
      <c r="U8" s="19"/>
    </row>
    <row r="9" spans="1:25" x14ac:dyDescent="0.25">
      <c r="A9" s="708">
        <v>5771</v>
      </c>
      <c r="B9" s="60" t="s">
        <v>1295</v>
      </c>
      <c r="C9" s="115">
        <v>139890.25</v>
      </c>
      <c r="D9" s="13">
        <v>146786.22</v>
      </c>
      <c r="E9" s="13">
        <v>155125.34</v>
      </c>
      <c r="F9" s="13">
        <v>142242.03</v>
      </c>
      <c r="G9" s="13">
        <v>112649.07</v>
      </c>
      <c r="H9" s="13">
        <v>82486.720000000001</v>
      </c>
      <c r="I9" s="13">
        <v>71893.36</v>
      </c>
      <c r="J9" s="13">
        <v>69662.14</v>
      </c>
      <c r="K9" s="14">
        <v>81800</v>
      </c>
      <c r="L9" s="13">
        <v>71773.19</v>
      </c>
      <c r="M9" s="14">
        <v>81800</v>
      </c>
      <c r="N9" s="13">
        <v>57054.83</v>
      </c>
      <c r="O9" s="14">
        <v>70000</v>
      </c>
      <c r="P9" s="13">
        <v>49982.77</v>
      </c>
      <c r="Q9" s="14">
        <v>70000</v>
      </c>
      <c r="R9" s="13">
        <v>29152.9</v>
      </c>
      <c r="S9" s="14">
        <v>71397</v>
      </c>
      <c r="T9" s="14"/>
      <c r="U9" s="14"/>
    </row>
    <row r="10" spans="1:25" x14ac:dyDescent="0.25">
      <c r="A10" s="708">
        <v>5774</v>
      </c>
      <c r="B10" s="60" t="s">
        <v>1296</v>
      </c>
      <c r="C10" s="115">
        <v>4102.79</v>
      </c>
      <c r="D10" s="13">
        <v>4039.92</v>
      </c>
      <c r="E10" s="13">
        <v>2826</v>
      </c>
      <c r="F10" s="13">
        <v>2292.12</v>
      </c>
      <c r="G10" s="13">
        <v>525</v>
      </c>
      <c r="H10" s="13">
        <v>2382.6</v>
      </c>
      <c r="I10" s="13">
        <v>2281.8000000000002</v>
      </c>
      <c r="J10" s="13">
        <v>1575.4</v>
      </c>
      <c r="K10" s="14">
        <v>1600</v>
      </c>
      <c r="L10" s="13">
        <v>1983.2</v>
      </c>
      <c r="M10" s="14">
        <v>2000</v>
      </c>
      <c r="N10" s="13">
        <v>1712.9</v>
      </c>
      <c r="O10" s="14">
        <v>2500</v>
      </c>
      <c r="P10" s="13">
        <v>2164.3200000000002</v>
      </c>
      <c r="Q10" s="14">
        <v>2500</v>
      </c>
      <c r="R10" s="13"/>
      <c r="S10" s="14">
        <v>2500</v>
      </c>
      <c r="T10" s="14"/>
      <c r="U10" s="14"/>
    </row>
    <row r="11" spans="1:25" ht="13.8" thickBot="1" x14ac:dyDescent="0.3">
      <c r="A11" s="708">
        <v>5776</v>
      </c>
      <c r="B11" s="60" t="s">
        <v>1297</v>
      </c>
      <c r="C11" s="116"/>
      <c r="D11" s="15">
        <v>4000</v>
      </c>
      <c r="E11" s="15">
        <v>4000</v>
      </c>
      <c r="F11" s="15"/>
      <c r="G11" s="15"/>
      <c r="H11" s="15"/>
      <c r="I11" s="15">
        <v>0</v>
      </c>
      <c r="J11" s="15">
        <v>3236.95</v>
      </c>
      <c r="K11" s="16">
        <v>5000</v>
      </c>
      <c r="L11" s="15"/>
      <c r="M11" s="16">
        <v>4000</v>
      </c>
      <c r="N11" s="15"/>
      <c r="O11" s="16">
        <v>4000</v>
      </c>
      <c r="P11" s="15"/>
      <c r="Q11" s="16">
        <v>4000</v>
      </c>
      <c r="R11" s="15"/>
      <c r="S11" s="16">
        <v>4000</v>
      </c>
      <c r="T11" s="16"/>
      <c r="U11" s="16"/>
    </row>
    <row r="12" spans="1:25" x14ac:dyDescent="0.25">
      <c r="A12" s="708"/>
      <c r="B12" s="61" t="s">
        <v>728</v>
      </c>
      <c r="C12" s="117">
        <f t="shared" ref="C12:S12" si="0">SUM(C9:C11)</f>
        <v>143993.04</v>
      </c>
      <c r="D12" s="18">
        <f t="shared" si="0"/>
        <v>154826.14000000001</v>
      </c>
      <c r="E12" s="18">
        <f>SUM(E9:E11)</f>
        <v>161951.34</v>
      </c>
      <c r="F12" s="18">
        <f>SUM(F9:F11)</f>
        <v>144534.15</v>
      </c>
      <c r="G12" s="18">
        <f>SUM(G9:G11)</f>
        <v>113174.07</v>
      </c>
      <c r="H12" s="18">
        <f>SUM(H9:H11)</f>
        <v>84869.32</v>
      </c>
      <c r="I12" s="18">
        <f t="shared" si="0"/>
        <v>74175.16</v>
      </c>
      <c r="J12" s="18">
        <f t="shared" ref="J12" si="1">SUM(J9:J11)</f>
        <v>74474.489999999991</v>
      </c>
      <c r="K12" s="19">
        <f t="shared" ref="K12:O12" si="2">SUM(K9:K11)</f>
        <v>88400</v>
      </c>
      <c r="L12" s="18">
        <f t="shared" si="2"/>
        <v>73756.39</v>
      </c>
      <c r="M12" s="19">
        <f t="shared" si="2"/>
        <v>87800</v>
      </c>
      <c r="N12" s="18">
        <f t="shared" ref="N12" si="3">SUM(N9:N11)</f>
        <v>58767.73</v>
      </c>
      <c r="O12" s="19">
        <f t="shared" si="2"/>
        <v>76500</v>
      </c>
      <c r="P12" s="18">
        <f t="shared" ref="P12" si="4">SUM(P9:P11)</f>
        <v>52147.09</v>
      </c>
      <c r="Q12" s="19">
        <f t="shared" ref="Q12" si="5">SUM(Q9:Q11)</f>
        <v>76500</v>
      </c>
      <c r="R12" s="18">
        <f t="shared" si="0"/>
        <v>29152.9</v>
      </c>
      <c r="S12" s="19">
        <f t="shared" si="0"/>
        <v>77897</v>
      </c>
      <c r="T12" s="19"/>
      <c r="U12" s="19">
        <f>SUM(U9:U11)</f>
        <v>0</v>
      </c>
    </row>
    <row r="13" spans="1:25" x14ac:dyDescent="0.25">
      <c r="A13" s="708"/>
      <c r="B13" s="60"/>
      <c r="C13" s="115"/>
      <c r="D13" s="13"/>
      <c r="E13" s="13"/>
      <c r="F13" s="13"/>
      <c r="G13" s="13"/>
      <c r="H13" s="13"/>
      <c r="I13" s="13"/>
      <c r="J13" s="13"/>
      <c r="K13" s="14"/>
      <c r="L13" s="13"/>
      <c r="M13" s="14"/>
      <c r="N13" s="13"/>
      <c r="O13" s="14"/>
      <c r="P13" s="13"/>
      <c r="Q13" s="14"/>
      <c r="R13" s="13"/>
      <c r="S13" s="14"/>
      <c r="T13" s="14"/>
      <c r="U13" s="14"/>
    </row>
    <row r="14" spans="1:25" x14ac:dyDescent="0.25">
      <c r="A14" s="708"/>
      <c r="B14" s="60"/>
      <c r="C14" s="115"/>
      <c r="D14" s="13"/>
      <c r="E14" s="13"/>
      <c r="F14" s="13"/>
      <c r="G14" s="13"/>
      <c r="H14" s="13"/>
      <c r="I14" s="13"/>
      <c r="J14" s="13"/>
      <c r="K14" s="14"/>
      <c r="L14" s="13"/>
      <c r="M14" s="14"/>
      <c r="N14" s="13"/>
      <c r="O14" s="14"/>
      <c r="P14" s="13"/>
      <c r="Q14" s="14"/>
      <c r="R14" s="13"/>
      <c r="S14" s="14"/>
      <c r="T14" s="14"/>
      <c r="U14" s="14"/>
    </row>
    <row r="15" spans="1:25" ht="13.8" thickBot="1" x14ac:dyDescent="0.3">
      <c r="A15" s="709"/>
      <c r="B15" s="583" t="s">
        <v>1298</v>
      </c>
      <c r="C15" s="577">
        <f t="shared" ref="C15:S15" si="6">+C12</f>
        <v>143993.04</v>
      </c>
      <c r="D15" s="21">
        <f t="shared" si="6"/>
        <v>154826.14000000001</v>
      </c>
      <c r="E15" s="21">
        <f t="shared" si="6"/>
        <v>161951.34</v>
      </c>
      <c r="F15" s="21">
        <f>+F12</f>
        <v>144534.15</v>
      </c>
      <c r="G15" s="21">
        <f>+G12</f>
        <v>113174.07</v>
      </c>
      <c r="H15" s="21">
        <f>+H12</f>
        <v>84869.32</v>
      </c>
      <c r="I15" s="21">
        <f t="shared" si="6"/>
        <v>74175.16</v>
      </c>
      <c r="J15" s="21">
        <f t="shared" ref="J15" si="7">+J12</f>
        <v>74474.489999999991</v>
      </c>
      <c r="K15" s="22">
        <f t="shared" ref="K15:O15" si="8">+K12</f>
        <v>88400</v>
      </c>
      <c r="L15" s="21">
        <f t="shared" si="8"/>
        <v>73756.39</v>
      </c>
      <c r="M15" s="22">
        <f t="shared" si="8"/>
        <v>87800</v>
      </c>
      <c r="N15" s="21">
        <f t="shared" ref="N15" si="9">+N12</f>
        <v>58767.73</v>
      </c>
      <c r="O15" s="22">
        <f t="shared" si="8"/>
        <v>76500</v>
      </c>
      <c r="P15" s="21">
        <f t="shared" ref="P15" si="10">+P12</f>
        <v>52147.09</v>
      </c>
      <c r="Q15" s="22">
        <f t="shared" ref="Q15" si="11">+Q12</f>
        <v>76500</v>
      </c>
      <c r="R15" s="21">
        <f t="shared" si="6"/>
        <v>29152.9</v>
      </c>
      <c r="S15" s="22">
        <f t="shared" si="6"/>
        <v>77897</v>
      </c>
      <c r="T15" s="22">
        <f>+S15</f>
        <v>77897</v>
      </c>
      <c r="U15" s="22">
        <f>+S15</f>
        <v>77897</v>
      </c>
    </row>
    <row r="16" spans="1:25" ht="13.8" thickTop="1" x14ac:dyDescent="0.25">
      <c r="A16" s="703"/>
      <c r="B16" s="584"/>
      <c r="C16" s="24"/>
      <c r="D16" s="24"/>
      <c r="E16" s="24"/>
      <c r="F16" s="24"/>
      <c r="G16" s="24"/>
      <c r="H16" s="24"/>
      <c r="I16" s="24"/>
      <c r="J16" s="24"/>
      <c r="K16" s="24"/>
      <c r="L16" s="24"/>
      <c r="M16" s="24"/>
      <c r="N16" s="24"/>
      <c r="O16" s="24"/>
      <c r="P16" s="24"/>
      <c r="Q16" s="24"/>
      <c r="R16" s="181" t="s">
        <v>732</v>
      </c>
      <c r="S16" s="1001">
        <f>+S15-Q15</f>
        <v>1397</v>
      </c>
      <c r="T16" s="1002">
        <f>ROUND((+S16/Q15),4)</f>
        <v>1.83E-2</v>
      </c>
      <c r="U16" s="73"/>
      <c r="V16" s="23"/>
      <c r="W16" s="25"/>
      <c r="X16" s="25"/>
      <c r="Y16" s="25"/>
    </row>
    <row r="17" spans="1:25" x14ac:dyDescent="0.25">
      <c r="A17" s="703"/>
      <c r="B17" s="584"/>
      <c r="C17" s="23"/>
      <c r="D17" s="23"/>
      <c r="E17" s="23"/>
      <c r="F17" s="23"/>
      <c r="G17" s="23"/>
      <c r="H17" s="23"/>
      <c r="I17" s="23"/>
      <c r="J17" s="23"/>
      <c r="K17" s="23"/>
      <c r="L17" s="23"/>
      <c r="M17" s="23"/>
      <c r="N17" s="23"/>
      <c r="O17" s="23"/>
      <c r="P17" s="23"/>
      <c r="Q17" s="23"/>
      <c r="R17" s="25"/>
      <c r="S17" s="23"/>
      <c r="T17" s="23"/>
      <c r="U17" s="73"/>
      <c r="V17" s="25"/>
      <c r="W17" s="25"/>
      <c r="X17" s="25"/>
      <c r="Y17" s="25"/>
    </row>
    <row r="18" spans="1:25" ht="13.8" thickBot="1" x14ac:dyDescent="0.3">
      <c r="A18" s="703"/>
      <c r="B18" s="584"/>
      <c r="C18" s="24"/>
      <c r="D18" s="24"/>
      <c r="E18" s="24"/>
      <c r="F18" s="24"/>
      <c r="G18" s="24"/>
      <c r="H18" s="24"/>
      <c r="I18" s="24"/>
      <c r="J18" s="24"/>
      <c r="K18" s="24"/>
      <c r="L18" s="24"/>
      <c r="M18" s="24"/>
      <c r="N18" s="24"/>
      <c r="O18" s="24"/>
      <c r="P18" s="24"/>
      <c r="Q18" s="24"/>
      <c r="R18" s="25"/>
      <c r="S18" s="24"/>
      <c r="T18" s="24"/>
      <c r="U18" s="24"/>
      <c r="V18" s="24"/>
      <c r="W18" s="25"/>
      <c r="X18" s="25"/>
      <c r="Y18" s="25"/>
    </row>
    <row r="19" spans="1:25" ht="13.8" thickTop="1" x14ac:dyDescent="0.25">
      <c r="A19" s="718"/>
      <c r="B19" s="349"/>
      <c r="C19" s="350" t="s">
        <v>256</v>
      </c>
      <c r="D19" s="351" t="s">
        <v>256</v>
      </c>
      <c r="E19" s="351" t="s">
        <v>256</v>
      </c>
      <c r="F19" s="194"/>
      <c r="G19" s="194"/>
      <c r="H19" s="194"/>
      <c r="I19" s="194"/>
      <c r="J19" s="352" t="s">
        <v>255</v>
      </c>
      <c r="K19" s="194"/>
      <c r="L19" s="194"/>
      <c r="O19" s="352" t="s">
        <v>255</v>
      </c>
      <c r="P19" s="353" t="s">
        <v>716</v>
      </c>
      <c r="Q19" s="354" t="s">
        <v>730</v>
      </c>
      <c r="R19" s="353" t="s">
        <v>731</v>
      </c>
      <c r="S19" s="355"/>
      <c r="T19" s="550"/>
      <c r="U19" s="354"/>
      <c r="V19" s="24"/>
      <c r="W19" s="25"/>
      <c r="X19" s="25"/>
      <c r="Y19" s="25"/>
    </row>
    <row r="20" spans="1:25" ht="13.8" thickBot="1" x14ac:dyDescent="0.3">
      <c r="A20" s="719" t="s">
        <v>715</v>
      </c>
      <c r="B20" s="356"/>
      <c r="C20" s="357" t="s">
        <v>243</v>
      </c>
      <c r="D20" s="357" t="s">
        <v>244</v>
      </c>
      <c r="E20" s="358" t="s">
        <v>245</v>
      </c>
      <c r="F20" s="194"/>
      <c r="G20" s="194"/>
      <c r="H20" s="194"/>
      <c r="I20" s="194"/>
      <c r="J20" s="359" t="s">
        <v>252</v>
      </c>
      <c r="K20" s="194"/>
      <c r="L20" s="194"/>
      <c r="O20" s="359" t="s">
        <v>469</v>
      </c>
      <c r="P20" s="359" t="s">
        <v>1345</v>
      </c>
      <c r="Q20" s="358" t="s">
        <v>732</v>
      </c>
      <c r="R20" s="360" t="s">
        <v>732</v>
      </c>
      <c r="S20" s="361" t="s">
        <v>733</v>
      </c>
      <c r="T20" s="551"/>
      <c r="U20" s="359"/>
      <c r="V20" s="23"/>
      <c r="W20" s="25"/>
      <c r="X20" s="25"/>
      <c r="Y20" s="25"/>
    </row>
    <row r="21" spans="1:25" ht="13.8" thickTop="1" x14ac:dyDescent="0.25">
      <c r="A21" s="726"/>
      <c r="B21" s="376"/>
      <c r="C21" s="365"/>
      <c r="D21" s="365"/>
      <c r="E21" s="365"/>
      <c r="F21" s="194"/>
      <c r="G21" s="194"/>
      <c r="H21" s="194"/>
      <c r="I21" s="194"/>
      <c r="J21" s="366"/>
      <c r="K21" s="194"/>
      <c r="L21" s="194"/>
      <c r="O21" s="365"/>
      <c r="P21" s="396">
        <f>+O21-J21</f>
        <v>0</v>
      </c>
      <c r="Q21" s="396">
        <f>+P21-O21</f>
        <v>0</v>
      </c>
      <c r="R21" s="374"/>
      <c r="S21" s="367"/>
      <c r="T21" s="553"/>
      <c r="U21" s="368"/>
      <c r="V21" s="23"/>
      <c r="W21" s="25"/>
      <c r="X21" s="25"/>
      <c r="Y21" s="25"/>
    </row>
    <row r="22" spans="1:25" x14ac:dyDescent="0.25">
      <c r="A22" s="724">
        <v>5771</v>
      </c>
      <c r="B22" s="369" t="s">
        <v>1295</v>
      </c>
      <c r="C22" s="373">
        <v>139890.25</v>
      </c>
      <c r="D22" s="373">
        <v>146786.22</v>
      </c>
      <c r="E22" s="373">
        <v>155125.34</v>
      </c>
      <c r="F22" s="194"/>
      <c r="G22" s="194"/>
      <c r="H22" s="194"/>
      <c r="I22" s="194"/>
      <c r="J22" s="372">
        <f>+O9</f>
        <v>70000</v>
      </c>
      <c r="K22" s="194"/>
      <c r="L22" s="194"/>
      <c r="O22" s="393">
        <f>+Q9</f>
        <v>70000</v>
      </c>
      <c r="P22" s="396">
        <f>+S9</f>
        <v>71397</v>
      </c>
      <c r="Q22" s="396">
        <f>+P22-O22</f>
        <v>1397</v>
      </c>
      <c r="R22" s="374">
        <f>IF(O22+P22&lt;&gt;0,IF(O22&lt;&gt;0,IF(Q22&lt;&gt;0,ROUND((+Q22/O22),4),""),1),"")</f>
        <v>0.02</v>
      </c>
      <c r="S22" s="367" t="s">
        <v>2391</v>
      </c>
      <c r="T22" s="553"/>
      <c r="U22" s="368"/>
      <c r="V22" s="23"/>
      <c r="W22" s="25"/>
      <c r="X22" s="25"/>
      <c r="Y22" s="25"/>
    </row>
    <row r="23" spans="1:25" x14ac:dyDescent="0.25">
      <c r="A23" s="724">
        <v>5774</v>
      </c>
      <c r="B23" s="369" t="s">
        <v>1296</v>
      </c>
      <c r="C23" s="373">
        <v>4102.79</v>
      </c>
      <c r="D23" s="373">
        <v>4039.92</v>
      </c>
      <c r="E23" s="373">
        <v>2826</v>
      </c>
      <c r="F23" s="194"/>
      <c r="G23" s="194"/>
      <c r="H23" s="194"/>
      <c r="I23" s="194"/>
      <c r="J23" s="372">
        <f>+O10</f>
        <v>2500</v>
      </c>
      <c r="K23" s="194"/>
      <c r="L23" s="194"/>
      <c r="O23" s="393">
        <f>+Q10</f>
        <v>2500</v>
      </c>
      <c r="P23" s="396">
        <f>+S10</f>
        <v>2500</v>
      </c>
      <c r="Q23" s="396">
        <f t="shared" ref="Q23:Q24" si="12">+P23-O23</f>
        <v>0</v>
      </c>
      <c r="R23" s="374" t="str">
        <f>IF(O23+P23&lt;&gt;0,IF(O23&lt;&gt;0,IF(Q23&lt;&gt;0,ROUND((+Q23/O23),4),""),1),"")</f>
        <v/>
      </c>
      <c r="S23" s="367"/>
      <c r="T23" s="553"/>
      <c r="U23" s="368"/>
      <c r="V23" s="23"/>
      <c r="W23" s="25"/>
      <c r="X23" s="25"/>
      <c r="Y23" s="25"/>
    </row>
    <row r="24" spans="1:25" ht="13.8" thickBot="1" x14ac:dyDescent="0.3">
      <c r="A24" s="724">
        <v>5776</v>
      </c>
      <c r="B24" s="369" t="s">
        <v>1297</v>
      </c>
      <c r="C24" s="371"/>
      <c r="D24" s="371">
        <v>4000</v>
      </c>
      <c r="E24" s="371">
        <v>4000</v>
      </c>
      <c r="F24" s="194"/>
      <c r="G24" s="194"/>
      <c r="H24" s="194"/>
      <c r="I24" s="194"/>
      <c r="J24" s="372">
        <f>+O11</f>
        <v>4000</v>
      </c>
      <c r="K24" s="194"/>
      <c r="L24" s="194"/>
      <c r="O24" s="393">
        <f>+Q11</f>
        <v>4000</v>
      </c>
      <c r="P24" s="396">
        <f>+S11</f>
        <v>4000</v>
      </c>
      <c r="Q24" s="396">
        <f t="shared" si="12"/>
        <v>0</v>
      </c>
      <c r="R24" s="374" t="str">
        <f>IF(O24+P24&lt;&gt;0,IF(O24&lt;&gt;0,IF(Q24&lt;&gt;0,ROUND((+Q24/O24),4),""),1),"")</f>
        <v/>
      </c>
      <c r="S24" s="367"/>
      <c r="T24" s="553"/>
      <c r="U24" s="368"/>
      <c r="V24" s="23"/>
      <c r="W24" s="25"/>
      <c r="X24" s="25"/>
      <c r="Y24" s="25"/>
    </row>
    <row r="25" spans="1:25" x14ac:dyDescent="0.25">
      <c r="A25" s="703"/>
      <c r="B25" s="4"/>
      <c r="C25" s="23"/>
      <c r="D25" s="23"/>
      <c r="E25" s="23"/>
      <c r="F25" s="23"/>
      <c r="G25" s="23"/>
      <c r="H25" s="194"/>
      <c r="I25" s="194"/>
      <c r="J25" s="23"/>
      <c r="K25" s="194"/>
      <c r="L25" s="194"/>
      <c r="O25" s="23"/>
      <c r="P25" s="23"/>
      <c r="Q25" s="23"/>
      <c r="R25" s="25"/>
      <c r="S25" s="23"/>
      <c r="T25" s="23"/>
      <c r="U25" s="23"/>
      <c r="V25" s="23"/>
      <c r="W25" s="25"/>
      <c r="X25" s="25"/>
      <c r="Y25" s="25"/>
    </row>
    <row r="26" spans="1:25" x14ac:dyDescent="0.25">
      <c r="A26" s="703">
        <v>43754</v>
      </c>
      <c r="B26" s="4" t="s">
        <v>735</v>
      </c>
      <c r="C26" s="23"/>
      <c r="D26" s="23"/>
      <c r="E26" s="23"/>
      <c r="F26" s="23"/>
      <c r="G26" s="23"/>
      <c r="H26" s="194"/>
      <c r="I26" s="194"/>
      <c r="J26" s="597">
        <f>SUM(J22:J25)</f>
        <v>76500</v>
      </c>
      <c r="K26" s="194"/>
      <c r="L26" s="194"/>
      <c r="O26" s="597">
        <f>SUM(O22:O25)</f>
        <v>76500</v>
      </c>
      <c r="P26" s="25">
        <f>SUM(P21:P25)</f>
        <v>77897</v>
      </c>
      <c r="Q26" s="25">
        <f>SUM(Q21:Q25)</f>
        <v>1397</v>
      </c>
      <c r="R26" s="598">
        <f>IF(I26+J26&lt;&gt;0,IF(I26&lt;&gt;0,IF(O26&lt;&gt;0,ROUND((+O26/I26),4),""),1),"")</f>
        <v>1</v>
      </c>
      <c r="S26" s="23"/>
      <c r="T26" s="23"/>
      <c r="U26" s="23"/>
      <c r="V26" s="23"/>
      <c r="W26" s="25"/>
      <c r="X26" s="25"/>
      <c r="Y26" s="25"/>
    </row>
    <row r="27" spans="1:25" x14ac:dyDescent="0.25">
      <c r="A27" s="703"/>
      <c r="B27" s="4"/>
      <c r="C27" s="23"/>
      <c r="D27" s="23"/>
      <c r="E27" s="23"/>
      <c r="F27" s="23"/>
      <c r="G27" s="23"/>
      <c r="H27" s="23"/>
      <c r="I27" s="23"/>
      <c r="J27" s="23"/>
      <c r="K27" s="23"/>
      <c r="L27" s="23"/>
      <c r="M27" s="23"/>
      <c r="N27" s="23"/>
      <c r="O27" s="23"/>
      <c r="P27" s="23"/>
      <c r="Q27" s="23"/>
      <c r="R27" s="25"/>
      <c r="S27" s="23"/>
      <c r="T27" s="23"/>
      <c r="U27" s="23"/>
      <c r="V27" s="23"/>
      <c r="W27" s="25"/>
      <c r="X27" s="25"/>
      <c r="Y27" s="25"/>
    </row>
    <row r="28" spans="1:25" x14ac:dyDescent="0.25">
      <c r="A28" s="703"/>
      <c r="B28" s="4"/>
      <c r="C28" s="23"/>
      <c r="D28" s="23"/>
      <c r="E28" s="23"/>
      <c r="F28" s="23"/>
      <c r="G28" s="23"/>
      <c r="H28" s="23"/>
      <c r="I28" s="23"/>
      <c r="J28" s="23"/>
      <c r="K28" s="23"/>
      <c r="L28" s="23"/>
      <c r="M28" s="23"/>
      <c r="N28" s="23"/>
      <c r="O28" s="23"/>
      <c r="P28" s="23"/>
      <c r="Q28" s="23"/>
      <c r="R28" s="25"/>
      <c r="S28" s="23"/>
      <c r="T28" s="23"/>
      <c r="U28" s="23"/>
      <c r="V28" s="23"/>
      <c r="W28" s="25"/>
      <c r="X28" s="25"/>
      <c r="Y28" s="25"/>
    </row>
    <row r="29" spans="1:25" x14ac:dyDescent="0.25">
      <c r="A29" s="703"/>
      <c r="B29" s="4"/>
      <c r="C29" s="23"/>
      <c r="D29" s="23"/>
      <c r="E29" s="23"/>
      <c r="F29" s="23"/>
      <c r="G29" s="23"/>
      <c r="H29" s="23"/>
      <c r="I29" s="23"/>
      <c r="J29" s="23"/>
      <c r="K29" s="23"/>
      <c r="L29" s="23"/>
      <c r="M29" s="23"/>
      <c r="N29" s="23"/>
      <c r="O29" s="23"/>
      <c r="P29" s="23"/>
      <c r="Q29" s="23"/>
      <c r="R29" s="25"/>
      <c r="S29" s="23"/>
      <c r="T29" s="23"/>
      <c r="U29" s="23"/>
      <c r="V29" s="23"/>
      <c r="W29" s="25"/>
      <c r="X29" s="25"/>
      <c r="Y29" s="25"/>
    </row>
    <row r="30" spans="1:25" x14ac:dyDescent="0.25">
      <c r="A30" s="703"/>
      <c r="B30" s="4"/>
      <c r="C30" s="23"/>
      <c r="D30" s="23"/>
      <c r="E30" s="23"/>
      <c r="F30" s="23"/>
      <c r="G30" s="23"/>
      <c r="H30" s="23"/>
      <c r="I30" s="23"/>
      <c r="J30" s="23"/>
      <c r="K30" s="23"/>
      <c r="L30" s="23"/>
      <c r="M30" s="23"/>
      <c r="N30" s="23"/>
      <c r="O30" s="23"/>
      <c r="P30" s="23"/>
      <c r="Q30" s="23"/>
      <c r="R30" s="25"/>
      <c r="S30" s="23"/>
      <c r="T30" s="23"/>
      <c r="U30" s="23"/>
      <c r="V30" s="23"/>
      <c r="W30" s="25"/>
      <c r="X30" s="25"/>
      <c r="Y30" s="25"/>
    </row>
    <row r="31" spans="1:25" x14ac:dyDescent="0.25">
      <c r="A31" s="703"/>
      <c r="B31" s="4"/>
      <c r="C31" s="23"/>
      <c r="D31" s="23"/>
      <c r="E31" s="23"/>
      <c r="F31" s="23"/>
      <c r="G31" s="23"/>
      <c r="H31" s="23"/>
      <c r="I31" s="23"/>
      <c r="J31" s="23"/>
      <c r="K31" s="23"/>
      <c r="L31" s="23"/>
      <c r="M31" s="23"/>
      <c r="N31" s="23"/>
      <c r="O31" s="23"/>
      <c r="P31" s="23"/>
      <c r="Q31" s="23"/>
      <c r="R31" s="25"/>
      <c r="S31" s="23"/>
      <c r="T31" s="23"/>
      <c r="U31" s="23"/>
      <c r="V31" s="23"/>
      <c r="W31" s="25"/>
      <c r="X31" s="25"/>
      <c r="Y31" s="25"/>
    </row>
    <row r="32" spans="1:25" x14ac:dyDescent="0.25">
      <c r="A32" s="703"/>
      <c r="B32" s="4"/>
      <c r="C32" s="23"/>
      <c r="D32" s="23"/>
      <c r="E32" s="23"/>
      <c r="F32" s="23"/>
      <c r="G32" s="23"/>
      <c r="H32" s="23"/>
      <c r="I32" s="23"/>
      <c r="J32" s="23"/>
      <c r="K32" s="23"/>
      <c r="L32" s="23"/>
      <c r="M32" s="23"/>
      <c r="N32" s="23"/>
      <c r="O32" s="23"/>
      <c r="P32" s="23"/>
      <c r="Q32" s="23"/>
      <c r="R32" s="25"/>
      <c r="S32" s="23"/>
      <c r="T32" s="23"/>
      <c r="U32" s="23"/>
      <c r="V32" s="23"/>
      <c r="W32" s="25"/>
      <c r="X32" s="25"/>
      <c r="Y32" s="25"/>
    </row>
    <row r="33" spans="1:25" x14ac:dyDescent="0.25">
      <c r="A33" s="703"/>
      <c r="B33" s="4"/>
      <c r="C33" s="23"/>
      <c r="D33" s="23"/>
      <c r="E33" s="23"/>
      <c r="F33" s="23"/>
      <c r="G33" s="23"/>
      <c r="H33" s="23"/>
      <c r="I33" s="23"/>
      <c r="J33" s="23"/>
      <c r="K33" s="23"/>
      <c r="L33" s="23"/>
      <c r="M33" s="23"/>
      <c r="N33" s="23"/>
      <c r="O33" s="23"/>
      <c r="P33" s="23"/>
      <c r="Q33" s="23"/>
      <c r="R33" s="25"/>
      <c r="S33" s="23"/>
      <c r="T33" s="23"/>
      <c r="U33" s="23"/>
      <c r="V33" s="23"/>
      <c r="W33" s="25"/>
      <c r="X33" s="25"/>
      <c r="Y33" s="25"/>
    </row>
    <row r="34" spans="1:25" x14ac:dyDescent="0.25">
      <c r="A34" s="703"/>
      <c r="B34" s="4"/>
      <c r="C34" s="23"/>
      <c r="D34" s="23"/>
      <c r="E34" s="23"/>
      <c r="F34" s="23"/>
      <c r="G34" s="23"/>
      <c r="H34" s="23"/>
      <c r="I34" s="23"/>
      <c r="J34" s="23"/>
      <c r="K34" s="23"/>
      <c r="L34" s="23"/>
      <c r="M34" s="23"/>
      <c r="N34" s="23"/>
      <c r="O34" s="23"/>
      <c r="P34" s="23"/>
      <c r="Q34" s="23"/>
      <c r="R34" s="25"/>
      <c r="S34" s="23"/>
      <c r="T34" s="23"/>
      <c r="U34" s="23"/>
      <c r="V34" s="23"/>
      <c r="W34" s="25"/>
      <c r="X34" s="25"/>
      <c r="Y34" s="25"/>
    </row>
    <row r="35" spans="1:25" x14ac:dyDescent="0.25">
      <c r="A35" s="703"/>
      <c r="B35" s="4"/>
      <c r="C35" s="23"/>
      <c r="D35" s="23"/>
      <c r="E35" s="23"/>
      <c r="F35" s="23"/>
      <c r="G35" s="23"/>
      <c r="H35" s="23"/>
      <c r="I35" s="23"/>
      <c r="J35" s="23"/>
      <c r="K35" s="23"/>
      <c r="L35" s="23"/>
      <c r="M35" s="23"/>
      <c r="N35" s="23"/>
      <c r="O35" s="23"/>
      <c r="P35" s="23"/>
      <c r="Q35" s="23"/>
      <c r="R35" s="25"/>
      <c r="S35" s="23"/>
      <c r="T35" s="23"/>
      <c r="U35" s="23"/>
      <c r="V35" s="23"/>
      <c r="W35" s="25"/>
      <c r="X35" s="25"/>
      <c r="Y35" s="25"/>
    </row>
    <row r="36" spans="1:25" x14ac:dyDescent="0.25">
      <c r="A36" s="703"/>
      <c r="B36" s="4"/>
      <c r="C36" s="23"/>
      <c r="D36" s="23"/>
      <c r="E36" s="23"/>
      <c r="F36" s="23"/>
      <c r="G36" s="23"/>
      <c r="H36" s="23"/>
      <c r="I36" s="23"/>
      <c r="J36" s="23"/>
      <c r="K36" s="23"/>
      <c r="L36" s="23"/>
      <c r="M36" s="23"/>
      <c r="N36" s="23"/>
      <c r="O36" s="23"/>
      <c r="P36" s="23"/>
      <c r="Q36" s="23"/>
      <c r="R36" s="25"/>
      <c r="S36" s="23"/>
      <c r="T36" s="23"/>
      <c r="U36" s="23"/>
      <c r="V36" s="23"/>
      <c r="W36" s="25"/>
      <c r="X36" s="25"/>
      <c r="Y36" s="25"/>
    </row>
    <row r="37" spans="1:25" x14ac:dyDescent="0.25">
      <c r="A37" s="703"/>
      <c r="B37" s="4"/>
      <c r="C37" s="23"/>
      <c r="D37" s="23"/>
      <c r="E37" s="23"/>
      <c r="F37" s="23"/>
      <c r="G37" s="23"/>
      <c r="H37" s="23"/>
      <c r="I37" s="23"/>
      <c r="J37" s="23"/>
      <c r="K37" s="23"/>
      <c r="L37" s="23"/>
      <c r="M37" s="23"/>
      <c r="N37" s="23"/>
      <c r="O37" s="23"/>
      <c r="P37" s="23"/>
      <c r="Q37" s="23"/>
      <c r="R37" s="25"/>
      <c r="S37" s="23"/>
      <c r="T37" s="23"/>
      <c r="U37" s="23"/>
      <c r="V37" s="23"/>
      <c r="W37" s="25"/>
      <c r="X37" s="25"/>
      <c r="Y37" s="25"/>
    </row>
    <row r="38" spans="1:25" x14ac:dyDescent="0.25">
      <c r="A38" s="703"/>
      <c r="B38" s="4"/>
      <c r="C38" s="23"/>
      <c r="D38" s="23"/>
      <c r="E38" s="23"/>
      <c r="F38" s="23"/>
      <c r="G38" s="23"/>
      <c r="H38" s="23"/>
      <c r="I38" s="23"/>
      <c r="J38" s="23"/>
      <c r="K38" s="23"/>
      <c r="L38" s="23"/>
      <c r="M38" s="23"/>
      <c r="N38" s="23"/>
      <c r="O38" s="23"/>
      <c r="P38" s="23"/>
      <c r="Q38" s="23"/>
      <c r="R38" s="25"/>
      <c r="S38" s="23"/>
      <c r="T38" s="23"/>
      <c r="U38" s="23"/>
      <c r="V38" s="23"/>
      <c r="W38" s="25"/>
      <c r="X38" s="25"/>
      <c r="Y38" s="25"/>
    </row>
    <row r="39" spans="1:25" x14ac:dyDescent="0.25">
      <c r="A39" s="703"/>
      <c r="B39" s="4"/>
      <c r="C39" s="23"/>
      <c r="D39" s="23"/>
      <c r="E39" s="23"/>
      <c r="F39" s="23"/>
      <c r="G39" s="23"/>
      <c r="H39" s="23"/>
      <c r="I39" s="23"/>
      <c r="J39" s="23"/>
      <c r="K39" s="23"/>
      <c r="L39" s="23"/>
      <c r="M39" s="23"/>
      <c r="N39" s="23"/>
      <c r="O39" s="23"/>
      <c r="P39" s="23"/>
      <c r="Q39" s="23"/>
      <c r="R39" s="25"/>
      <c r="S39" s="23"/>
      <c r="T39" s="23"/>
      <c r="U39" s="23"/>
      <c r="V39" s="23"/>
      <c r="W39" s="25"/>
      <c r="X39" s="25"/>
      <c r="Y39" s="25"/>
    </row>
    <row r="40" spans="1:25" x14ac:dyDescent="0.25">
      <c r="A40" s="703"/>
      <c r="B40" s="4"/>
      <c r="C40" s="23"/>
      <c r="D40" s="23"/>
      <c r="E40" s="23"/>
      <c r="F40" s="23"/>
      <c r="G40" s="23"/>
      <c r="H40" s="23"/>
      <c r="I40" s="23"/>
      <c r="J40" s="23"/>
      <c r="K40" s="23"/>
      <c r="L40" s="23"/>
      <c r="M40" s="23"/>
      <c r="N40" s="23"/>
      <c r="O40" s="23"/>
      <c r="P40" s="23"/>
      <c r="Q40" s="23"/>
      <c r="R40" s="25"/>
      <c r="S40" s="23"/>
      <c r="T40" s="23"/>
      <c r="U40" s="23"/>
      <c r="V40" s="23"/>
      <c r="W40" s="25"/>
      <c r="X40" s="25"/>
      <c r="Y40" s="25"/>
    </row>
    <row r="41" spans="1:25" x14ac:dyDescent="0.25">
      <c r="A41" s="703"/>
      <c r="B41" s="4"/>
      <c r="C41" s="23"/>
      <c r="D41" s="23"/>
      <c r="E41" s="23"/>
      <c r="F41" s="23"/>
      <c r="G41" s="23"/>
      <c r="H41" s="23"/>
      <c r="I41" s="23"/>
      <c r="J41" s="23"/>
      <c r="K41" s="23"/>
      <c r="L41" s="23"/>
      <c r="M41" s="23"/>
      <c r="N41" s="23"/>
      <c r="O41" s="23"/>
      <c r="P41" s="23"/>
      <c r="Q41" s="23"/>
      <c r="R41" s="25"/>
      <c r="S41" s="23"/>
      <c r="T41" s="23"/>
      <c r="U41" s="23"/>
      <c r="V41" s="23"/>
      <c r="W41" s="25"/>
      <c r="X41" s="25"/>
      <c r="Y41" s="25"/>
    </row>
    <row r="42" spans="1:25" x14ac:dyDescent="0.25">
      <c r="A42" s="703"/>
      <c r="B42" s="4"/>
      <c r="C42" s="23"/>
      <c r="D42" s="23"/>
      <c r="E42" s="23"/>
      <c r="F42" s="23"/>
      <c r="G42" s="23"/>
      <c r="H42" s="23"/>
      <c r="I42" s="23"/>
      <c r="J42" s="23"/>
      <c r="K42" s="23"/>
      <c r="L42" s="23"/>
      <c r="M42" s="23"/>
      <c r="N42" s="23"/>
      <c r="O42" s="23"/>
      <c r="P42" s="23"/>
      <c r="Q42" s="23"/>
      <c r="R42" s="25"/>
      <c r="S42" s="23"/>
      <c r="T42" s="23"/>
      <c r="U42" s="23"/>
      <c r="V42" s="23"/>
      <c r="W42" s="25"/>
      <c r="X42" s="25"/>
      <c r="Y42" s="25"/>
    </row>
    <row r="43" spans="1:25" x14ac:dyDescent="0.25">
      <c r="A43" s="703"/>
      <c r="B43" s="4"/>
      <c r="C43" s="23"/>
      <c r="D43" s="23"/>
      <c r="E43" s="23"/>
      <c r="F43" s="23"/>
      <c r="G43" s="23"/>
      <c r="H43" s="23"/>
      <c r="I43" s="23"/>
      <c r="J43" s="23"/>
      <c r="K43" s="23"/>
      <c r="L43" s="23"/>
      <c r="M43" s="23"/>
      <c r="N43" s="23"/>
      <c r="O43" s="23"/>
      <c r="P43" s="23"/>
      <c r="Q43" s="23"/>
      <c r="R43" s="25"/>
      <c r="S43" s="23"/>
      <c r="T43" s="23"/>
      <c r="U43" s="23"/>
      <c r="V43" s="23"/>
      <c r="W43" s="25"/>
      <c r="X43" s="25"/>
      <c r="Y43" s="25"/>
    </row>
    <row r="44" spans="1:25" x14ac:dyDescent="0.25">
      <c r="A44" s="703"/>
      <c r="B44" s="4"/>
      <c r="C44" s="23"/>
      <c r="D44" s="23"/>
      <c r="E44" s="23"/>
      <c r="F44" s="23"/>
      <c r="G44" s="23"/>
      <c r="H44" s="23"/>
      <c r="I44" s="23"/>
      <c r="J44" s="23"/>
      <c r="K44" s="23"/>
      <c r="L44" s="23"/>
      <c r="M44" s="23"/>
      <c r="N44" s="23"/>
      <c r="O44" s="23"/>
      <c r="P44" s="23"/>
      <c r="Q44" s="23"/>
      <c r="R44" s="25"/>
      <c r="S44" s="23"/>
      <c r="T44" s="23"/>
      <c r="U44" s="23"/>
      <c r="V44" s="23"/>
      <c r="W44" s="25"/>
      <c r="X44" s="25"/>
      <c r="Y44" s="25"/>
    </row>
    <row r="45" spans="1:25" x14ac:dyDescent="0.25">
      <c r="A45" s="703"/>
      <c r="B45" s="4"/>
      <c r="C45" s="23"/>
      <c r="D45" s="23"/>
      <c r="E45" s="23"/>
      <c r="F45" s="23"/>
      <c r="G45" s="23"/>
      <c r="H45" s="23"/>
      <c r="I45" s="23"/>
      <c r="J45" s="23"/>
      <c r="K45" s="23"/>
      <c r="L45" s="23"/>
      <c r="M45" s="23"/>
      <c r="N45" s="23"/>
      <c r="O45" s="23"/>
      <c r="P45" s="23"/>
      <c r="Q45" s="23"/>
      <c r="R45" s="25"/>
      <c r="S45" s="23"/>
      <c r="T45" s="23"/>
      <c r="U45" s="23"/>
      <c r="V45" s="23"/>
      <c r="W45" s="25"/>
      <c r="X45" s="25"/>
      <c r="Y45" s="25"/>
    </row>
    <row r="46" spans="1:25" x14ac:dyDescent="0.25">
      <c r="A46" s="703"/>
      <c r="B46" s="4"/>
      <c r="C46" s="23"/>
      <c r="D46" s="23"/>
      <c r="E46" s="23"/>
      <c r="F46" s="23"/>
      <c r="G46" s="23"/>
      <c r="H46" s="23"/>
      <c r="I46" s="23"/>
      <c r="J46" s="23"/>
      <c r="K46" s="23"/>
      <c r="L46" s="23"/>
      <c r="M46" s="23"/>
      <c r="N46" s="23"/>
      <c r="O46" s="23"/>
      <c r="P46" s="23"/>
      <c r="Q46" s="23"/>
      <c r="R46" s="25"/>
      <c r="S46" s="23"/>
      <c r="T46" s="23"/>
      <c r="U46" s="23"/>
      <c r="V46" s="23"/>
      <c r="W46" s="25"/>
      <c r="X46" s="25"/>
      <c r="Y46" s="25"/>
    </row>
    <row r="47" spans="1:25" x14ac:dyDescent="0.25">
      <c r="A47" s="703"/>
      <c r="B47" s="4"/>
      <c r="C47" s="23"/>
      <c r="D47" s="23"/>
      <c r="E47" s="23"/>
      <c r="F47" s="23"/>
      <c r="G47" s="23"/>
      <c r="H47" s="23"/>
      <c r="I47" s="23"/>
      <c r="J47" s="23"/>
      <c r="K47" s="23"/>
      <c r="L47" s="23"/>
      <c r="M47" s="23"/>
      <c r="N47" s="23"/>
      <c r="O47" s="23"/>
      <c r="P47" s="23"/>
      <c r="Q47" s="23"/>
      <c r="R47" s="25"/>
      <c r="S47" s="23"/>
      <c r="T47" s="23"/>
      <c r="U47" s="23"/>
      <c r="V47" s="23"/>
      <c r="W47" s="25"/>
      <c r="X47" s="25"/>
      <c r="Y47" s="25"/>
    </row>
    <row r="48" spans="1:25" x14ac:dyDescent="0.25">
      <c r="A48" s="703"/>
      <c r="B48" s="4"/>
      <c r="C48" s="23"/>
      <c r="D48" s="23"/>
      <c r="E48" s="23"/>
      <c r="F48" s="23"/>
      <c r="G48" s="23"/>
      <c r="H48" s="23"/>
      <c r="I48" s="23"/>
      <c r="J48" s="23"/>
      <c r="K48" s="23"/>
      <c r="L48" s="23"/>
      <c r="M48" s="23"/>
      <c r="N48" s="23"/>
      <c r="O48" s="23"/>
      <c r="P48" s="23"/>
      <c r="Q48" s="23"/>
      <c r="R48" s="25"/>
      <c r="S48" s="23"/>
      <c r="T48" s="23"/>
      <c r="U48" s="23"/>
      <c r="V48" s="23"/>
      <c r="W48" s="25"/>
      <c r="X48" s="25"/>
      <c r="Y48" s="25"/>
    </row>
    <row r="49" spans="1:25" x14ac:dyDescent="0.25">
      <c r="A49" s="703"/>
      <c r="B49" s="4"/>
      <c r="C49" s="23"/>
      <c r="D49" s="23"/>
      <c r="E49" s="23"/>
      <c r="F49" s="23"/>
      <c r="G49" s="23"/>
      <c r="H49" s="23"/>
      <c r="I49" s="23"/>
      <c r="J49" s="23"/>
      <c r="K49" s="23"/>
      <c r="L49" s="23"/>
      <c r="M49" s="23"/>
      <c r="N49" s="23"/>
      <c r="O49" s="23"/>
      <c r="P49" s="23"/>
      <c r="Q49" s="23"/>
      <c r="R49" s="25"/>
      <c r="S49" s="23"/>
      <c r="T49" s="23"/>
      <c r="U49" s="23"/>
      <c r="V49" s="23"/>
      <c r="W49" s="25"/>
      <c r="X49" s="25"/>
      <c r="Y49" s="25"/>
    </row>
    <row r="50" spans="1:25" x14ac:dyDescent="0.25">
      <c r="A50" s="703"/>
      <c r="B50" s="4"/>
      <c r="C50" s="23"/>
      <c r="D50" s="23"/>
      <c r="E50" s="23"/>
      <c r="F50" s="23"/>
      <c r="G50" s="23"/>
      <c r="H50" s="23"/>
      <c r="I50" s="23"/>
      <c r="J50" s="23"/>
      <c r="K50" s="23"/>
      <c r="L50" s="23"/>
      <c r="M50" s="23"/>
      <c r="N50" s="23"/>
      <c r="O50" s="23"/>
      <c r="P50" s="23"/>
      <c r="Q50" s="23"/>
      <c r="R50" s="25"/>
      <c r="S50" s="23"/>
      <c r="T50" s="23"/>
      <c r="U50" s="23"/>
      <c r="V50" s="23"/>
      <c r="W50" s="25"/>
      <c r="X50" s="25"/>
      <c r="Y50" s="25"/>
    </row>
    <row r="51" spans="1:25" x14ac:dyDescent="0.25">
      <c r="A51" s="703"/>
      <c r="B51" s="4"/>
      <c r="C51" s="23"/>
      <c r="D51" s="23"/>
      <c r="E51" s="23"/>
      <c r="F51" s="23"/>
      <c r="G51" s="23"/>
      <c r="H51" s="23"/>
      <c r="I51" s="23"/>
      <c r="J51" s="23"/>
      <c r="K51" s="23"/>
      <c r="L51" s="23"/>
      <c r="M51" s="23"/>
      <c r="N51" s="23"/>
      <c r="O51" s="23"/>
      <c r="P51" s="23"/>
      <c r="Q51" s="23"/>
      <c r="R51" s="25"/>
      <c r="S51" s="23"/>
      <c r="T51" s="23"/>
      <c r="U51" s="23"/>
      <c r="V51" s="23"/>
      <c r="W51" s="25"/>
      <c r="X51" s="25"/>
      <c r="Y51" s="25"/>
    </row>
    <row r="52" spans="1:25" x14ac:dyDescent="0.25">
      <c r="A52" s="703"/>
      <c r="B52" s="4"/>
      <c r="C52" s="23"/>
      <c r="D52" s="23"/>
      <c r="E52" s="23"/>
      <c r="F52" s="23"/>
      <c r="G52" s="23"/>
      <c r="H52" s="23"/>
      <c r="I52" s="23"/>
      <c r="J52" s="23"/>
      <c r="K52" s="23"/>
      <c r="L52" s="23"/>
      <c r="M52" s="23"/>
      <c r="N52" s="23"/>
      <c r="O52" s="23"/>
      <c r="P52" s="23"/>
      <c r="Q52" s="23"/>
      <c r="R52" s="25"/>
      <c r="S52" s="23"/>
      <c r="T52" s="23"/>
      <c r="U52" s="23"/>
      <c r="V52" s="23"/>
      <c r="W52" s="25"/>
      <c r="X52" s="25"/>
      <c r="Y52" s="25"/>
    </row>
    <row r="53" spans="1:25" x14ac:dyDescent="0.25">
      <c r="A53" s="703"/>
      <c r="B53" s="4"/>
      <c r="C53" s="23"/>
      <c r="D53" s="23"/>
      <c r="E53" s="23"/>
      <c r="F53" s="23"/>
      <c r="G53" s="23"/>
      <c r="H53" s="23"/>
      <c r="I53" s="23"/>
      <c r="J53" s="23"/>
      <c r="K53" s="23"/>
      <c r="L53" s="23"/>
      <c r="M53" s="23"/>
      <c r="N53" s="23"/>
      <c r="O53" s="23"/>
      <c r="P53" s="23"/>
      <c r="Q53" s="23"/>
      <c r="R53" s="25"/>
      <c r="S53" s="23"/>
      <c r="T53" s="23"/>
      <c r="U53" s="23"/>
      <c r="V53" s="23"/>
      <c r="W53" s="25"/>
      <c r="X53" s="25"/>
      <c r="Y53" s="25"/>
    </row>
    <row r="54" spans="1:25" x14ac:dyDescent="0.25">
      <c r="A54" s="703"/>
      <c r="B54" s="4"/>
      <c r="C54" s="23"/>
      <c r="D54" s="23"/>
      <c r="E54" s="23"/>
      <c r="F54" s="23"/>
      <c r="G54" s="23"/>
      <c r="H54" s="23"/>
      <c r="I54" s="23"/>
      <c r="J54" s="23"/>
      <c r="K54" s="23"/>
      <c r="L54" s="23"/>
      <c r="M54" s="23"/>
      <c r="N54" s="23"/>
      <c r="O54" s="23"/>
      <c r="P54" s="23"/>
      <c r="Q54" s="23"/>
      <c r="R54" s="25"/>
      <c r="S54" s="23"/>
      <c r="T54" s="23"/>
      <c r="U54" s="23"/>
      <c r="V54" s="23"/>
      <c r="W54" s="25"/>
      <c r="X54" s="25"/>
      <c r="Y54" s="25"/>
    </row>
    <row r="55" spans="1:25" x14ac:dyDescent="0.25">
      <c r="A55" s="703"/>
      <c r="B55" s="4"/>
      <c r="C55" s="23"/>
      <c r="D55" s="23"/>
      <c r="E55" s="23"/>
      <c r="F55" s="23"/>
      <c r="G55" s="23"/>
      <c r="H55" s="23"/>
      <c r="I55" s="23"/>
      <c r="J55" s="23"/>
      <c r="K55" s="23"/>
      <c r="L55" s="23"/>
      <c r="M55" s="23"/>
      <c r="N55" s="23"/>
      <c r="O55" s="23"/>
      <c r="P55" s="23"/>
      <c r="Q55" s="23"/>
      <c r="R55" s="25"/>
      <c r="S55" s="23"/>
      <c r="T55" s="23"/>
      <c r="U55" s="23"/>
      <c r="V55" s="23"/>
      <c r="W55" s="25"/>
      <c r="X55" s="25"/>
      <c r="Y55" s="25"/>
    </row>
    <row r="56" spans="1:25" x14ac:dyDescent="0.25">
      <c r="A56" s="703"/>
      <c r="B56" s="4"/>
      <c r="C56" s="23"/>
      <c r="D56" s="23"/>
      <c r="E56" s="23"/>
      <c r="F56" s="23"/>
      <c r="G56" s="23"/>
      <c r="H56" s="23"/>
      <c r="I56" s="23"/>
      <c r="J56" s="23"/>
      <c r="K56" s="23"/>
      <c r="L56" s="23"/>
      <c r="M56" s="23"/>
      <c r="N56" s="23"/>
      <c r="O56" s="23"/>
      <c r="P56" s="23"/>
      <c r="Q56" s="23"/>
      <c r="R56" s="25"/>
      <c r="S56" s="23"/>
      <c r="T56" s="23"/>
      <c r="U56" s="23"/>
      <c r="V56" s="23"/>
      <c r="W56" s="25"/>
      <c r="X56" s="25"/>
      <c r="Y56" s="25"/>
    </row>
    <row r="57" spans="1:25" x14ac:dyDescent="0.25">
      <c r="A57" s="703"/>
      <c r="B57" s="4"/>
      <c r="C57" s="23"/>
      <c r="D57" s="23"/>
      <c r="E57" s="23"/>
      <c r="F57" s="23"/>
      <c r="G57" s="23"/>
      <c r="H57" s="23"/>
      <c r="I57" s="23"/>
      <c r="J57" s="23"/>
      <c r="K57" s="23"/>
      <c r="L57" s="23"/>
      <c r="M57" s="23"/>
      <c r="N57" s="23"/>
      <c r="O57" s="23"/>
      <c r="P57" s="23"/>
      <c r="Q57" s="23"/>
      <c r="R57" s="25"/>
      <c r="S57" s="23"/>
      <c r="T57" s="23"/>
      <c r="U57" s="23"/>
      <c r="V57" s="23"/>
      <c r="W57" s="25"/>
      <c r="X57" s="25"/>
      <c r="Y57" s="25"/>
    </row>
    <row r="58" spans="1:25" x14ac:dyDescent="0.25">
      <c r="A58" s="703"/>
      <c r="B58" s="4"/>
      <c r="C58" s="23"/>
      <c r="D58" s="23"/>
      <c r="E58" s="23"/>
      <c r="F58" s="23"/>
      <c r="G58" s="23"/>
      <c r="H58" s="23"/>
      <c r="I58" s="23"/>
      <c r="J58" s="23"/>
      <c r="K58" s="23"/>
      <c r="L58" s="23"/>
      <c r="M58" s="23"/>
      <c r="N58" s="23"/>
      <c r="O58" s="23"/>
      <c r="P58" s="23"/>
      <c r="Q58" s="23"/>
      <c r="R58" s="25"/>
      <c r="S58" s="23"/>
      <c r="T58" s="23"/>
      <c r="U58" s="23"/>
      <c r="V58" s="23"/>
      <c r="W58" s="25"/>
      <c r="X58" s="25"/>
      <c r="Y58" s="25"/>
    </row>
    <row r="59" spans="1:25" x14ac:dyDescent="0.25">
      <c r="A59" s="703"/>
      <c r="B59" s="4"/>
      <c r="C59" s="23"/>
      <c r="D59" s="23"/>
      <c r="E59" s="23"/>
      <c r="F59" s="23"/>
      <c r="G59" s="23"/>
      <c r="H59" s="23"/>
      <c r="I59" s="23"/>
      <c r="J59" s="23"/>
      <c r="K59" s="23"/>
      <c r="L59" s="23"/>
      <c r="M59" s="23"/>
      <c r="N59" s="23"/>
      <c r="O59" s="23"/>
      <c r="P59" s="23"/>
      <c r="Q59" s="23"/>
      <c r="R59" s="25"/>
      <c r="S59" s="23"/>
      <c r="T59" s="23"/>
      <c r="U59" s="23"/>
      <c r="V59" s="23"/>
      <c r="W59" s="25"/>
      <c r="X59" s="25"/>
      <c r="Y59" s="25"/>
    </row>
    <row r="60" spans="1:25" x14ac:dyDescent="0.25">
      <c r="A60" s="703"/>
      <c r="B60" s="4"/>
      <c r="C60" s="23"/>
      <c r="D60" s="23"/>
      <c r="E60" s="23"/>
      <c r="F60" s="23"/>
      <c r="G60" s="23"/>
      <c r="H60" s="23"/>
      <c r="I60" s="23"/>
      <c r="J60" s="23"/>
      <c r="K60" s="23"/>
      <c r="L60" s="23"/>
      <c r="M60" s="23"/>
      <c r="N60" s="23"/>
      <c r="O60" s="23"/>
      <c r="P60" s="23"/>
      <c r="Q60" s="23"/>
      <c r="R60" s="25"/>
      <c r="S60" s="23"/>
      <c r="T60" s="23"/>
      <c r="U60" s="23"/>
      <c r="V60" s="23"/>
      <c r="W60" s="25"/>
      <c r="X60" s="25"/>
      <c r="Y60" s="25"/>
    </row>
    <row r="61" spans="1:25" x14ac:dyDescent="0.25">
      <c r="A61" s="703"/>
      <c r="B61" s="4"/>
      <c r="C61" s="23"/>
      <c r="D61" s="23"/>
      <c r="E61" s="23"/>
      <c r="F61" s="23"/>
      <c r="G61" s="23"/>
      <c r="H61" s="23"/>
      <c r="I61" s="23"/>
      <c r="J61" s="23"/>
      <c r="K61" s="23"/>
      <c r="L61" s="23"/>
      <c r="M61" s="23"/>
      <c r="N61" s="23"/>
      <c r="O61" s="23"/>
      <c r="P61" s="23"/>
      <c r="Q61" s="23"/>
      <c r="R61" s="25"/>
      <c r="S61" s="23"/>
      <c r="T61" s="23"/>
      <c r="U61" s="23"/>
      <c r="V61" s="23"/>
      <c r="W61" s="25"/>
      <c r="X61" s="25"/>
      <c r="Y61" s="25"/>
    </row>
    <row r="62" spans="1:25" x14ac:dyDescent="0.25">
      <c r="A62" s="703"/>
      <c r="B62" s="4"/>
      <c r="C62" s="23"/>
      <c r="D62" s="23"/>
      <c r="E62" s="23"/>
      <c r="F62" s="23"/>
      <c r="G62" s="23"/>
      <c r="H62" s="23"/>
      <c r="I62" s="23"/>
      <c r="J62" s="23"/>
      <c r="K62" s="23"/>
      <c r="L62" s="23"/>
      <c r="M62" s="23"/>
      <c r="N62" s="23"/>
      <c r="O62" s="23"/>
      <c r="P62" s="23"/>
      <c r="Q62" s="23"/>
      <c r="R62" s="25"/>
      <c r="S62" s="23"/>
      <c r="T62" s="23"/>
      <c r="U62" s="23"/>
      <c r="V62" s="23"/>
      <c r="W62" s="25"/>
      <c r="X62" s="25"/>
      <c r="Y62" s="25"/>
    </row>
    <row r="63" spans="1:25" x14ac:dyDescent="0.25">
      <c r="A63" s="703"/>
      <c r="B63" s="4"/>
      <c r="C63" s="23"/>
      <c r="D63" s="23"/>
      <c r="E63" s="23"/>
      <c r="F63" s="23"/>
      <c r="G63" s="23"/>
      <c r="H63" s="23"/>
      <c r="I63" s="23"/>
      <c r="J63" s="23"/>
      <c r="K63" s="23"/>
      <c r="L63" s="23"/>
      <c r="M63" s="23"/>
      <c r="N63" s="23"/>
      <c r="O63" s="23"/>
      <c r="P63" s="23"/>
      <c r="Q63" s="23"/>
      <c r="R63" s="25"/>
      <c r="S63" s="23"/>
      <c r="T63" s="23"/>
      <c r="U63" s="23"/>
      <c r="V63" s="23"/>
      <c r="W63" s="25"/>
      <c r="X63" s="25"/>
      <c r="Y63" s="25"/>
    </row>
    <row r="64" spans="1:25" x14ac:dyDescent="0.25">
      <c r="A64" s="703"/>
      <c r="B64" s="4"/>
      <c r="C64" s="23"/>
      <c r="D64" s="23"/>
      <c r="E64" s="23"/>
      <c r="F64" s="23"/>
      <c r="G64" s="23"/>
      <c r="H64" s="23"/>
      <c r="I64" s="23"/>
      <c r="J64" s="23"/>
      <c r="K64" s="23"/>
      <c r="L64" s="23"/>
      <c r="M64" s="23"/>
      <c r="N64" s="23"/>
      <c r="O64" s="23"/>
      <c r="P64" s="23"/>
      <c r="Q64" s="23"/>
      <c r="R64" s="4"/>
      <c r="S64" s="23"/>
      <c r="T64" s="23"/>
      <c r="U64" s="23"/>
      <c r="V64" s="23"/>
      <c r="W64" s="4"/>
      <c r="X64" s="4"/>
      <c r="Y64" s="4"/>
    </row>
    <row r="65" spans="1:25" x14ac:dyDescent="0.25">
      <c r="A65" s="703"/>
      <c r="B65" s="4"/>
      <c r="C65" s="23"/>
      <c r="D65" s="23"/>
      <c r="E65" s="23"/>
      <c r="F65" s="23"/>
      <c r="G65" s="23"/>
      <c r="H65" s="23"/>
      <c r="I65" s="23"/>
      <c r="J65" s="23"/>
      <c r="K65" s="23"/>
      <c r="L65" s="23"/>
      <c r="M65" s="23"/>
      <c r="N65" s="23"/>
      <c r="O65" s="23"/>
      <c r="P65" s="23"/>
      <c r="Q65" s="23"/>
      <c r="R65" s="4"/>
      <c r="S65" s="23"/>
      <c r="T65" s="23"/>
      <c r="U65" s="23"/>
      <c r="V65" s="23"/>
      <c r="W65" s="4"/>
      <c r="X65" s="4"/>
      <c r="Y65" s="4"/>
    </row>
    <row r="66" spans="1:25" x14ac:dyDescent="0.25">
      <c r="A66" s="703"/>
      <c r="B66" s="4"/>
      <c r="C66" s="23"/>
      <c r="D66" s="23"/>
      <c r="E66" s="23"/>
      <c r="F66" s="23"/>
      <c r="G66" s="23"/>
      <c r="H66" s="23"/>
      <c r="I66" s="23"/>
      <c r="J66" s="23"/>
      <c r="K66" s="23"/>
      <c r="L66" s="23"/>
      <c r="M66" s="23"/>
      <c r="N66" s="23"/>
      <c r="O66" s="23"/>
      <c r="P66" s="23"/>
      <c r="Q66" s="23"/>
      <c r="R66" s="4"/>
      <c r="S66" s="23"/>
      <c r="T66" s="23"/>
      <c r="U66" s="23"/>
      <c r="V66" s="23"/>
      <c r="W66" s="4"/>
      <c r="X66" s="4"/>
      <c r="Y66" s="4"/>
    </row>
    <row r="67" spans="1:25" x14ac:dyDescent="0.25">
      <c r="A67" s="703"/>
      <c r="B67" s="4"/>
      <c r="C67" s="23"/>
      <c r="D67" s="23"/>
      <c r="E67" s="23"/>
      <c r="F67" s="23"/>
      <c r="G67" s="23"/>
      <c r="H67" s="23"/>
      <c r="I67" s="23"/>
      <c r="J67" s="23"/>
      <c r="K67" s="23"/>
      <c r="L67" s="23"/>
      <c r="M67" s="23"/>
      <c r="N67" s="23"/>
      <c r="O67" s="23"/>
      <c r="P67" s="23"/>
      <c r="Q67" s="23"/>
      <c r="R67" s="4"/>
      <c r="S67" s="23"/>
      <c r="T67" s="23"/>
      <c r="U67" s="23"/>
      <c r="V67" s="23"/>
      <c r="W67" s="4"/>
      <c r="X67" s="4"/>
      <c r="Y67" s="4"/>
    </row>
    <row r="68" spans="1:25" x14ac:dyDescent="0.25">
      <c r="A68" s="703"/>
      <c r="B68" s="4"/>
      <c r="C68" s="23"/>
      <c r="D68" s="23"/>
      <c r="E68" s="23"/>
      <c r="F68" s="23"/>
      <c r="G68" s="23"/>
      <c r="H68" s="23"/>
      <c r="I68" s="23"/>
      <c r="J68" s="23"/>
      <c r="K68" s="23"/>
      <c r="L68" s="23"/>
      <c r="M68" s="23"/>
      <c r="N68" s="23"/>
      <c r="O68" s="23"/>
      <c r="P68" s="23"/>
      <c r="Q68" s="23"/>
      <c r="R68" s="4"/>
      <c r="S68" s="23"/>
      <c r="T68" s="23"/>
      <c r="U68" s="23"/>
      <c r="V68" s="23"/>
      <c r="W68" s="4"/>
      <c r="X68" s="4"/>
      <c r="Y68" s="4"/>
    </row>
    <row r="69" spans="1:25" x14ac:dyDescent="0.25">
      <c r="A69" s="703"/>
      <c r="B69" s="4"/>
      <c r="C69" s="23"/>
      <c r="D69" s="23"/>
      <c r="E69" s="23"/>
      <c r="F69" s="23"/>
      <c r="G69" s="23"/>
      <c r="H69" s="23"/>
      <c r="I69" s="23"/>
      <c r="J69" s="23"/>
      <c r="K69" s="23"/>
      <c r="L69" s="23"/>
      <c r="M69" s="23"/>
      <c r="N69" s="23"/>
      <c r="O69" s="23"/>
      <c r="P69" s="23"/>
      <c r="Q69" s="23"/>
      <c r="R69" s="4"/>
      <c r="S69" s="23"/>
      <c r="T69" s="23"/>
      <c r="U69" s="23"/>
      <c r="V69" s="23"/>
      <c r="W69" s="4"/>
      <c r="X69" s="4"/>
      <c r="Y69" s="4"/>
    </row>
    <row r="70" spans="1:25" x14ac:dyDescent="0.25">
      <c r="A70" s="703"/>
      <c r="B70" s="4"/>
      <c r="C70" s="23"/>
      <c r="D70" s="23"/>
      <c r="E70" s="23"/>
      <c r="F70" s="23"/>
      <c r="G70" s="23"/>
      <c r="H70" s="23"/>
      <c r="I70" s="23"/>
      <c r="J70" s="23"/>
      <c r="K70" s="23"/>
      <c r="L70" s="23"/>
      <c r="M70" s="23"/>
      <c r="N70" s="23"/>
      <c r="O70" s="23"/>
      <c r="P70" s="23"/>
      <c r="Q70" s="23"/>
      <c r="R70" s="4"/>
      <c r="S70" s="23"/>
      <c r="T70" s="23"/>
      <c r="U70" s="23"/>
      <c r="V70" s="23"/>
      <c r="W70" s="4"/>
      <c r="X70" s="4"/>
      <c r="Y70" s="4"/>
    </row>
    <row r="71" spans="1:25" x14ac:dyDescent="0.25">
      <c r="A71" s="703"/>
      <c r="B71" s="4"/>
      <c r="C71" s="23"/>
      <c r="D71" s="23"/>
      <c r="E71" s="23"/>
      <c r="F71" s="23"/>
      <c r="G71" s="23"/>
      <c r="H71" s="23"/>
      <c r="I71" s="23"/>
      <c r="J71" s="23"/>
      <c r="K71" s="23"/>
      <c r="L71" s="23"/>
      <c r="M71" s="23"/>
      <c r="N71" s="23"/>
      <c r="O71" s="23"/>
      <c r="P71" s="23"/>
      <c r="Q71" s="23"/>
      <c r="R71" s="4"/>
      <c r="S71" s="23"/>
      <c r="T71" s="23"/>
      <c r="U71" s="23"/>
      <c r="V71" s="23"/>
      <c r="W71" s="4"/>
      <c r="X71" s="4"/>
      <c r="Y71" s="4"/>
    </row>
    <row r="72" spans="1:25" x14ac:dyDescent="0.25">
      <c r="A72" s="703"/>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5">
      <c r="A73" s="703"/>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5">
      <c r="A74" s="703"/>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5">
      <c r="A75" s="703"/>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5">
      <c r="A76" s="703"/>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5">
      <c r="A77" s="703"/>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5">
      <c r="A78" s="703"/>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5">
      <c r="A79" s="703"/>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5">
      <c r="A80" s="703"/>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5">
      <c r="A81" s="703"/>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5">
      <c r="A82" s="703"/>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5">
      <c r="A83" s="703"/>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5">
      <c r="A84" s="703"/>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5">
      <c r="A85" s="703"/>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5">
      <c r="A86" s="703"/>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5">
      <c r="A87" s="703"/>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5">
      <c r="A88" s="703"/>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5">
      <c r="A89" s="703"/>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5">
      <c r="A90" s="703"/>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5">
      <c r="A91" s="703"/>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5">
      <c r="A92" s="703"/>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5">
      <c r="A93" s="703"/>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5">
      <c r="A94" s="703"/>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5">
      <c r="A95" s="703"/>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5">
      <c r="A96" s="703"/>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5">
      <c r="A97" s="703"/>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5">
      <c r="A98" s="703"/>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5">
      <c r="A99" s="703"/>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5">
      <c r="A100" s="703"/>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5">
      <c r="A101" s="703"/>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5">
      <c r="A102" s="703"/>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5">
      <c r="A103" s="703"/>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5">
      <c r="A104" s="703"/>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5">
      <c r="A105" s="703"/>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5">
      <c r="A106" s="703"/>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5">
      <c r="A107" s="703"/>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5">
      <c r="A108" s="703"/>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5">
      <c r="A109" s="703"/>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5">
      <c r="A110" s="703"/>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5">
      <c r="A111" s="703"/>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5">
      <c r="A112" s="703"/>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1:25" x14ac:dyDescent="0.25">
      <c r="A113" s="703"/>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row>
    <row r="114" spans="1:25" x14ac:dyDescent="0.25">
      <c r="A114" s="703"/>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row>
    <row r="115" spans="1:25" x14ac:dyDescent="0.25">
      <c r="A115" s="703"/>
      <c r="B115" s="4"/>
      <c r="C115" s="23"/>
      <c r="D115" s="23"/>
      <c r="E115" s="23"/>
      <c r="F115" s="23"/>
      <c r="G115" s="23"/>
      <c r="H115" s="23"/>
      <c r="I115" s="23"/>
      <c r="J115" s="23"/>
      <c r="K115" s="23"/>
      <c r="L115" s="23"/>
      <c r="M115" s="23"/>
      <c r="N115" s="23"/>
      <c r="O115" s="23"/>
      <c r="P115" s="23"/>
      <c r="Q115" s="23"/>
      <c r="R115" s="4"/>
      <c r="S115" s="23"/>
      <c r="T115" s="23"/>
      <c r="U115" s="23"/>
      <c r="V115" s="23"/>
      <c r="W115" s="4"/>
      <c r="X115" s="4"/>
      <c r="Y115" s="4"/>
    </row>
    <row r="116" spans="1:25" x14ac:dyDescent="0.25">
      <c r="A116" s="703"/>
      <c r="B116" s="4"/>
      <c r="C116" s="23"/>
      <c r="D116" s="23"/>
      <c r="E116" s="23"/>
      <c r="F116" s="23"/>
      <c r="G116" s="23"/>
      <c r="H116" s="23"/>
      <c r="I116" s="23"/>
      <c r="J116" s="23"/>
      <c r="K116" s="23"/>
      <c r="L116" s="23"/>
      <c r="M116" s="23"/>
      <c r="N116" s="23"/>
      <c r="O116" s="23"/>
      <c r="P116" s="23"/>
      <c r="Q116" s="23"/>
      <c r="R116" s="4"/>
      <c r="S116" s="23"/>
      <c r="T116" s="23"/>
      <c r="U116" s="23"/>
      <c r="V116" s="23"/>
      <c r="W116" s="4"/>
      <c r="X116" s="4"/>
      <c r="Y116" s="4"/>
    </row>
    <row r="117" spans="1:25" x14ac:dyDescent="0.25">
      <c r="A117" s="703"/>
      <c r="B117" s="4"/>
      <c r="C117" s="23"/>
      <c r="D117" s="23"/>
      <c r="E117" s="23"/>
      <c r="F117" s="23"/>
      <c r="G117" s="23"/>
      <c r="H117" s="23"/>
      <c r="I117" s="23"/>
      <c r="J117" s="23"/>
      <c r="K117" s="23"/>
      <c r="L117" s="23"/>
      <c r="M117" s="23"/>
      <c r="N117" s="23"/>
      <c r="O117" s="23"/>
      <c r="P117" s="23"/>
      <c r="Q117" s="23"/>
      <c r="R117" s="4"/>
      <c r="S117" s="23"/>
      <c r="T117" s="23"/>
      <c r="U117" s="23"/>
      <c r="V117" s="23"/>
      <c r="W117" s="4"/>
      <c r="X117" s="4"/>
      <c r="Y117" s="4"/>
    </row>
    <row r="118" spans="1:25" x14ac:dyDescent="0.25">
      <c r="A118" s="703"/>
      <c r="B118" s="4"/>
      <c r="C118" s="23"/>
      <c r="D118" s="23"/>
      <c r="E118" s="23"/>
      <c r="F118" s="23"/>
      <c r="G118" s="23"/>
      <c r="H118" s="23"/>
      <c r="I118" s="23"/>
      <c r="J118" s="23"/>
      <c r="K118" s="23"/>
      <c r="L118" s="23"/>
      <c r="M118" s="23"/>
      <c r="N118" s="23"/>
      <c r="O118" s="23"/>
      <c r="P118" s="23"/>
      <c r="Q118" s="23"/>
      <c r="R118" s="4"/>
      <c r="S118" s="23"/>
      <c r="T118" s="23"/>
      <c r="U118" s="23"/>
      <c r="V118" s="23"/>
      <c r="W118" s="4"/>
      <c r="X118" s="4"/>
      <c r="Y118" s="4"/>
    </row>
    <row r="119" spans="1:25" x14ac:dyDescent="0.25">
      <c r="A119" s="703"/>
      <c r="B119" s="4"/>
      <c r="C119" s="23"/>
      <c r="D119" s="23"/>
      <c r="E119" s="23"/>
      <c r="F119" s="23"/>
      <c r="G119" s="23"/>
      <c r="H119" s="23"/>
      <c r="I119" s="23"/>
      <c r="J119" s="23"/>
      <c r="K119" s="23"/>
      <c r="L119" s="23"/>
      <c r="M119" s="23"/>
      <c r="N119" s="23"/>
      <c r="O119" s="23"/>
      <c r="P119" s="23"/>
      <c r="Q119" s="23"/>
      <c r="R119" s="4"/>
      <c r="S119" s="23"/>
      <c r="T119" s="23"/>
      <c r="U119" s="23"/>
      <c r="V119" s="23"/>
      <c r="W119" s="4"/>
      <c r="X119" s="4"/>
      <c r="Y119" s="4"/>
    </row>
    <row r="120" spans="1:25" x14ac:dyDescent="0.25">
      <c r="A120" s="703"/>
      <c r="B120" s="4"/>
      <c r="C120" s="23"/>
      <c r="D120" s="23"/>
      <c r="E120" s="23"/>
      <c r="F120" s="23"/>
      <c r="G120" s="23"/>
      <c r="H120" s="23"/>
      <c r="I120" s="23"/>
      <c r="J120" s="23"/>
      <c r="K120" s="23"/>
      <c r="L120" s="23"/>
      <c r="M120" s="23"/>
      <c r="N120" s="23"/>
      <c r="O120" s="23"/>
      <c r="P120" s="23"/>
      <c r="Q120" s="23"/>
      <c r="R120" s="4"/>
      <c r="S120" s="23"/>
      <c r="T120" s="23"/>
      <c r="U120" s="23"/>
      <c r="V120" s="23"/>
      <c r="W120" s="4"/>
      <c r="X120" s="4"/>
      <c r="Y120" s="4"/>
    </row>
    <row r="121" spans="1:25" x14ac:dyDescent="0.25">
      <c r="A121" s="703"/>
      <c r="B121" s="4"/>
      <c r="C121" s="23"/>
      <c r="D121" s="23"/>
      <c r="E121" s="23"/>
      <c r="F121" s="23"/>
      <c r="G121" s="23"/>
      <c r="H121" s="23"/>
      <c r="I121" s="23"/>
      <c r="J121" s="23"/>
      <c r="K121" s="23"/>
      <c r="L121" s="23"/>
      <c r="M121" s="23"/>
      <c r="N121" s="23"/>
      <c r="O121" s="23"/>
      <c r="P121" s="23"/>
      <c r="Q121" s="23"/>
      <c r="R121" s="4"/>
      <c r="S121" s="23"/>
      <c r="T121" s="23"/>
      <c r="U121" s="23"/>
      <c r="V121" s="23"/>
      <c r="W121" s="4"/>
      <c r="X121" s="4"/>
      <c r="Y121" s="4"/>
    </row>
    <row r="122" spans="1:25" x14ac:dyDescent="0.25">
      <c r="A122" s="703"/>
      <c r="B122" s="4"/>
      <c r="C122" s="23"/>
      <c r="D122" s="23"/>
      <c r="E122" s="23"/>
      <c r="F122" s="23"/>
      <c r="G122" s="23"/>
      <c r="H122" s="23"/>
      <c r="I122" s="23"/>
      <c r="J122" s="23"/>
      <c r="K122" s="23"/>
      <c r="L122" s="23"/>
      <c r="M122" s="23"/>
      <c r="N122" s="23"/>
      <c r="O122" s="23"/>
      <c r="P122" s="23"/>
      <c r="Q122" s="23"/>
      <c r="R122" s="4"/>
      <c r="S122" s="23"/>
      <c r="T122" s="23"/>
      <c r="U122" s="23"/>
      <c r="V122" s="23"/>
      <c r="W122" s="4"/>
      <c r="X122" s="4"/>
      <c r="Y122" s="4"/>
    </row>
    <row r="123" spans="1:25" x14ac:dyDescent="0.25">
      <c r="A123" s="703"/>
      <c r="B123" s="4"/>
      <c r="C123" s="23"/>
      <c r="D123" s="23"/>
      <c r="E123" s="23"/>
      <c r="F123" s="23"/>
      <c r="G123" s="23"/>
      <c r="H123" s="23"/>
      <c r="I123" s="23"/>
      <c r="J123" s="23"/>
      <c r="K123" s="23"/>
      <c r="L123" s="23"/>
      <c r="M123" s="23"/>
      <c r="N123" s="23"/>
      <c r="O123" s="23"/>
      <c r="P123" s="23"/>
      <c r="Q123" s="23"/>
      <c r="R123" s="4"/>
      <c r="S123" s="23"/>
      <c r="T123" s="23"/>
      <c r="U123" s="23"/>
      <c r="V123" s="23"/>
      <c r="W123" s="4"/>
      <c r="X123" s="4"/>
      <c r="Y123" s="4"/>
    </row>
    <row r="124" spans="1:25" x14ac:dyDescent="0.25">
      <c r="A124" s="703"/>
      <c r="B124" s="4"/>
      <c r="C124" s="23"/>
      <c r="D124" s="23"/>
      <c r="E124" s="23"/>
      <c r="F124" s="23"/>
      <c r="G124" s="23"/>
      <c r="H124" s="23"/>
      <c r="I124" s="23"/>
      <c r="J124" s="23"/>
      <c r="K124" s="23"/>
      <c r="L124" s="23"/>
      <c r="M124" s="23"/>
      <c r="N124" s="23"/>
      <c r="O124" s="23"/>
      <c r="P124" s="23"/>
      <c r="Q124" s="23"/>
      <c r="R124" s="4"/>
      <c r="S124" s="23"/>
      <c r="T124" s="23"/>
      <c r="U124" s="23"/>
      <c r="V124" s="23"/>
      <c r="W124" s="4"/>
      <c r="X124" s="4"/>
      <c r="Y124" s="4"/>
    </row>
    <row r="125" spans="1:25" x14ac:dyDescent="0.25">
      <c r="A125" s="703"/>
      <c r="B125" s="4"/>
      <c r="C125" s="23"/>
      <c r="D125" s="23"/>
      <c r="E125" s="23"/>
      <c r="F125" s="23"/>
      <c r="G125" s="23"/>
      <c r="H125" s="23"/>
      <c r="I125" s="23"/>
      <c r="J125" s="23"/>
      <c r="K125" s="23"/>
      <c r="L125" s="23"/>
      <c r="M125" s="23"/>
      <c r="N125" s="23"/>
      <c r="O125" s="23"/>
      <c r="P125" s="23"/>
      <c r="Q125" s="23"/>
      <c r="R125" s="4"/>
      <c r="S125" s="23"/>
      <c r="T125" s="23"/>
      <c r="U125" s="23"/>
      <c r="V125" s="23"/>
      <c r="W125" s="4"/>
      <c r="X125" s="4"/>
      <c r="Y125" s="4"/>
    </row>
    <row r="126" spans="1:25" x14ac:dyDescent="0.25">
      <c r="A126" s="703"/>
      <c r="B126" s="4"/>
      <c r="C126" s="23"/>
      <c r="D126" s="23"/>
      <c r="E126" s="23"/>
      <c r="F126" s="23"/>
      <c r="G126" s="23"/>
      <c r="H126" s="23"/>
      <c r="I126" s="23"/>
      <c r="J126" s="23"/>
      <c r="K126" s="23"/>
      <c r="L126" s="23"/>
      <c r="M126" s="23"/>
      <c r="N126" s="23"/>
      <c r="O126" s="23"/>
      <c r="P126" s="23"/>
      <c r="Q126" s="23"/>
      <c r="R126" s="4"/>
      <c r="S126" s="23"/>
      <c r="T126" s="23"/>
      <c r="U126" s="23"/>
      <c r="V126" s="23"/>
      <c r="W126" s="4"/>
      <c r="X126" s="4"/>
      <c r="Y126" s="4"/>
    </row>
    <row r="127" spans="1:25" x14ac:dyDescent="0.25">
      <c r="A127" s="703"/>
      <c r="B127" s="4"/>
      <c r="C127" s="23"/>
      <c r="D127" s="23"/>
      <c r="E127" s="23"/>
      <c r="F127" s="23"/>
      <c r="G127" s="23"/>
      <c r="H127" s="23"/>
      <c r="I127" s="23"/>
      <c r="J127" s="23"/>
      <c r="K127" s="23"/>
      <c r="L127" s="23"/>
      <c r="M127" s="23"/>
      <c r="N127" s="23"/>
      <c r="O127" s="23"/>
      <c r="P127" s="23"/>
      <c r="Q127" s="23"/>
      <c r="R127" s="4"/>
      <c r="S127" s="23"/>
      <c r="T127" s="23"/>
      <c r="U127" s="23"/>
      <c r="V127" s="23"/>
      <c r="W127" s="4"/>
      <c r="X127" s="4"/>
      <c r="Y127" s="4"/>
    </row>
    <row r="128" spans="1:25" x14ac:dyDescent="0.25">
      <c r="A128" s="703"/>
      <c r="B128" s="4"/>
      <c r="C128" s="23"/>
      <c r="D128" s="23"/>
      <c r="E128" s="23"/>
      <c r="F128" s="23"/>
      <c r="G128" s="23"/>
      <c r="H128" s="23"/>
      <c r="I128" s="23"/>
      <c r="J128" s="23"/>
      <c r="K128" s="23"/>
      <c r="L128" s="23"/>
      <c r="M128" s="23"/>
      <c r="N128" s="23"/>
      <c r="O128" s="23"/>
      <c r="P128" s="23"/>
      <c r="Q128" s="23"/>
      <c r="R128" s="4"/>
      <c r="S128" s="23"/>
      <c r="T128" s="23"/>
      <c r="U128" s="23"/>
      <c r="V128" s="23"/>
      <c r="W128" s="4"/>
      <c r="X128" s="4"/>
      <c r="Y128" s="4"/>
    </row>
    <row r="129" spans="1:25" x14ac:dyDescent="0.25">
      <c r="A129" s="703"/>
      <c r="B129" s="4"/>
      <c r="C129" s="23"/>
      <c r="D129" s="23"/>
      <c r="E129" s="23"/>
      <c r="F129" s="23"/>
      <c r="G129" s="23"/>
      <c r="H129" s="23"/>
      <c r="I129" s="23"/>
      <c r="J129" s="23"/>
      <c r="K129" s="23"/>
      <c r="L129" s="23"/>
      <c r="M129" s="23"/>
      <c r="N129" s="23"/>
      <c r="O129" s="23"/>
      <c r="P129" s="23"/>
      <c r="Q129" s="23"/>
      <c r="R129" s="4"/>
      <c r="S129" s="23"/>
      <c r="T129" s="23"/>
      <c r="U129" s="23"/>
      <c r="V129" s="23"/>
      <c r="W129" s="4"/>
      <c r="X129" s="4"/>
      <c r="Y129" s="4"/>
    </row>
    <row r="130" spans="1:25" x14ac:dyDescent="0.25">
      <c r="A130" s="703"/>
      <c r="B130" s="4"/>
      <c r="C130" s="23"/>
      <c r="D130" s="23"/>
      <c r="E130" s="23"/>
      <c r="F130" s="23"/>
      <c r="G130" s="23"/>
      <c r="H130" s="23"/>
      <c r="I130" s="23"/>
      <c r="J130" s="23"/>
      <c r="K130" s="23"/>
      <c r="L130" s="23"/>
      <c r="M130" s="23"/>
      <c r="N130" s="23"/>
      <c r="O130" s="23"/>
      <c r="P130" s="23"/>
      <c r="Q130" s="23"/>
      <c r="R130" s="4"/>
      <c r="S130" s="23"/>
      <c r="T130" s="23"/>
      <c r="U130" s="23"/>
      <c r="V130" s="23"/>
      <c r="W130" s="4"/>
      <c r="X130" s="4"/>
      <c r="Y130" s="4"/>
    </row>
    <row r="131" spans="1:25" x14ac:dyDescent="0.25">
      <c r="A131" s="703"/>
      <c r="B131" s="4"/>
      <c r="C131" s="23"/>
      <c r="D131" s="23"/>
      <c r="E131" s="23"/>
      <c r="F131" s="23"/>
      <c r="G131" s="23"/>
      <c r="H131" s="23"/>
      <c r="I131" s="23"/>
      <c r="J131" s="23"/>
      <c r="K131" s="23"/>
      <c r="L131" s="23"/>
      <c r="M131" s="23"/>
      <c r="N131" s="23"/>
      <c r="O131" s="23"/>
      <c r="P131" s="23"/>
      <c r="Q131" s="23"/>
      <c r="R131" s="4"/>
      <c r="S131" s="23"/>
      <c r="T131" s="23"/>
      <c r="U131" s="23"/>
      <c r="V131" s="23"/>
      <c r="W131" s="4"/>
      <c r="X131" s="4"/>
      <c r="Y131" s="4"/>
    </row>
    <row r="132" spans="1:25" x14ac:dyDescent="0.25">
      <c r="A132" s="703"/>
      <c r="B132" s="4"/>
      <c r="C132" s="23"/>
      <c r="D132" s="23"/>
      <c r="E132" s="23"/>
      <c r="F132" s="23"/>
      <c r="G132" s="23"/>
      <c r="H132" s="23"/>
      <c r="I132" s="23"/>
      <c r="J132" s="23"/>
      <c r="K132" s="23"/>
      <c r="L132" s="23"/>
      <c r="M132" s="23"/>
      <c r="N132" s="23"/>
      <c r="O132" s="23"/>
      <c r="P132" s="23"/>
      <c r="Q132" s="23"/>
      <c r="R132" s="4"/>
      <c r="S132" s="23"/>
      <c r="T132" s="23"/>
      <c r="U132" s="23"/>
      <c r="V132" s="23"/>
      <c r="W132" s="4"/>
      <c r="X132" s="4"/>
      <c r="Y132" s="4"/>
    </row>
    <row r="133" spans="1:25" x14ac:dyDescent="0.25">
      <c r="A133" s="703"/>
      <c r="B133" s="4"/>
      <c r="C133" s="23"/>
      <c r="D133" s="23"/>
      <c r="E133" s="23"/>
      <c r="F133" s="23"/>
      <c r="G133" s="23"/>
      <c r="H133" s="23"/>
      <c r="I133" s="23"/>
      <c r="J133" s="23"/>
      <c r="K133" s="23"/>
      <c r="L133" s="23"/>
      <c r="M133" s="23"/>
      <c r="N133" s="23"/>
      <c r="O133" s="23"/>
      <c r="P133" s="23"/>
      <c r="Q133" s="23"/>
      <c r="R133" s="4"/>
      <c r="S133" s="23"/>
      <c r="T133" s="23"/>
      <c r="U133" s="23"/>
      <c r="V133" s="23"/>
      <c r="W133" s="4"/>
      <c r="X133" s="4"/>
      <c r="Y133" s="4"/>
    </row>
    <row r="134" spans="1:25" x14ac:dyDescent="0.25">
      <c r="A134" s="703"/>
      <c r="B134" s="4"/>
      <c r="C134" s="23"/>
      <c r="D134" s="23"/>
      <c r="E134" s="23"/>
      <c r="F134" s="23"/>
      <c r="G134" s="23"/>
      <c r="H134" s="23"/>
      <c r="I134" s="23"/>
      <c r="J134" s="23"/>
      <c r="K134" s="23"/>
      <c r="L134" s="23"/>
      <c r="M134" s="23"/>
      <c r="N134" s="23"/>
      <c r="O134" s="23"/>
      <c r="P134" s="23"/>
      <c r="Q134" s="23"/>
      <c r="R134" s="4"/>
      <c r="S134" s="23"/>
      <c r="T134" s="23"/>
      <c r="U134" s="23"/>
      <c r="V134" s="23"/>
      <c r="W134" s="4"/>
      <c r="X134" s="4"/>
      <c r="Y134" s="4"/>
    </row>
    <row r="135" spans="1:25" x14ac:dyDescent="0.25">
      <c r="C135" s="194"/>
      <c r="D135" s="194"/>
      <c r="E135" s="194"/>
      <c r="F135" s="194"/>
      <c r="G135" s="194"/>
      <c r="H135" s="194"/>
      <c r="I135" s="194"/>
      <c r="J135" s="194"/>
      <c r="K135" s="194"/>
      <c r="L135" s="194"/>
      <c r="M135" s="194"/>
      <c r="N135" s="194"/>
      <c r="O135" s="194"/>
      <c r="P135" s="194"/>
      <c r="Q135" s="194"/>
    </row>
    <row r="136" spans="1:25" x14ac:dyDescent="0.25">
      <c r="C136" s="194"/>
      <c r="D136" s="194"/>
      <c r="E136" s="194"/>
      <c r="F136" s="194"/>
      <c r="G136" s="194"/>
      <c r="H136" s="194"/>
      <c r="I136" s="194"/>
      <c r="J136" s="194"/>
      <c r="K136" s="194"/>
      <c r="L136" s="194"/>
      <c r="M136" s="194"/>
      <c r="N136" s="194"/>
      <c r="O136" s="194"/>
      <c r="P136" s="194"/>
      <c r="Q136" s="194"/>
    </row>
    <row r="137" spans="1:25" x14ac:dyDescent="0.25">
      <c r="C137" s="194"/>
      <c r="D137" s="194"/>
      <c r="E137" s="194"/>
      <c r="F137" s="194"/>
      <c r="G137" s="194"/>
      <c r="H137" s="194"/>
      <c r="I137" s="194"/>
      <c r="J137" s="194"/>
      <c r="K137" s="194"/>
      <c r="L137" s="194"/>
      <c r="M137" s="194"/>
      <c r="N137" s="194"/>
      <c r="O137" s="194"/>
      <c r="P137" s="194"/>
      <c r="Q137" s="194"/>
    </row>
    <row r="138" spans="1:25" x14ac:dyDescent="0.25">
      <c r="C138" s="194"/>
      <c r="D138" s="194"/>
      <c r="E138" s="194"/>
      <c r="F138" s="194"/>
      <c r="G138" s="194"/>
      <c r="H138" s="194"/>
      <c r="I138" s="194"/>
      <c r="J138" s="194"/>
      <c r="K138" s="194"/>
      <c r="L138" s="194"/>
      <c r="M138" s="194"/>
      <c r="N138" s="194"/>
      <c r="O138" s="194"/>
      <c r="P138" s="194"/>
      <c r="Q138" s="194"/>
    </row>
    <row r="139" spans="1:25" x14ac:dyDescent="0.25">
      <c r="C139" s="194"/>
      <c r="D139" s="194"/>
      <c r="E139" s="194"/>
      <c r="F139" s="194"/>
      <c r="G139" s="194"/>
      <c r="H139" s="194"/>
      <c r="I139" s="194"/>
      <c r="J139" s="194"/>
      <c r="K139" s="194"/>
      <c r="L139" s="194"/>
      <c r="M139" s="194"/>
      <c r="N139" s="194"/>
      <c r="O139" s="194"/>
      <c r="P139" s="194"/>
      <c r="Q139" s="194"/>
    </row>
    <row r="140" spans="1:25" x14ac:dyDescent="0.25">
      <c r="C140" s="194"/>
      <c r="D140" s="194"/>
      <c r="E140" s="194"/>
      <c r="F140" s="194"/>
      <c r="G140" s="194"/>
      <c r="H140" s="194"/>
      <c r="I140" s="194"/>
      <c r="J140" s="194"/>
      <c r="K140" s="194"/>
      <c r="L140" s="194"/>
      <c r="M140" s="194"/>
      <c r="N140" s="194"/>
      <c r="O140" s="194"/>
      <c r="P140" s="194"/>
      <c r="Q140" s="194"/>
    </row>
    <row r="141" spans="1:25" x14ac:dyDescent="0.25">
      <c r="C141" s="194"/>
      <c r="D141" s="194"/>
      <c r="E141" s="194"/>
      <c r="F141" s="194"/>
      <c r="G141" s="194"/>
      <c r="H141" s="194"/>
      <c r="I141" s="194"/>
      <c r="J141" s="194"/>
      <c r="K141" s="194"/>
      <c r="L141" s="194"/>
      <c r="M141" s="194"/>
      <c r="N141" s="194"/>
      <c r="O141" s="194"/>
      <c r="P141" s="194"/>
      <c r="Q141" s="194"/>
    </row>
    <row r="142" spans="1:25" x14ac:dyDescent="0.25">
      <c r="C142" s="194"/>
      <c r="D142" s="194"/>
      <c r="E142" s="194"/>
      <c r="F142" s="194"/>
      <c r="G142" s="194"/>
      <c r="H142" s="194"/>
      <c r="I142" s="194"/>
      <c r="J142" s="194"/>
      <c r="K142" s="194"/>
      <c r="L142" s="194"/>
      <c r="M142" s="194"/>
      <c r="N142" s="194"/>
      <c r="O142" s="194"/>
      <c r="P142" s="194"/>
      <c r="Q142" s="194"/>
    </row>
    <row r="143" spans="1:25" x14ac:dyDescent="0.25">
      <c r="C143" s="194"/>
      <c r="D143" s="194"/>
      <c r="E143" s="194"/>
      <c r="F143" s="194"/>
      <c r="G143" s="194"/>
      <c r="H143" s="194"/>
      <c r="I143" s="194"/>
      <c r="J143" s="194"/>
      <c r="K143" s="194"/>
      <c r="L143" s="194"/>
      <c r="M143" s="194"/>
      <c r="N143" s="194"/>
      <c r="O143" s="194"/>
      <c r="P143" s="194"/>
      <c r="Q143" s="194"/>
    </row>
    <row r="144" spans="1:25" x14ac:dyDescent="0.25">
      <c r="C144" s="194"/>
      <c r="D144" s="194"/>
      <c r="E144" s="194"/>
      <c r="F144" s="194"/>
      <c r="G144" s="194"/>
      <c r="H144" s="194"/>
      <c r="I144" s="194"/>
      <c r="J144" s="194"/>
      <c r="K144" s="194"/>
      <c r="L144" s="194"/>
      <c r="M144" s="194"/>
      <c r="N144" s="194"/>
      <c r="O144" s="194"/>
      <c r="P144" s="194"/>
      <c r="Q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row r="180" spans="3:3" x14ac:dyDescent="0.25">
      <c r="C180" s="194"/>
    </row>
    <row r="181" spans="3:3" x14ac:dyDescent="0.25">
      <c r="C181" s="194"/>
    </row>
    <row r="182" spans="3:3" x14ac:dyDescent="0.25">
      <c r="C182" s="194"/>
    </row>
    <row r="183" spans="3:3" x14ac:dyDescent="0.25">
      <c r="C183" s="194"/>
    </row>
    <row r="184" spans="3:3" x14ac:dyDescent="0.25">
      <c r="C184" s="194"/>
    </row>
  </sheetData>
  <phoneticPr fontId="0" type="noConversion"/>
  <hyperlinks>
    <hyperlink ref="A1" location="'Working Budget with funding det'!A1" display="Main " xr:uid="{00000000-0004-0000-2C00-000000000000}"/>
    <hyperlink ref="B1" location="'Table of Contents'!A1" display="TOC" xr:uid="{00000000-0004-0000-2C00-000001000000}"/>
  </hyperlinks>
  <pageMargins left="0.75" right="0.75" top="1" bottom="1" header="0.5" footer="0.5"/>
  <pageSetup scale="92" orientation="landscape" r:id="rId1"/>
  <headerFooter alignWithMargins="0">
    <oddFooter>&amp;L&amp;D     &amp;T&amp;C&amp;F&amp;R&amp;A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sheetPr>
  <dimension ref="A1:Y139"/>
  <sheetViews>
    <sheetView zoomScaleNormal="100" workbookViewId="0">
      <pane ySplit="7" topLeftCell="A33" activePane="bottomLeft" state="frozen"/>
      <selection activeCell="S36" sqref="S36"/>
      <selection pane="bottomLeft" activeCell="R47" sqref="R47"/>
    </sheetView>
  </sheetViews>
  <sheetFormatPr defaultRowHeight="13.2" x14ac:dyDescent="0.25"/>
  <cols>
    <col min="1" max="1" width="13.7773437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 min="26" max="26" width="13.44140625" bestFit="1" customWidth="1"/>
  </cols>
  <sheetData>
    <row r="1" spans="1:24" x14ac:dyDescent="0.25">
      <c r="A1" s="701" t="s">
        <v>736</v>
      </c>
      <c r="B1" s="290" t="s">
        <v>194</v>
      </c>
      <c r="D1" s="194"/>
      <c r="E1" s="194"/>
      <c r="F1" s="194"/>
      <c r="G1" s="194"/>
      <c r="H1" s="194"/>
      <c r="I1" s="194"/>
      <c r="J1" s="194"/>
      <c r="K1" s="194"/>
      <c r="L1" s="194"/>
      <c r="M1" s="194"/>
      <c r="N1" s="194"/>
      <c r="O1" s="194"/>
      <c r="P1" s="194"/>
      <c r="Q1" s="194"/>
    </row>
    <row r="2" spans="1:24" ht="13.8" x14ac:dyDescent="0.25">
      <c r="A2" s="702" t="s">
        <v>1299</v>
      </c>
      <c r="B2" s="43"/>
      <c r="D2" s="194"/>
      <c r="E2" s="125"/>
      <c r="F2" s="194"/>
      <c r="G2" s="194"/>
      <c r="H2" s="194"/>
      <c r="I2" s="125" t="s">
        <v>706</v>
      </c>
      <c r="J2" s="125"/>
      <c r="K2" s="125"/>
      <c r="L2" s="125"/>
      <c r="M2" s="125"/>
      <c r="N2" s="125"/>
      <c r="O2" s="125"/>
      <c r="P2" s="125"/>
      <c r="Q2" s="125"/>
      <c r="R2" s="58" t="s">
        <v>555</v>
      </c>
      <c r="S2" s="199"/>
      <c r="T2" s="199"/>
      <c r="U2" s="44" t="s">
        <v>1300</v>
      </c>
    </row>
    <row r="3" spans="1:24" ht="13.8" thickBot="1" x14ac:dyDescent="0.3">
      <c r="A3" s="703"/>
      <c r="B3" s="4"/>
      <c r="C3" s="23"/>
      <c r="D3" s="23"/>
      <c r="E3" s="23"/>
      <c r="F3" s="23"/>
      <c r="G3" s="23"/>
      <c r="H3" s="23"/>
      <c r="I3" s="23"/>
      <c r="J3" s="23"/>
      <c r="K3" s="23"/>
      <c r="L3" s="23"/>
      <c r="M3" s="23"/>
      <c r="N3" s="23"/>
      <c r="O3" s="23"/>
      <c r="P3" s="23"/>
      <c r="Q3" s="23"/>
      <c r="R3" s="4"/>
      <c r="S3" s="23"/>
      <c r="T3" s="23"/>
      <c r="U3" s="4"/>
      <c r="V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07"/>
      <c r="B8" s="156"/>
      <c r="C8" s="114"/>
      <c r="D8" s="250"/>
      <c r="E8" s="250"/>
      <c r="F8" s="250"/>
      <c r="G8" s="250"/>
      <c r="H8" s="250"/>
      <c r="I8" s="250"/>
      <c r="J8" s="250"/>
      <c r="K8" s="145"/>
      <c r="L8" s="145"/>
      <c r="M8" s="145"/>
      <c r="N8" s="145"/>
      <c r="O8" s="145"/>
      <c r="P8" s="145"/>
      <c r="Q8" s="145"/>
      <c r="R8" s="59"/>
      <c r="S8" s="10"/>
      <c r="T8" s="10"/>
      <c r="U8" s="10"/>
    </row>
    <row r="9" spans="1:24" x14ac:dyDescent="0.25">
      <c r="A9" s="708">
        <v>5111</v>
      </c>
      <c r="B9" s="101" t="s">
        <v>738</v>
      </c>
      <c r="C9" s="115">
        <v>117196.8</v>
      </c>
      <c r="D9" s="13">
        <v>130066.4</v>
      </c>
      <c r="E9" s="13">
        <v>130758.41</v>
      </c>
      <c r="F9" s="13">
        <v>135465.42000000001</v>
      </c>
      <c r="G9" s="13">
        <v>139776.63</v>
      </c>
      <c r="H9" s="13">
        <v>144545.66</v>
      </c>
      <c r="I9" s="13">
        <f>25801.3+117025.1</f>
        <v>142826.4</v>
      </c>
      <c r="J9" s="13">
        <v>150898.46</v>
      </c>
      <c r="K9" s="14">
        <v>158651</v>
      </c>
      <c r="L9" s="13">
        <v>158650.54999999999</v>
      </c>
      <c r="M9" s="14">
        <v>164309</v>
      </c>
      <c r="N9" s="13">
        <v>166129.4</v>
      </c>
      <c r="O9" s="14">
        <f>2650+2228+166245</f>
        <v>171123</v>
      </c>
      <c r="P9" s="13">
        <v>171122.49</v>
      </c>
      <c r="Q9" s="14">
        <v>178979</v>
      </c>
      <c r="R9" s="13">
        <v>86047.79</v>
      </c>
      <c r="S9" s="14">
        <f>ROUND((SUM(R55:R58)),0)</f>
        <v>183748</v>
      </c>
      <c r="T9" s="14"/>
      <c r="U9" s="14"/>
    </row>
    <row r="10" spans="1:24" x14ac:dyDescent="0.25">
      <c r="A10" s="708">
        <v>5113</v>
      </c>
      <c r="B10" s="60" t="s">
        <v>739</v>
      </c>
      <c r="C10" s="115">
        <v>90290.59</v>
      </c>
      <c r="D10" s="13">
        <v>72415.990000000005</v>
      </c>
      <c r="E10" s="13">
        <v>96098.85</v>
      </c>
      <c r="F10" s="13">
        <v>96540.9</v>
      </c>
      <c r="G10" s="13">
        <v>103043.3</v>
      </c>
      <c r="H10" s="13">
        <v>103709.41</v>
      </c>
      <c r="I10" s="13">
        <f>-25801.3+132712.7</f>
        <v>106911.40000000001</v>
      </c>
      <c r="J10" s="13">
        <v>119619.97</v>
      </c>
      <c r="K10" s="14">
        <v>124243</v>
      </c>
      <c r="L10" s="127">
        <v>120294.17</v>
      </c>
      <c r="M10" s="14">
        <v>127719</v>
      </c>
      <c r="N10" s="127">
        <v>132332.06</v>
      </c>
      <c r="O10" s="14">
        <f>4144+130124</f>
        <v>134268</v>
      </c>
      <c r="P10" s="13">
        <v>124680.82</v>
      </c>
      <c r="Q10" s="14">
        <v>148612</v>
      </c>
      <c r="R10" s="13">
        <v>69544.08</v>
      </c>
      <c r="S10" s="14">
        <f>ROUND((SUM(R59:R68)),0)</f>
        <v>152340</v>
      </c>
      <c r="T10" s="14"/>
      <c r="U10" s="14"/>
    </row>
    <row r="11" spans="1:24" x14ac:dyDescent="0.25">
      <c r="A11" s="708">
        <v>5114</v>
      </c>
      <c r="B11" s="60" t="s">
        <v>1301</v>
      </c>
      <c r="C11" s="115"/>
      <c r="D11" s="13"/>
      <c r="E11" s="13"/>
      <c r="F11" s="13"/>
      <c r="G11" s="13"/>
      <c r="H11" s="13"/>
      <c r="I11" s="13"/>
      <c r="J11" s="13"/>
      <c r="K11" s="14"/>
      <c r="L11" s="127"/>
      <c r="M11" s="14"/>
      <c r="N11" s="127"/>
      <c r="O11" s="14"/>
      <c r="P11" s="13">
        <v>10681.25</v>
      </c>
      <c r="Q11" s="14">
        <v>8295</v>
      </c>
      <c r="R11" s="13">
        <v>3195</v>
      </c>
      <c r="S11" s="14">
        <f>ROUND((+R69),0)</f>
        <v>8295</v>
      </c>
      <c r="T11" s="14"/>
      <c r="U11" s="14"/>
    </row>
    <row r="12" spans="1:24" x14ac:dyDescent="0.25">
      <c r="A12" s="708">
        <v>5142</v>
      </c>
      <c r="B12" s="60" t="s">
        <v>1016</v>
      </c>
      <c r="C12" s="115">
        <v>453.6</v>
      </c>
      <c r="D12" s="13">
        <v>480.12</v>
      </c>
      <c r="E12" s="13">
        <v>475.91</v>
      </c>
      <c r="F12" s="13">
        <v>465.95</v>
      </c>
      <c r="G12" s="13">
        <v>464.19</v>
      </c>
      <c r="H12" s="13">
        <f>25.2+430.68</f>
        <v>455.88</v>
      </c>
      <c r="I12" s="13">
        <v>452.2</v>
      </c>
      <c r="J12" s="13">
        <v>548.23</v>
      </c>
      <c r="K12" s="14">
        <v>750</v>
      </c>
      <c r="L12" s="13">
        <v>50</v>
      </c>
      <c r="M12" s="14">
        <v>750</v>
      </c>
      <c r="N12" s="13">
        <v>429.75</v>
      </c>
      <c r="O12" s="14">
        <v>750</v>
      </c>
      <c r="P12" s="13">
        <v>690.13</v>
      </c>
      <c r="Q12" s="14">
        <v>750</v>
      </c>
      <c r="R12" s="13">
        <v>393.75</v>
      </c>
      <c r="S12" s="14">
        <v>750</v>
      </c>
      <c r="T12" s="14"/>
      <c r="U12" s="14"/>
    </row>
    <row r="13" spans="1:24" x14ac:dyDescent="0.25">
      <c r="A13" s="708">
        <v>5144</v>
      </c>
      <c r="B13" s="60" t="s">
        <v>27</v>
      </c>
      <c r="C13" s="210">
        <v>750</v>
      </c>
      <c r="D13" s="35">
        <v>900</v>
      </c>
      <c r="E13" s="35">
        <v>900</v>
      </c>
      <c r="F13" s="35">
        <v>900</v>
      </c>
      <c r="G13" s="35">
        <v>2500</v>
      </c>
      <c r="H13" s="35">
        <v>2700</v>
      </c>
      <c r="I13" s="35">
        <v>1600</v>
      </c>
      <c r="J13" s="35">
        <v>1400</v>
      </c>
      <c r="K13" s="36">
        <v>2200</v>
      </c>
      <c r="L13" s="35">
        <v>1400</v>
      </c>
      <c r="M13" s="36">
        <v>1400</v>
      </c>
      <c r="N13" s="35">
        <v>900</v>
      </c>
      <c r="O13" s="36">
        <f>100+1400</f>
        <v>1500</v>
      </c>
      <c r="P13" s="35">
        <v>1800</v>
      </c>
      <c r="Q13" s="36">
        <v>3100</v>
      </c>
      <c r="R13" s="35">
        <v>1200</v>
      </c>
      <c r="S13" s="36">
        <f>+U70</f>
        <v>3600</v>
      </c>
      <c r="T13" s="36"/>
      <c r="U13" s="36"/>
    </row>
    <row r="14" spans="1:24" x14ac:dyDescent="0.25">
      <c r="A14" s="708">
        <v>5193</v>
      </c>
      <c r="B14" s="60" t="s">
        <v>819</v>
      </c>
      <c r="C14" s="210"/>
      <c r="D14" s="35">
        <v>6487.78</v>
      </c>
      <c r="E14" s="35"/>
      <c r="F14" s="35">
        <v>707.13</v>
      </c>
      <c r="G14" s="35"/>
      <c r="H14" s="35">
        <v>2715.6</v>
      </c>
      <c r="I14" s="35">
        <v>1817.29</v>
      </c>
      <c r="J14" s="35"/>
      <c r="K14" s="36"/>
      <c r="L14" s="35">
        <v>1172.48</v>
      </c>
      <c r="M14" s="36"/>
      <c r="N14" s="35">
        <v>6983.01</v>
      </c>
      <c r="O14" s="36"/>
      <c r="P14" s="35"/>
      <c r="Q14" s="36"/>
      <c r="R14" s="35"/>
      <c r="S14" s="36"/>
      <c r="T14" s="36"/>
      <c r="U14" s="36"/>
    </row>
    <row r="15" spans="1:24" ht="13.8" thickBot="1" x14ac:dyDescent="0.3">
      <c r="A15" s="708">
        <v>5194</v>
      </c>
      <c r="B15" s="60" t="s">
        <v>820</v>
      </c>
      <c r="C15" s="116"/>
      <c r="D15" s="15">
        <v>2500</v>
      </c>
      <c r="E15" s="15"/>
      <c r="F15" s="15">
        <v>410.14</v>
      </c>
      <c r="G15" s="15"/>
      <c r="H15" s="15">
        <v>3188.64</v>
      </c>
      <c r="I15" s="15"/>
      <c r="J15" s="15"/>
      <c r="K15" s="16"/>
      <c r="L15" s="15"/>
      <c r="M15" s="16"/>
      <c r="N15" s="15">
        <v>3500</v>
      </c>
      <c r="O15" s="16"/>
      <c r="P15" s="15"/>
      <c r="Q15" s="16"/>
      <c r="R15" s="15"/>
      <c r="S15" s="16"/>
      <c r="T15" s="16"/>
      <c r="U15" s="16"/>
    </row>
    <row r="16" spans="1:24" x14ac:dyDescent="0.25">
      <c r="A16" s="708"/>
      <c r="B16" s="61" t="s">
        <v>718</v>
      </c>
      <c r="C16" s="117">
        <f t="shared" ref="C16:R16" si="0">SUM(C9:C15)</f>
        <v>208690.99000000002</v>
      </c>
      <c r="D16" s="18">
        <f t="shared" si="0"/>
        <v>212850.29</v>
      </c>
      <c r="E16" s="18">
        <f t="shared" si="0"/>
        <v>228233.17</v>
      </c>
      <c r="F16" s="18">
        <f>SUM(F9:F15)</f>
        <v>234489.54000000004</v>
      </c>
      <c r="G16" s="18">
        <f>SUM(G9:G15)</f>
        <v>245784.12</v>
      </c>
      <c r="H16" s="18">
        <f>SUM(H9:H15)</f>
        <v>257315.19000000003</v>
      </c>
      <c r="I16" s="18">
        <f t="shared" si="0"/>
        <v>253607.29</v>
      </c>
      <c r="J16" s="18">
        <f t="shared" si="0"/>
        <v>272466.65999999997</v>
      </c>
      <c r="K16" s="19">
        <f>SUM(K9:K15)</f>
        <v>285844</v>
      </c>
      <c r="L16" s="18">
        <f t="shared" ref="L16:P16" si="1">SUM(L9:L15)</f>
        <v>281567.19999999995</v>
      </c>
      <c r="M16" s="19">
        <f t="shared" si="1"/>
        <v>294178</v>
      </c>
      <c r="N16" s="18">
        <f t="shared" si="1"/>
        <v>310274.21999999997</v>
      </c>
      <c r="O16" s="19">
        <f t="shared" si="1"/>
        <v>307641</v>
      </c>
      <c r="P16" s="18">
        <f t="shared" si="1"/>
        <v>308974.69</v>
      </c>
      <c r="Q16" s="19">
        <f>SUM(Q9:Q15)</f>
        <v>339736</v>
      </c>
      <c r="R16" s="18">
        <f t="shared" si="0"/>
        <v>160380.62</v>
      </c>
      <c r="S16" s="19">
        <f>SUM(S9:S15)</f>
        <v>348733</v>
      </c>
      <c r="T16" s="19"/>
      <c r="U16" s="19">
        <f>SUM(U9:U15)</f>
        <v>0</v>
      </c>
      <c r="X16" s="84"/>
    </row>
    <row r="17" spans="1:24" x14ac:dyDescent="0.25">
      <c r="A17" s="708"/>
      <c r="B17" s="60"/>
      <c r="C17" s="115"/>
      <c r="D17" s="13"/>
      <c r="E17" s="13"/>
      <c r="F17" s="13"/>
      <c r="G17" s="13"/>
      <c r="H17" s="13"/>
      <c r="I17" s="13"/>
      <c r="J17" s="13"/>
      <c r="K17" s="14"/>
      <c r="L17" s="13"/>
      <c r="M17" s="14"/>
      <c r="N17" s="13"/>
      <c r="O17" s="14"/>
      <c r="P17" s="13"/>
      <c r="Q17" s="14"/>
      <c r="R17" s="13"/>
      <c r="S17" s="14"/>
      <c r="T17" s="14"/>
      <c r="U17" s="14"/>
      <c r="X17" s="84"/>
    </row>
    <row r="18" spans="1:24" x14ac:dyDescent="0.25">
      <c r="A18" s="708">
        <v>5211</v>
      </c>
      <c r="B18" s="60" t="s">
        <v>1252</v>
      </c>
      <c r="C18" s="115">
        <v>6528.19</v>
      </c>
      <c r="D18" s="13">
        <v>7238.61</v>
      </c>
      <c r="E18" s="13">
        <v>6501.22</v>
      </c>
      <c r="F18" s="13">
        <v>7216.42</v>
      </c>
      <c r="G18" s="13">
        <v>6797.06</v>
      </c>
      <c r="H18" s="13">
        <v>7120.37</v>
      </c>
      <c r="I18" s="127">
        <v>7747.08</v>
      </c>
      <c r="J18" s="127">
        <v>6640.35</v>
      </c>
      <c r="K18" s="14">
        <v>8000</v>
      </c>
      <c r="L18" s="127">
        <v>7158.57</v>
      </c>
      <c r="M18" s="14">
        <v>8000</v>
      </c>
      <c r="N18" s="127">
        <v>8634.43</v>
      </c>
      <c r="O18" s="14">
        <f>4000+8000</f>
        <v>12000</v>
      </c>
      <c r="P18" s="13">
        <v>12007.5</v>
      </c>
      <c r="Q18" s="14">
        <v>12500</v>
      </c>
      <c r="R18" s="13">
        <v>5562.45</v>
      </c>
      <c r="S18" s="14">
        <v>12500</v>
      </c>
      <c r="T18" s="14"/>
      <c r="U18" s="14"/>
      <c r="X18" s="2"/>
    </row>
    <row r="19" spans="1:24" x14ac:dyDescent="0.25">
      <c r="A19" s="708">
        <v>5213</v>
      </c>
      <c r="B19" s="60" t="s">
        <v>1302</v>
      </c>
      <c r="C19" s="115">
        <v>10256.49</v>
      </c>
      <c r="D19" s="13">
        <v>12343.26</v>
      </c>
      <c r="E19" s="13">
        <v>11693.15</v>
      </c>
      <c r="F19" s="13">
        <v>7640.51</v>
      </c>
      <c r="G19" s="13">
        <v>5614.06</v>
      </c>
      <c r="H19" s="13">
        <v>7122.89</v>
      </c>
      <c r="I19" s="127">
        <v>9577.5300000000007</v>
      </c>
      <c r="J19" s="127">
        <v>7786.05</v>
      </c>
      <c r="K19" s="14">
        <v>10700</v>
      </c>
      <c r="L19" s="127">
        <v>5704.58</v>
      </c>
      <c r="M19" s="14">
        <v>10700</v>
      </c>
      <c r="N19" s="127">
        <v>8573.01</v>
      </c>
      <c r="O19" s="14">
        <v>10700</v>
      </c>
      <c r="P19" s="13">
        <v>9019.93</v>
      </c>
      <c r="Q19" s="14">
        <v>16100</v>
      </c>
      <c r="R19" s="13">
        <v>1774.81</v>
      </c>
      <c r="S19" s="14">
        <v>16100</v>
      </c>
      <c r="T19" s="14"/>
      <c r="U19" s="14"/>
      <c r="X19" s="2"/>
    </row>
    <row r="20" spans="1:24" x14ac:dyDescent="0.25">
      <c r="A20" s="708">
        <v>5231</v>
      </c>
      <c r="B20" s="12" t="s">
        <v>1284</v>
      </c>
      <c r="C20" s="13">
        <v>138</v>
      </c>
      <c r="D20" s="13">
        <v>135</v>
      </c>
      <c r="E20" s="13">
        <v>145.6</v>
      </c>
      <c r="F20" s="13">
        <v>139.19999999999999</v>
      </c>
      <c r="G20" s="13">
        <v>135.6</v>
      </c>
      <c r="H20" s="13">
        <v>133.19999999999999</v>
      </c>
      <c r="I20" s="127">
        <v>135.6</v>
      </c>
      <c r="J20" s="127">
        <v>184.5</v>
      </c>
      <c r="K20" s="14">
        <v>150</v>
      </c>
      <c r="L20" s="127">
        <v>132</v>
      </c>
      <c r="M20" s="14">
        <v>150</v>
      </c>
      <c r="N20" s="127">
        <v>191.8</v>
      </c>
      <c r="O20" s="14">
        <v>150</v>
      </c>
      <c r="P20" s="13">
        <v>146</v>
      </c>
      <c r="Q20" s="14">
        <v>200</v>
      </c>
      <c r="R20" s="13">
        <v>168.5</v>
      </c>
      <c r="S20" s="14">
        <v>200</v>
      </c>
      <c r="T20" s="14"/>
      <c r="U20" s="14"/>
    </row>
    <row r="21" spans="1:24" x14ac:dyDescent="0.25">
      <c r="A21" s="708">
        <v>5232</v>
      </c>
      <c r="B21" s="12" t="s">
        <v>478</v>
      </c>
      <c r="C21" s="13">
        <v>252</v>
      </c>
      <c r="D21" s="13">
        <v>246.16</v>
      </c>
      <c r="E21" s="13">
        <v>233.72</v>
      </c>
      <c r="F21" s="13">
        <v>277.2</v>
      </c>
      <c r="G21" s="13">
        <v>280</v>
      </c>
      <c r="H21" s="13">
        <v>204.48</v>
      </c>
      <c r="I21" s="127">
        <v>322.08</v>
      </c>
      <c r="J21" s="127">
        <v>352.64</v>
      </c>
      <c r="K21" s="14">
        <v>350</v>
      </c>
      <c r="L21" s="127">
        <v>457.84</v>
      </c>
      <c r="M21" s="14">
        <v>350</v>
      </c>
      <c r="N21" s="127">
        <v>416.82</v>
      </c>
      <c r="O21" s="14">
        <v>350</v>
      </c>
      <c r="P21" s="13">
        <v>488.84</v>
      </c>
      <c r="Q21" s="14">
        <v>450</v>
      </c>
      <c r="R21" s="13">
        <v>265.26</v>
      </c>
      <c r="S21" s="14">
        <v>450</v>
      </c>
      <c r="T21" s="14"/>
      <c r="U21" s="14"/>
    </row>
    <row r="22" spans="1:24" x14ac:dyDescent="0.25">
      <c r="A22" s="708">
        <v>5241</v>
      </c>
      <c r="B22" s="12" t="s">
        <v>1303</v>
      </c>
      <c r="C22" s="13"/>
      <c r="D22" s="13"/>
      <c r="E22" s="13"/>
      <c r="F22" s="13"/>
      <c r="G22" s="13"/>
      <c r="H22" s="13"/>
      <c r="I22" s="127"/>
      <c r="J22" s="127"/>
      <c r="K22" s="14">
        <v>715</v>
      </c>
      <c r="L22" s="127">
        <v>575</v>
      </c>
      <c r="M22" s="14"/>
      <c r="N22" s="127">
        <v>71.849999999999994</v>
      </c>
      <c r="O22" s="14">
        <v>4500</v>
      </c>
      <c r="P22" s="13">
        <v>3201.21</v>
      </c>
      <c r="Q22" s="14">
        <v>4500</v>
      </c>
      <c r="R22" s="13">
        <v>59.04</v>
      </c>
      <c r="S22" s="14">
        <v>4500</v>
      </c>
      <c r="T22" s="14"/>
      <c r="U22" s="14"/>
    </row>
    <row r="23" spans="1:24" x14ac:dyDescent="0.25">
      <c r="A23" s="708">
        <v>5242</v>
      </c>
      <c r="B23" s="12" t="s">
        <v>1304</v>
      </c>
      <c r="C23" s="13"/>
      <c r="D23" s="13"/>
      <c r="E23" s="13"/>
      <c r="F23" s="13"/>
      <c r="G23" s="13"/>
      <c r="H23" s="13"/>
      <c r="I23" s="127"/>
      <c r="J23" s="127">
        <v>506.69</v>
      </c>
      <c r="K23" s="14"/>
      <c r="L23" s="127">
        <v>324</v>
      </c>
      <c r="M23" s="14">
        <v>715</v>
      </c>
      <c r="N23" s="127">
        <v>619</v>
      </c>
      <c r="O23" s="14">
        <v>715</v>
      </c>
      <c r="P23" s="13">
        <v>535.5</v>
      </c>
      <c r="Q23" s="14">
        <v>715</v>
      </c>
      <c r="R23" s="13">
        <v>546.83000000000004</v>
      </c>
      <c r="S23" s="14">
        <v>715</v>
      </c>
      <c r="T23" s="14"/>
      <c r="U23" s="14"/>
    </row>
    <row r="24" spans="1:24" x14ac:dyDescent="0.25">
      <c r="A24" s="708">
        <v>5247</v>
      </c>
      <c r="B24" s="12" t="s">
        <v>1305</v>
      </c>
      <c r="C24" s="13">
        <v>11095</v>
      </c>
      <c r="D24" s="13">
        <v>12472</v>
      </c>
      <c r="E24" s="13">
        <v>11895.93</v>
      </c>
      <c r="F24" s="13">
        <v>11092.95</v>
      </c>
      <c r="G24" s="13">
        <v>12025</v>
      </c>
      <c r="H24" s="13">
        <v>14542</v>
      </c>
      <c r="I24" s="127">
        <v>15438.4</v>
      </c>
      <c r="J24" s="127">
        <v>15168.13</v>
      </c>
      <c r="K24" s="14">
        <v>15500</v>
      </c>
      <c r="L24" s="127">
        <v>16158.81</v>
      </c>
      <c r="M24" s="14">
        <v>15500</v>
      </c>
      <c r="N24" s="127">
        <v>13688.5</v>
      </c>
      <c r="O24" s="14">
        <v>15500</v>
      </c>
      <c r="P24" s="13">
        <v>12541</v>
      </c>
      <c r="Q24" s="14">
        <v>15500</v>
      </c>
      <c r="R24" s="13">
        <v>12819</v>
      </c>
      <c r="S24" s="14">
        <v>15100</v>
      </c>
      <c r="T24" s="14"/>
      <c r="U24" s="14"/>
    </row>
    <row r="25" spans="1:24" x14ac:dyDescent="0.25">
      <c r="A25" s="708">
        <v>5248</v>
      </c>
      <c r="B25" s="12" t="s">
        <v>787</v>
      </c>
      <c r="C25" s="13"/>
      <c r="D25" s="13">
        <v>455.76</v>
      </c>
      <c r="E25" s="13"/>
      <c r="F25" s="13">
        <v>333.32</v>
      </c>
      <c r="G25" s="13">
        <v>703</v>
      </c>
      <c r="H25" s="13">
        <v>545</v>
      </c>
      <c r="I25" s="127">
        <v>917.23</v>
      </c>
      <c r="J25" s="127">
        <v>400</v>
      </c>
      <c r="K25" s="14">
        <v>700</v>
      </c>
      <c r="L25" s="127">
        <v>2034.57</v>
      </c>
      <c r="M25" s="14">
        <v>700</v>
      </c>
      <c r="N25" s="127"/>
      <c r="O25" s="14">
        <v>700</v>
      </c>
      <c r="P25" s="13">
        <v>569.55999999999995</v>
      </c>
      <c r="Q25" s="14">
        <v>700</v>
      </c>
      <c r="R25" s="13">
        <v>325.95999999999998</v>
      </c>
      <c r="S25" s="14">
        <v>700</v>
      </c>
      <c r="T25" s="14"/>
      <c r="U25" s="14"/>
    </row>
    <row r="26" spans="1:24" hidden="1" x14ac:dyDescent="0.25">
      <c r="A26" s="708">
        <v>5341</v>
      </c>
      <c r="B26" s="12" t="s">
        <v>751</v>
      </c>
      <c r="C26" s="13">
        <v>1126.05</v>
      </c>
      <c r="D26" s="13">
        <v>1122.06</v>
      </c>
      <c r="E26" s="13">
        <v>1125.47</v>
      </c>
      <c r="F26" s="13">
        <v>1252.81</v>
      </c>
      <c r="G26" s="13">
        <v>1280.8599999999999</v>
      </c>
      <c r="H26" s="13"/>
      <c r="I26" s="127"/>
      <c r="J26" s="127"/>
      <c r="K26" s="14"/>
      <c r="L26" s="127"/>
      <c r="M26" s="14"/>
      <c r="N26" s="127"/>
      <c r="O26" s="14"/>
      <c r="P26" s="13"/>
      <c r="Q26" s="14"/>
      <c r="R26" s="13"/>
      <c r="S26" s="14"/>
      <c r="T26" s="14"/>
      <c r="U26" s="14"/>
      <c r="X26" s="25"/>
    </row>
    <row r="27" spans="1:24" x14ac:dyDescent="0.25">
      <c r="A27" s="708">
        <v>5342</v>
      </c>
      <c r="B27" s="12" t="s">
        <v>1306</v>
      </c>
      <c r="C27" s="13"/>
      <c r="D27" s="13"/>
      <c r="E27" s="13"/>
      <c r="F27" s="13"/>
      <c r="G27" s="13"/>
      <c r="H27" s="13"/>
      <c r="I27" s="127"/>
      <c r="J27" s="127"/>
      <c r="K27" s="14"/>
      <c r="L27" s="127"/>
      <c r="M27" s="14">
        <v>2460</v>
      </c>
      <c r="N27" s="127">
        <v>2801.4</v>
      </c>
      <c r="O27" s="14">
        <v>4860</v>
      </c>
      <c r="P27" s="13">
        <v>4622.8999999999996</v>
      </c>
      <c r="Q27" s="14">
        <v>4860</v>
      </c>
      <c r="R27" s="13">
        <v>1939.35</v>
      </c>
      <c r="S27" s="14">
        <v>2460</v>
      </c>
      <c r="T27" s="14"/>
      <c r="U27" s="14"/>
      <c r="X27" s="25"/>
    </row>
    <row r="28" spans="1:24" x14ac:dyDescent="0.25">
      <c r="A28" s="708">
        <v>5344</v>
      </c>
      <c r="B28" s="12" t="s">
        <v>722</v>
      </c>
      <c r="C28" s="13">
        <v>179.19</v>
      </c>
      <c r="D28" s="13">
        <v>88.46</v>
      </c>
      <c r="E28" s="13">
        <v>176.99</v>
      </c>
      <c r="F28" s="13">
        <v>179.51</v>
      </c>
      <c r="G28" s="13">
        <v>213.48</v>
      </c>
      <c r="H28" s="13">
        <v>184.31</v>
      </c>
      <c r="I28" s="127">
        <v>216.19</v>
      </c>
      <c r="J28" s="127">
        <v>317.29000000000002</v>
      </c>
      <c r="K28" s="14">
        <v>200</v>
      </c>
      <c r="L28" s="127">
        <v>243.25</v>
      </c>
      <c r="M28" s="14">
        <v>200</v>
      </c>
      <c r="N28" s="127">
        <v>87.84</v>
      </c>
      <c r="O28" s="14">
        <v>500</v>
      </c>
      <c r="P28" s="13">
        <v>141.35</v>
      </c>
      <c r="Q28" s="14">
        <v>500</v>
      </c>
      <c r="R28" s="13">
        <v>136.34</v>
      </c>
      <c r="S28" s="14">
        <v>500</v>
      </c>
      <c r="T28" s="14"/>
      <c r="U28" s="14"/>
      <c r="X28" s="25"/>
    </row>
    <row r="29" spans="1:24" x14ac:dyDescent="0.25">
      <c r="A29" s="708">
        <v>5345</v>
      </c>
      <c r="B29" s="12" t="s">
        <v>752</v>
      </c>
      <c r="C29" s="13">
        <v>122.62</v>
      </c>
      <c r="D29" s="13">
        <v>321.16000000000003</v>
      </c>
      <c r="E29" s="13"/>
      <c r="F29" s="13">
        <v>138.38</v>
      </c>
      <c r="G29" s="13">
        <v>50</v>
      </c>
      <c r="H29" s="13">
        <v>234.93</v>
      </c>
      <c r="I29" s="127">
        <v>256.62</v>
      </c>
      <c r="J29" s="127">
        <v>66.09</v>
      </c>
      <c r="K29" s="14">
        <v>200</v>
      </c>
      <c r="L29" s="127">
        <v>288.5</v>
      </c>
      <c r="M29" s="14">
        <v>200</v>
      </c>
      <c r="N29" s="127">
        <v>989.35</v>
      </c>
      <c r="O29" s="14">
        <v>500</v>
      </c>
      <c r="P29" s="13">
        <v>391.2</v>
      </c>
      <c r="Q29" s="14">
        <v>200</v>
      </c>
      <c r="R29" s="13">
        <v>366</v>
      </c>
      <c r="S29" s="14">
        <v>200</v>
      </c>
      <c r="T29" s="14"/>
      <c r="U29" s="14"/>
      <c r="X29" s="25"/>
    </row>
    <row r="30" spans="1:24" x14ac:dyDescent="0.25">
      <c r="A30" s="708">
        <v>5350</v>
      </c>
      <c r="B30" s="12" t="s">
        <v>1307</v>
      </c>
      <c r="C30" s="94">
        <v>1000</v>
      </c>
      <c r="D30" s="94">
        <v>6050</v>
      </c>
      <c r="E30" s="94">
        <v>5055</v>
      </c>
      <c r="F30" s="94">
        <v>5650</v>
      </c>
      <c r="G30" s="94">
        <v>5290</v>
      </c>
      <c r="H30" s="13">
        <v>6025</v>
      </c>
      <c r="I30" s="247">
        <v>6815</v>
      </c>
      <c r="J30" s="247">
        <v>6655</v>
      </c>
      <c r="K30" s="32">
        <v>6000</v>
      </c>
      <c r="L30" s="247">
        <v>3790</v>
      </c>
      <c r="M30" s="32">
        <v>6000</v>
      </c>
      <c r="N30" s="247">
        <v>5972.66</v>
      </c>
      <c r="O30" s="32">
        <v>7500</v>
      </c>
      <c r="P30" s="94">
        <v>6552.97</v>
      </c>
      <c r="Q30" s="32">
        <v>7500</v>
      </c>
      <c r="R30" s="94">
        <v>3595.68</v>
      </c>
      <c r="S30" s="32">
        <v>10400</v>
      </c>
      <c r="T30" s="32"/>
      <c r="U30" s="14"/>
      <c r="X30" s="2"/>
    </row>
    <row r="31" spans="1:24" x14ac:dyDescent="0.25">
      <c r="A31" s="708">
        <v>5360</v>
      </c>
      <c r="B31" s="12" t="s">
        <v>1308</v>
      </c>
      <c r="C31" s="94"/>
      <c r="D31" s="94"/>
      <c r="E31" s="94"/>
      <c r="F31" s="94"/>
      <c r="G31" s="94"/>
      <c r="H31" s="94"/>
      <c r="I31" s="247">
        <v>1650</v>
      </c>
      <c r="J31" s="247">
        <v>1166</v>
      </c>
      <c r="K31" s="32">
        <v>1775</v>
      </c>
      <c r="L31" s="247">
        <v>1441</v>
      </c>
      <c r="M31" s="32">
        <v>1775</v>
      </c>
      <c r="N31" s="247">
        <v>1716</v>
      </c>
      <c r="O31" s="32">
        <v>1775</v>
      </c>
      <c r="P31" s="94">
        <v>1688.64</v>
      </c>
      <c r="Q31" s="32">
        <v>1775</v>
      </c>
      <c r="R31" s="94">
        <v>710.64</v>
      </c>
      <c r="S31" s="32">
        <v>1775</v>
      </c>
      <c r="T31" s="32"/>
      <c r="U31" s="14"/>
      <c r="X31" s="2"/>
    </row>
    <row r="32" spans="1:24" x14ac:dyDescent="0.25">
      <c r="A32" s="708">
        <v>5380</v>
      </c>
      <c r="B32" s="12" t="s">
        <v>1309</v>
      </c>
      <c r="C32" s="13">
        <v>100</v>
      </c>
      <c r="D32" s="13">
        <v>106</v>
      </c>
      <c r="E32" s="13">
        <v>112</v>
      </c>
      <c r="F32" s="13">
        <v>114</v>
      </c>
      <c r="G32" s="13">
        <v>110</v>
      </c>
      <c r="H32" s="13">
        <v>116</v>
      </c>
      <c r="I32" s="127">
        <v>116</v>
      </c>
      <c r="J32" s="127">
        <v>60</v>
      </c>
      <c r="K32" s="14">
        <v>116</v>
      </c>
      <c r="L32" s="127"/>
      <c r="M32" s="14">
        <v>116</v>
      </c>
      <c r="N32" s="127"/>
      <c r="O32" s="14">
        <v>116</v>
      </c>
      <c r="P32" s="13"/>
      <c r="Q32" s="14"/>
      <c r="R32" s="13"/>
      <c r="S32" s="14"/>
      <c r="T32" s="14"/>
      <c r="U32" s="14"/>
    </row>
    <row r="33" spans="1:24" x14ac:dyDescent="0.25">
      <c r="A33" s="708">
        <v>5420</v>
      </c>
      <c r="B33" s="12" t="s">
        <v>753</v>
      </c>
      <c r="C33" s="18">
        <v>3279.66</v>
      </c>
      <c r="D33" s="18">
        <v>6687.37</v>
      </c>
      <c r="E33" s="18">
        <v>3415.71</v>
      </c>
      <c r="F33" s="18">
        <v>5197</v>
      </c>
      <c r="G33" s="18">
        <v>5791.64</v>
      </c>
      <c r="H33" s="18">
        <v>5671.04</v>
      </c>
      <c r="I33" s="111">
        <v>9037.44</v>
      </c>
      <c r="J33" s="111">
        <v>8947.49</v>
      </c>
      <c r="K33" s="19">
        <v>6000</v>
      </c>
      <c r="L33" s="111">
        <v>13368.25</v>
      </c>
      <c r="M33" s="19">
        <v>6000</v>
      </c>
      <c r="N33" s="111">
        <v>8558.24</v>
      </c>
      <c r="O33" s="19">
        <v>7000</v>
      </c>
      <c r="P33" s="18">
        <v>6146.05</v>
      </c>
      <c r="Q33" s="19">
        <v>7000</v>
      </c>
      <c r="R33" s="18">
        <v>2561.58</v>
      </c>
      <c r="S33" s="19">
        <v>6500</v>
      </c>
      <c r="T33" s="19"/>
      <c r="U33" s="19"/>
    </row>
    <row r="34" spans="1:24" x14ac:dyDescent="0.25">
      <c r="A34" s="708">
        <v>5580</v>
      </c>
      <c r="B34" s="12" t="s">
        <v>1039</v>
      </c>
      <c r="C34" s="13">
        <v>1205.0999999999999</v>
      </c>
      <c r="D34" s="13">
        <v>1212.29</v>
      </c>
      <c r="E34" s="13">
        <v>1200</v>
      </c>
      <c r="F34" s="13">
        <v>1396.61</v>
      </c>
      <c r="G34" s="13">
        <v>1434.13</v>
      </c>
      <c r="H34" s="13">
        <v>1706.55</v>
      </c>
      <c r="I34" s="127">
        <v>2931.51</v>
      </c>
      <c r="J34" s="127">
        <v>1659.73</v>
      </c>
      <c r="K34" s="14">
        <v>1600</v>
      </c>
      <c r="L34" s="127">
        <v>5052.8500000000004</v>
      </c>
      <c r="M34" s="14">
        <v>1600</v>
      </c>
      <c r="N34" s="127">
        <v>2466.19</v>
      </c>
      <c r="O34" s="14">
        <v>1600</v>
      </c>
      <c r="P34" s="13">
        <v>2414.7199999999998</v>
      </c>
      <c r="Q34" s="14">
        <v>1600</v>
      </c>
      <c r="R34" s="13">
        <v>1209.5899999999999</v>
      </c>
      <c r="S34" s="14">
        <v>2500</v>
      </c>
      <c r="T34" s="14"/>
      <c r="U34" s="14"/>
    </row>
    <row r="35" spans="1:24" x14ac:dyDescent="0.25">
      <c r="A35" s="708">
        <v>5581</v>
      </c>
      <c r="B35" s="12" t="s">
        <v>755</v>
      </c>
      <c r="C35" s="13">
        <v>31287.93</v>
      </c>
      <c r="D35" s="13">
        <v>35475.230000000003</v>
      </c>
      <c r="E35" s="13">
        <v>37931.71</v>
      </c>
      <c r="F35" s="13">
        <v>39707.629999999997</v>
      </c>
      <c r="G35" s="13">
        <v>47074.11</v>
      </c>
      <c r="H35" s="13">
        <v>50317.24</v>
      </c>
      <c r="I35" s="127">
        <v>54607.29</v>
      </c>
      <c r="J35" s="127">
        <v>56273.09</v>
      </c>
      <c r="K35" s="14">
        <v>48800</v>
      </c>
      <c r="L35" s="127">
        <v>53497.66</v>
      </c>
      <c r="M35" s="14">
        <v>48800</v>
      </c>
      <c r="N35" s="127">
        <v>47675.360000000001</v>
      </c>
      <c r="O35" s="14">
        <v>47000</v>
      </c>
      <c r="P35" s="13">
        <v>47483.62</v>
      </c>
      <c r="Q35" s="14">
        <v>49000</v>
      </c>
      <c r="R35" s="13">
        <v>20712.830000000002</v>
      </c>
      <c r="S35" s="14">
        <v>49000</v>
      </c>
      <c r="T35" s="14"/>
      <c r="U35" s="14"/>
    </row>
    <row r="36" spans="1:24" x14ac:dyDescent="0.25">
      <c r="A36" s="708">
        <v>5585</v>
      </c>
      <c r="B36" s="12" t="s">
        <v>1920</v>
      </c>
      <c r="C36" s="13"/>
      <c r="D36" s="13"/>
      <c r="E36" s="13"/>
      <c r="F36" s="13"/>
      <c r="G36" s="13"/>
      <c r="H36" s="13"/>
      <c r="I36" s="127"/>
      <c r="J36" s="127"/>
      <c r="K36" s="14"/>
      <c r="L36" s="127"/>
      <c r="M36" s="14"/>
      <c r="N36" s="127"/>
      <c r="O36" s="14">
        <v>5000</v>
      </c>
      <c r="P36" s="13">
        <v>2192.5700000000002</v>
      </c>
      <c r="Q36" s="14">
        <v>5000</v>
      </c>
      <c r="R36" s="13">
        <v>797.96</v>
      </c>
      <c r="S36" s="14">
        <v>7400</v>
      </c>
      <c r="T36" s="14"/>
      <c r="U36" s="14"/>
    </row>
    <row r="37" spans="1:24" x14ac:dyDescent="0.25">
      <c r="A37" s="708">
        <v>5587</v>
      </c>
      <c r="B37" s="12" t="s">
        <v>1310</v>
      </c>
      <c r="C37" s="13">
        <v>26171.85</v>
      </c>
      <c r="D37" s="13">
        <v>26921.83</v>
      </c>
      <c r="E37" s="13">
        <v>29068.29</v>
      </c>
      <c r="F37" s="13">
        <v>33945.919999999998</v>
      </c>
      <c r="G37" s="13">
        <v>31235.09</v>
      </c>
      <c r="H37" s="13">
        <v>32881.35</v>
      </c>
      <c r="I37" s="127">
        <v>35090.83</v>
      </c>
      <c r="J37" s="127">
        <v>31435.41</v>
      </c>
      <c r="K37" s="14">
        <v>37800</v>
      </c>
      <c r="L37" s="127">
        <v>29396.58</v>
      </c>
      <c r="M37" s="14">
        <v>37800</v>
      </c>
      <c r="N37" s="127">
        <v>31776.31</v>
      </c>
      <c r="O37" s="14">
        <v>35000</v>
      </c>
      <c r="P37" s="13">
        <v>34265.56</v>
      </c>
      <c r="Q37" s="14">
        <v>33000</v>
      </c>
      <c r="R37" s="13">
        <v>10960.27</v>
      </c>
      <c r="S37" s="14">
        <v>33000</v>
      </c>
      <c r="T37" s="14"/>
      <c r="U37" s="14"/>
    </row>
    <row r="38" spans="1:24" x14ac:dyDescent="0.25">
      <c r="A38" s="708">
        <v>5590</v>
      </c>
      <c r="B38" s="4" t="s">
        <v>934</v>
      </c>
      <c r="C38" s="13">
        <v>839.2</v>
      </c>
      <c r="D38" s="13">
        <v>424.94</v>
      </c>
      <c r="E38" s="13">
        <v>64.989999999999995</v>
      </c>
      <c r="F38" s="13">
        <v>837.33</v>
      </c>
      <c r="G38" s="13"/>
      <c r="H38" s="13">
        <v>762.11</v>
      </c>
      <c r="I38" s="127">
        <v>2266.85</v>
      </c>
      <c r="J38" s="127">
        <v>38.69</v>
      </c>
      <c r="K38" s="14">
        <v>1000</v>
      </c>
      <c r="L38" s="127">
        <v>4465.55</v>
      </c>
      <c r="M38" s="14">
        <v>1000</v>
      </c>
      <c r="N38" s="127">
        <v>692.26</v>
      </c>
      <c r="O38" s="14">
        <v>1000</v>
      </c>
      <c r="P38" s="13">
        <v>4165</v>
      </c>
      <c r="Q38" s="14">
        <v>1000</v>
      </c>
      <c r="R38" s="13"/>
      <c r="S38" s="14">
        <v>4000</v>
      </c>
      <c r="T38" s="14"/>
      <c r="U38" s="14"/>
    </row>
    <row r="39" spans="1:24" x14ac:dyDescent="0.25">
      <c r="A39" s="708">
        <v>5710</v>
      </c>
      <c r="B39" s="12" t="s">
        <v>758</v>
      </c>
      <c r="C39" s="18">
        <v>1628.73</v>
      </c>
      <c r="D39" s="18">
        <v>1042.58</v>
      </c>
      <c r="E39" s="18">
        <v>790.05</v>
      </c>
      <c r="F39" s="18">
        <v>1440.67</v>
      </c>
      <c r="G39" s="18">
        <v>1047.8499999999999</v>
      </c>
      <c r="H39" s="18">
        <v>1446.34</v>
      </c>
      <c r="I39" s="111">
        <v>1229.06</v>
      </c>
      <c r="J39" s="111">
        <v>947.19</v>
      </c>
      <c r="K39" s="19">
        <v>1400</v>
      </c>
      <c r="L39" s="111">
        <v>797.72</v>
      </c>
      <c r="M39" s="19">
        <v>1400</v>
      </c>
      <c r="N39" s="111">
        <v>1135.03</v>
      </c>
      <c r="O39" s="19">
        <v>1400</v>
      </c>
      <c r="P39" s="18">
        <v>1838.43</v>
      </c>
      <c r="Q39" s="19">
        <v>1400</v>
      </c>
      <c r="R39" s="18">
        <v>486.87</v>
      </c>
      <c r="S39" s="19">
        <v>1400</v>
      </c>
      <c r="T39" s="19"/>
      <c r="U39" s="19"/>
    </row>
    <row r="40" spans="1:24" ht="13.8" thickBot="1" x14ac:dyDescent="0.3">
      <c r="A40" s="708">
        <v>5730</v>
      </c>
      <c r="B40" s="12" t="s">
        <v>759</v>
      </c>
      <c r="C40" s="15"/>
      <c r="D40" s="15">
        <v>40</v>
      </c>
      <c r="E40" s="15"/>
      <c r="F40" s="15">
        <v>100</v>
      </c>
      <c r="G40" s="15">
        <v>104</v>
      </c>
      <c r="H40" s="15"/>
      <c r="I40" s="252"/>
      <c r="J40" s="252"/>
      <c r="K40" s="16">
        <v>100</v>
      </c>
      <c r="L40" s="252"/>
      <c r="M40" s="16">
        <v>100</v>
      </c>
      <c r="N40" s="252">
        <v>50</v>
      </c>
      <c r="O40" s="16">
        <v>100</v>
      </c>
      <c r="P40" s="15"/>
      <c r="Q40" s="16">
        <v>100</v>
      </c>
      <c r="R40" s="15">
        <v>443</v>
      </c>
      <c r="S40" s="16">
        <v>100</v>
      </c>
      <c r="T40" s="16"/>
      <c r="U40" s="16"/>
    </row>
    <row r="41" spans="1:24" x14ac:dyDescent="0.25">
      <c r="A41" s="708"/>
      <c r="B41" s="17" t="s">
        <v>728</v>
      </c>
      <c r="C41" s="13">
        <f t="shared" ref="C41:U41" si="2">SUM(C18:C40)</f>
        <v>95210.00999999998</v>
      </c>
      <c r="D41" s="13">
        <f t="shared" si="2"/>
        <v>112382.71000000002</v>
      </c>
      <c r="E41" s="13">
        <f t="shared" si="2"/>
        <v>109409.83000000002</v>
      </c>
      <c r="F41" s="18">
        <f t="shared" si="2"/>
        <v>116659.46</v>
      </c>
      <c r="G41" s="18">
        <f t="shared" si="2"/>
        <v>119185.88</v>
      </c>
      <c r="H41" s="18">
        <f t="shared" si="2"/>
        <v>129012.81000000001</v>
      </c>
      <c r="I41" s="18">
        <f t="shared" si="2"/>
        <v>148354.71000000002</v>
      </c>
      <c r="J41" s="18">
        <f t="shared" si="2"/>
        <v>138604.34</v>
      </c>
      <c r="K41" s="19">
        <f t="shared" si="2"/>
        <v>141106</v>
      </c>
      <c r="L41" s="111">
        <f t="shared" ref="L41:O41" si="3">SUM(L18:L40)</f>
        <v>144886.73000000001</v>
      </c>
      <c r="M41" s="19">
        <f t="shared" si="3"/>
        <v>143566</v>
      </c>
      <c r="N41" s="111">
        <f t="shared" ref="N41" si="4">SUM(N18:N40)</f>
        <v>136116.04999999999</v>
      </c>
      <c r="O41" s="19">
        <f t="shared" si="3"/>
        <v>157966</v>
      </c>
      <c r="P41" s="18">
        <f t="shared" ref="P41" si="5">SUM(P18:P40)</f>
        <v>150412.54999999999</v>
      </c>
      <c r="Q41" s="19">
        <f t="shared" ref="Q41" si="6">SUM(Q18:Q40)</f>
        <v>163600</v>
      </c>
      <c r="R41" s="13">
        <f t="shared" si="2"/>
        <v>65441.96</v>
      </c>
      <c r="S41" s="19">
        <f t="shared" si="2"/>
        <v>169500</v>
      </c>
      <c r="T41" s="19"/>
      <c r="U41" s="19">
        <f t="shared" si="2"/>
        <v>0</v>
      </c>
    </row>
    <row r="42" spans="1:24" x14ac:dyDescent="0.25">
      <c r="A42" s="708"/>
      <c r="B42" s="17"/>
      <c r="C42" s="13"/>
      <c r="D42" s="13"/>
      <c r="E42" s="13"/>
      <c r="F42" s="13"/>
      <c r="G42" s="13"/>
      <c r="H42" s="13"/>
      <c r="I42" s="13"/>
      <c r="J42" s="13"/>
      <c r="K42" s="14"/>
      <c r="L42" s="13"/>
      <c r="M42" s="14"/>
      <c r="N42" s="13"/>
      <c r="O42" s="14"/>
      <c r="P42" s="13"/>
      <c r="Q42" s="14"/>
      <c r="R42" s="13"/>
      <c r="S42" s="14"/>
      <c r="T42" s="14"/>
      <c r="U42" s="14"/>
    </row>
    <row r="43" spans="1:24" ht="13.8" hidden="1" thickBot="1" x14ac:dyDescent="0.3">
      <c r="A43" s="737">
        <v>5800</v>
      </c>
      <c r="B43" s="60" t="s">
        <v>1259</v>
      </c>
      <c r="C43" s="15"/>
      <c r="D43" s="15"/>
      <c r="E43" s="15"/>
      <c r="F43" s="15"/>
      <c r="G43" s="15"/>
      <c r="H43" s="15"/>
      <c r="I43" s="15"/>
      <c r="J43" s="15"/>
      <c r="K43" s="41"/>
      <c r="L43" s="15"/>
      <c r="M43" s="41"/>
      <c r="N43" s="15"/>
      <c r="O43" s="41"/>
      <c r="P43" s="15"/>
      <c r="Q43" s="41"/>
      <c r="R43" s="16"/>
      <c r="S43" s="41"/>
      <c r="T43" s="41"/>
      <c r="U43" s="41"/>
    </row>
    <row r="44" spans="1:24" hidden="1" x14ac:dyDescent="0.25">
      <c r="A44" s="737"/>
      <c r="B44" s="107" t="s">
        <v>829</v>
      </c>
      <c r="C44" s="28">
        <f t="shared" ref="C44:R44" si="7">+C43</f>
        <v>0</v>
      </c>
      <c r="D44" s="28">
        <f t="shared" si="7"/>
        <v>0</v>
      </c>
      <c r="E44" s="28">
        <f>+E43</f>
        <v>0</v>
      </c>
      <c r="F44" s="28"/>
      <c r="G44" s="28"/>
      <c r="H44" s="28"/>
      <c r="I44" s="28">
        <f>+I43</f>
        <v>0</v>
      </c>
      <c r="J44" s="28">
        <f>+J43</f>
        <v>0</v>
      </c>
      <c r="K44" s="29">
        <f>+K43</f>
        <v>0</v>
      </c>
      <c r="L44" s="28">
        <f t="shared" ref="L44:O44" si="8">+L43</f>
        <v>0</v>
      </c>
      <c r="M44" s="29">
        <f t="shared" si="8"/>
        <v>0</v>
      </c>
      <c r="N44" s="28">
        <f t="shared" ref="N44" si="9">+N43</f>
        <v>0</v>
      </c>
      <c r="O44" s="29">
        <f t="shared" si="8"/>
        <v>0</v>
      </c>
      <c r="P44" s="28">
        <f t="shared" ref="P44" si="10">+P43</f>
        <v>0</v>
      </c>
      <c r="Q44" s="29">
        <f>+Q43</f>
        <v>0</v>
      </c>
      <c r="R44" s="28">
        <f t="shared" si="7"/>
        <v>0</v>
      </c>
      <c r="S44" s="29">
        <f>+S43</f>
        <v>0</v>
      </c>
      <c r="T44" s="29"/>
      <c r="U44" s="29">
        <f>+U43</f>
        <v>0</v>
      </c>
    </row>
    <row r="45" spans="1:24" hidden="1" x14ac:dyDescent="0.25">
      <c r="A45" s="737"/>
      <c r="B45" s="107"/>
      <c r="C45" s="35"/>
      <c r="D45" s="35"/>
      <c r="E45" s="35"/>
      <c r="F45" s="35"/>
      <c r="G45" s="35"/>
      <c r="H45" s="35"/>
      <c r="I45" s="35"/>
      <c r="J45" s="35"/>
      <c r="K45" s="36"/>
      <c r="L45" s="35"/>
      <c r="M45" s="36"/>
      <c r="N45" s="35"/>
      <c r="O45" s="36"/>
      <c r="P45" s="35"/>
      <c r="Q45" s="36"/>
      <c r="R45" s="35"/>
      <c r="S45" s="36"/>
      <c r="T45" s="36"/>
      <c r="U45" s="36"/>
    </row>
    <row r="46" spans="1:24" ht="13.8" thickBot="1" x14ac:dyDescent="0.3">
      <c r="A46" s="709"/>
      <c r="B46" s="20" t="s">
        <v>1311</v>
      </c>
      <c r="C46" s="21">
        <f>+C41+C16+C44</f>
        <v>303901</v>
      </c>
      <c r="D46" s="21">
        <f>+D41+D16+D44</f>
        <v>325233</v>
      </c>
      <c r="E46" s="21">
        <f>+E41+E16+E44</f>
        <v>337643</v>
      </c>
      <c r="F46" s="21">
        <f>+F41+F16</f>
        <v>351149.00000000006</v>
      </c>
      <c r="G46" s="21">
        <f>+G41+G16</f>
        <v>364970</v>
      </c>
      <c r="H46" s="21">
        <f>+H41+H16</f>
        <v>386328.00000000006</v>
      </c>
      <c r="I46" s="21">
        <f>+I41+I16+I44</f>
        <v>401962</v>
      </c>
      <c r="J46" s="21">
        <f>+J41+J16+J44</f>
        <v>411071</v>
      </c>
      <c r="K46" s="39">
        <f>+K41+K16+K44</f>
        <v>426950</v>
      </c>
      <c r="L46" s="21">
        <f t="shared" ref="L46:O46" si="11">+L41+L16+L44</f>
        <v>426453.92999999993</v>
      </c>
      <c r="M46" s="39">
        <f t="shared" si="11"/>
        <v>437744</v>
      </c>
      <c r="N46" s="21">
        <f t="shared" ref="N46" si="12">+N41+N16+N44</f>
        <v>446390.26999999996</v>
      </c>
      <c r="O46" s="39">
        <f t="shared" si="11"/>
        <v>465607</v>
      </c>
      <c r="P46" s="21">
        <f t="shared" ref="P46" si="13">+P41+P16+P44</f>
        <v>459387.24</v>
      </c>
      <c r="Q46" s="39">
        <f>+Q41+Q16+Q44</f>
        <v>503336</v>
      </c>
      <c r="R46" s="21">
        <f>+R41+R16+R44</f>
        <v>225822.58</v>
      </c>
      <c r="S46" s="39">
        <f>+S41+S16+S44</f>
        <v>518233</v>
      </c>
      <c r="T46" s="39">
        <f>+S46</f>
        <v>518233</v>
      </c>
      <c r="U46" s="39">
        <f>+S46</f>
        <v>518233</v>
      </c>
    </row>
    <row r="47" spans="1:24" ht="13.8" thickTop="1" x14ac:dyDescent="0.25">
      <c r="A47" s="703"/>
      <c r="B47" s="74"/>
      <c r="C47" s="24"/>
      <c r="D47" s="24"/>
      <c r="E47" s="24"/>
      <c r="F47" s="24"/>
      <c r="G47" s="24"/>
      <c r="H47" s="24"/>
      <c r="I47" s="188"/>
      <c r="J47" s="188"/>
      <c r="K47" s="188"/>
      <c r="L47" s="188"/>
      <c r="M47" s="188"/>
      <c r="N47" s="188"/>
      <c r="O47" s="188"/>
      <c r="P47" s="188"/>
      <c r="Q47" s="188"/>
      <c r="R47" s="181" t="s">
        <v>732</v>
      </c>
      <c r="S47" s="1001">
        <f>+S46-Q46</f>
        <v>14897</v>
      </c>
      <c r="T47" s="1002">
        <f>ROUND((+S47/Q46),4)</f>
        <v>2.9600000000000001E-2</v>
      </c>
      <c r="U47" s="188"/>
    </row>
    <row r="48" spans="1:24" ht="15.6" x14ac:dyDescent="0.3">
      <c r="A48" s="703"/>
      <c r="B48" s="4"/>
      <c r="C48" s="23"/>
      <c r="D48" s="23"/>
      <c r="E48" s="23"/>
      <c r="F48" s="23"/>
      <c r="G48" s="23"/>
      <c r="H48" s="23"/>
      <c r="I48" s="23"/>
      <c r="J48" s="23"/>
      <c r="K48" s="23"/>
      <c r="L48" s="23"/>
      <c r="M48" s="23"/>
      <c r="N48" s="23"/>
      <c r="O48" s="23"/>
      <c r="P48" s="23"/>
      <c r="Q48" s="23"/>
      <c r="R48" s="25"/>
      <c r="S48" s="23"/>
      <c r="T48" s="23"/>
      <c r="U48" s="23"/>
      <c r="V48" s="25"/>
      <c r="W48" s="183"/>
      <c r="X48" s="25"/>
    </row>
    <row r="49" spans="1:24" x14ac:dyDescent="0.25">
      <c r="A49" s="703"/>
      <c r="B49" s="4"/>
      <c r="C49" s="23"/>
      <c r="D49" s="23"/>
      <c r="E49" s="23"/>
      <c r="F49" s="23"/>
      <c r="G49" s="23"/>
      <c r="H49" s="23"/>
      <c r="I49" s="23"/>
      <c r="J49" s="23"/>
      <c r="K49" s="23"/>
      <c r="L49" s="23"/>
      <c r="M49" s="23"/>
      <c r="N49" s="23"/>
      <c r="O49" s="23"/>
      <c r="P49" s="23"/>
      <c r="Q49" s="23"/>
      <c r="R49" s="25"/>
      <c r="S49" s="23"/>
      <c r="T49" s="23"/>
      <c r="U49" s="25"/>
      <c r="V49" s="25"/>
      <c r="W49" s="25"/>
      <c r="X49" s="25"/>
    </row>
    <row r="50" spans="1:24" x14ac:dyDescent="0.25">
      <c r="A50" s="703" t="s">
        <v>793</v>
      </c>
      <c r="B50" s="4"/>
      <c r="D50" s="194"/>
      <c r="E50" s="194"/>
      <c r="F50" s="194"/>
      <c r="G50" s="194"/>
      <c r="H50" s="194"/>
      <c r="I50" s="194"/>
      <c r="J50" s="194"/>
      <c r="K50" s="194"/>
      <c r="L50" s="194"/>
      <c r="M50" s="194"/>
      <c r="N50" s="194"/>
      <c r="O50" s="194"/>
      <c r="P50" s="194"/>
      <c r="Q50" s="194"/>
    </row>
    <row r="51" spans="1:24" x14ac:dyDescent="0.25">
      <c r="A51" s="703"/>
      <c r="B51" s="4"/>
      <c r="D51" s="194"/>
      <c r="E51" s="194"/>
      <c r="F51" s="194"/>
      <c r="G51" s="194"/>
      <c r="H51" s="194"/>
      <c r="I51" s="194"/>
      <c r="J51" s="194"/>
      <c r="K51" s="194"/>
      <c r="L51" s="194"/>
      <c r="M51" s="194"/>
      <c r="N51" s="194"/>
      <c r="O51" s="194"/>
      <c r="P51" s="194"/>
      <c r="Q51" s="194"/>
    </row>
    <row r="52" spans="1:24" ht="13.8" thickBot="1" x14ac:dyDescent="0.3">
      <c r="A52" s="703"/>
      <c r="B52" s="4"/>
      <c r="D52" s="194"/>
      <c r="E52" s="194"/>
      <c r="F52" s="194"/>
      <c r="G52" s="194"/>
      <c r="H52" s="194"/>
      <c r="I52" s="194"/>
      <c r="J52" s="194"/>
      <c r="K52" s="194"/>
      <c r="L52" s="194"/>
      <c r="M52" s="194"/>
      <c r="N52" s="194"/>
      <c r="O52" s="194"/>
      <c r="P52" s="194"/>
      <c r="Q52" s="194"/>
    </row>
    <row r="53" spans="1:24" ht="13.8" thickTop="1" x14ac:dyDescent="0.25">
      <c r="A53" s="710" t="s">
        <v>760</v>
      </c>
      <c r="B53" s="98"/>
      <c r="D53" s="194"/>
      <c r="E53" s="194"/>
      <c r="F53" s="194"/>
      <c r="G53" s="194"/>
      <c r="H53" s="194"/>
      <c r="I53" s="194"/>
      <c r="J53" s="194"/>
      <c r="K53" s="194"/>
      <c r="L53" s="194"/>
      <c r="O53" s="251" t="s">
        <v>761</v>
      </c>
      <c r="P53" s="137" t="s">
        <v>762</v>
      </c>
      <c r="Q53" s="149"/>
      <c r="R53" s="139" t="s">
        <v>763</v>
      </c>
      <c r="S53"/>
      <c r="T53" s="187" t="s">
        <v>764</v>
      </c>
      <c r="U53" s="187" t="s">
        <v>27</v>
      </c>
    </row>
    <row r="54" spans="1:24" ht="13.8" thickBot="1" x14ac:dyDescent="0.3">
      <c r="A54" s="711" t="s">
        <v>765</v>
      </c>
      <c r="B54" s="100" t="s">
        <v>766</v>
      </c>
      <c r="D54" s="194"/>
      <c r="E54" s="194"/>
      <c r="F54" s="194"/>
      <c r="G54" s="194"/>
      <c r="H54" s="194"/>
      <c r="I54" s="194"/>
      <c r="J54" s="194"/>
      <c r="K54" s="194"/>
      <c r="L54" s="194"/>
      <c r="O54" s="269">
        <v>45474</v>
      </c>
      <c r="P54" s="140" t="s">
        <v>767</v>
      </c>
      <c r="Q54" s="141" t="s">
        <v>1044</v>
      </c>
      <c r="R54" s="141" t="s">
        <v>769</v>
      </c>
      <c r="S54" s="106" t="s">
        <v>770</v>
      </c>
      <c r="T54" s="106" t="s">
        <v>1345</v>
      </c>
      <c r="U54" s="980"/>
    </row>
    <row r="55" spans="1:24" ht="13.8" thickTop="1" x14ac:dyDescent="0.25">
      <c r="A55" s="821">
        <v>44487</v>
      </c>
      <c r="B55" s="101" t="s">
        <v>1312</v>
      </c>
      <c r="D55" s="194"/>
      <c r="E55" s="194"/>
      <c r="F55" s="194"/>
      <c r="G55" s="194"/>
      <c r="H55" s="194"/>
      <c r="I55" s="194"/>
      <c r="J55" s="194"/>
      <c r="K55" s="194"/>
      <c r="L55" s="194"/>
      <c r="O55" s="111" t="s">
        <v>797</v>
      </c>
      <c r="P55" s="18"/>
      <c r="Q55" s="150"/>
      <c r="R55" s="136">
        <f>+'NAGE &amp; Non-Union Wages'!L10</f>
        <v>82394</v>
      </c>
      <c r="S55" s="821">
        <v>44487</v>
      </c>
      <c r="T55" s="2">
        <v>2</v>
      </c>
      <c r="U55" s="593"/>
    </row>
    <row r="56" spans="1:24" x14ac:dyDescent="0.25">
      <c r="A56" s="821">
        <v>41722</v>
      </c>
      <c r="B56" s="60" t="s">
        <v>1313</v>
      </c>
      <c r="D56" s="194"/>
      <c r="E56" s="194"/>
      <c r="F56" s="194"/>
      <c r="G56" s="194"/>
      <c r="H56" s="194"/>
      <c r="I56" s="194"/>
      <c r="J56" s="194"/>
      <c r="K56" s="194"/>
      <c r="L56" s="194"/>
      <c r="O56" s="127" t="s">
        <v>774</v>
      </c>
      <c r="P56" s="13">
        <f>+'NAGE &amp; Non-Union Wages'!L8</f>
        <v>30.77</v>
      </c>
      <c r="Q56" s="14">
        <f>+'To Do and Changes'!$E$26</f>
        <v>1827</v>
      </c>
      <c r="R56" s="136">
        <f>ROUND((+Q56*P56),2)</f>
        <v>56216.79</v>
      </c>
      <c r="S56" s="821">
        <v>41722</v>
      </c>
      <c r="T56" s="2">
        <v>11</v>
      </c>
      <c r="U56" s="593">
        <v>500</v>
      </c>
    </row>
    <row r="57" spans="1:24" x14ac:dyDescent="0.25">
      <c r="A57" s="821"/>
      <c r="B57" s="60" t="s">
        <v>1314</v>
      </c>
      <c r="D57" s="194"/>
      <c r="E57" s="194"/>
      <c r="F57" s="194"/>
      <c r="G57" s="194"/>
      <c r="H57" s="194"/>
      <c r="I57" s="194"/>
      <c r="J57" s="194"/>
      <c r="K57" s="194"/>
      <c r="L57" s="194"/>
      <c r="O57" s="962"/>
      <c r="P57" s="13"/>
      <c r="Q57" s="14"/>
      <c r="R57" s="136">
        <v>3500</v>
      </c>
      <c r="S57" s="821"/>
      <c r="T57" s="2"/>
      <c r="U57" s="593"/>
    </row>
    <row r="58" spans="1:24" x14ac:dyDescent="0.25">
      <c r="A58" s="821">
        <v>41849</v>
      </c>
      <c r="B58" s="60" t="s">
        <v>1315</v>
      </c>
      <c r="D58" s="194"/>
      <c r="E58" s="194"/>
      <c r="F58" s="194"/>
      <c r="G58" s="194"/>
      <c r="H58" s="194"/>
      <c r="I58" s="194"/>
      <c r="J58" s="194"/>
      <c r="K58" s="194"/>
      <c r="L58" s="194"/>
      <c r="O58" s="127" t="s">
        <v>1316</v>
      </c>
      <c r="P58" s="135">
        <f>+'NAGE &amp; Non-Union Wages'!I5</f>
        <v>22.79</v>
      </c>
      <c r="Q58" s="14">
        <f>+'To Do and Changes'!$E$26</f>
        <v>1827</v>
      </c>
      <c r="R58" s="136">
        <f t="shared" ref="R58:R69" si="14">ROUND((+Q58*P58),2)</f>
        <v>41637.33</v>
      </c>
      <c r="S58" s="821">
        <v>41849</v>
      </c>
      <c r="T58" s="2">
        <v>10</v>
      </c>
      <c r="U58" s="593">
        <v>500</v>
      </c>
    </row>
    <row r="59" spans="1:24" x14ac:dyDescent="0.25">
      <c r="A59" s="821">
        <v>44817</v>
      </c>
      <c r="B59" s="60" t="s">
        <v>1913</v>
      </c>
      <c r="D59" s="194"/>
      <c r="E59" s="194"/>
      <c r="F59" s="194"/>
      <c r="G59" s="194"/>
      <c r="H59" s="194"/>
      <c r="I59" s="194"/>
      <c r="J59" s="194"/>
      <c r="K59" s="194"/>
      <c r="L59" s="194"/>
      <c r="O59" s="127" t="s">
        <v>1317</v>
      </c>
      <c r="P59" s="13">
        <f>+'NAGE &amp; Non-Union Wages'!D4</f>
        <v>17.170000000000002</v>
      </c>
      <c r="Q59" s="14">
        <v>637</v>
      </c>
      <c r="R59" s="136">
        <f t="shared" si="14"/>
        <v>10937.29</v>
      </c>
      <c r="S59" s="821">
        <v>44817</v>
      </c>
      <c r="T59" s="2">
        <v>2</v>
      </c>
      <c r="U59" s="851"/>
    </row>
    <row r="60" spans="1:24" x14ac:dyDescent="0.25">
      <c r="A60" s="821">
        <v>43223</v>
      </c>
      <c r="B60" s="60" t="s">
        <v>1914</v>
      </c>
      <c r="D60" s="194"/>
      <c r="E60" s="194"/>
      <c r="F60" s="194"/>
      <c r="G60" s="194"/>
      <c r="H60" s="194"/>
      <c r="I60" s="194"/>
      <c r="J60" s="194"/>
      <c r="K60" s="194"/>
      <c r="L60" s="194"/>
      <c r="O60" s="127" t="s">
        <v>1318</v>
      </c>
      <c r="P60" s="13">
        <f>+'NAGE &amp; Non-Union Wages'!G4</f>
        <v>18.489999999999998</v>
      </c>
      <c r="Q60" s="14">
        <v>1367</v>
      </c>
      <c r="R60" s="136">
        <f t="shared" si="14"/>
        <v>25275.83</v>
      </c>
      <c r="S60" s="821">
        <v>43223</v>
      </c>
      <c r="T60" s="2">
        <v>7</v>
      </c>
      <c r="U60" s="851">
        <v>300</v>
      </c>
    </row>
    <row r="61" spans="1:24" x14ac:dyDescent="0.25">
      <c r="A61" s="821">
        <v>39335</v>
      </c>
      <c r="B61" s="60" t="s">
        <v>1915</v>
      </c>
      <c r="D61" s="194"/>
      <c r="E61" s="194"/>
      <c r="F61" s="194"/>
      <c r="G61" s="194"/>
      <c r="H61" s="194"/>
      <c r="I61" s="194"/>
      <c r="J61" s="194"/>
      <c r="K61" s="194"/>
      <c r="L61" s="194"/>
      <c r="O61" s="127" t="s">
        <v>1184</v>
      </c>
      <c r="P61" s="13">
        <f>+'NAGE &amp; Non-Union Wages'!L4</f>
        <v>20.62</v>
      </c>
      <c r="Q61" s="14">
        <v>483</v>
      </c>
      <c r="R61" s="136">
        <f t="shared" si="14"/>
        <v>9959.4599999999991</v>
      </c>
      <c r="S61" s="821">
        <v>39335</v>
      </c>
      <c r="T61" s="2">
        <v>17</v>
      </c>
      <c r="U61" s="851">
        <v>900</v>
      </c>
    </row>
    <row r="62" spans="1:24" x14ac:dyDescent="0.25">
      <c r="A62" s="821">
        <v>41729</v>
      </c>
      <c r="B62" s="60" t="s">
        <v>1916</v>
      </c>
      <c r="D62" s="194"/>
      <c r="E62" s="194"/>
      <c r="F62" s="194"/>
      <c r="G62" s="194"/>
      <c r="H62" s="194"/>
      <c r="I62" s="194"/>
      <c r="J62" s="194"/>
      <c r="K62" s="194"/>
      <c r="L62" s="194"/>
      <c r="O62" s="127" t="s">
        <v>1184</v>
      </c>
      <c r="P62" s="13">
        <f>+'NAGE &amp; Non-Union Wages'!L4</f>
        <v>20.62</v>
      </c>
      <c r="Q62" s="14">
        <v>1450</v>
      </c>
      <c r="R62" s="136">
        <f t="shared" si="14"/>
        <v>29899</v>
      </c>
      <c r="S62" s="821">
        <v>41729</v>
      </c>
      <c r="T62" s="2">
        <v>11</v>
      </c>
      <c r="U62" s="851">
        <v>500</v>
      </c>
    </row>
    <row r="63" spans="1:24" x14ac:dyDescent="0.25">
      <c r="A63" s="821">
        <v>43641</v>
      </c>
      <c r="B63" s="60" t="s">
        <v>1917</v>
      </c>
      <c r="D63" s="194"/>
      <c r="E63" s="194"/>
      <c r="F63" s="194"/>
      <c r="G63" s="194"/>
      <c r="H63" s="194"/>
      <c r="I63" s="194"/>
      <c r="J63" s="194"/>
      <c r="K63" s="194"/>
      <c r="L63" s="194"/>
      <c r="O63" s="328" t="s">
        <v>1318</v>
      </c>
      <c r="P63" s="135">
        <f>+'NAGE &amp; Non-Union Wages'!G4</f>
        <v>18.489999999999998</v>
      </c>
      <c r="Q63" s="14">
        <v>1107</v>
      </c>
      <c r="R63" s="136">
        <f t="shared" si="14"/>
        <v>20468.43</v>
      </c>
      <c r="S63" s="821">
        <v>43641</v>
      </c>
      <c r="T63" s="2">
        <v>6</v>
      </c>
      <c r="U63" s="593">
        <v>300</v>
      </c>
    </row>
    <row r="64" spans="1:24" x14ac:dyDescent="0.25">
      <c r="A64" s="821">
        <v>43865</v>
      </c>
      <c r="B64" s="60" t="s">
        <v>1918</v>
      </c>
      <c r="D64" s="194"/>
      <c r="E64" s="194"/>
      <c r="F64" s="194"/>
      <c r="G64" s="194"/>
      <c r="H64" s="194"/>
      <c r="I64" s="194"/>
      <c r="J64" s="194"/>
      <c r="K64" s="194"/>
      <c r="L64" s="194"/>
      <c r="O64" s="127" t="s">
        <v>1319</v>
      </c>
      <c r="P64" s="135">
        <f>+'NAGE &amp; Non-Union Wages'!F4</f>
        <v>18.03</v>
      </c>
      <c r="Q64" s="14">
        <v>847</v>
      </c>
      <c r="R64" s="136">
        <f t="shared" si="14"/>
        <v>15271.41</v>
      </c>
      <c r="S64" s="821">
        <v>43865</v>
      </c>
      <c r="T64" s="2">
        <v>5</v>
      </c>
      <c r="U64" s="593">
        <v>300</v>
      </c>
    </row>
    <row r="65" spans="1:24" x14ac:dyDescent="0.25">
      <c r="A65" s="821">
        <v>43404</v>
      </c>
      <c r="B65" s="60" t="s">
        <v>2129</v>
      </c>
      <c r="D65" s="194"/>
      <c r="E65" s="194"/>
      <c r="F65" s="194"/>
      <c r="G65" s="194"/>
      <c r="H65" s="194"/>
      <c r="I65" s="194"/>
      <c r="J65" s="194"/>
      <c r="K65" s="194"/>
      <c r="L65" s="194"/>
      <c r="O65" s="127" t="s">
        <v>1320</v>
      </c>
      <c r="P65" s="13">
        <f>+'NAGE &amp; Non-Union Wages'!I4</f>
        <v>19.329999999999998</v>
      </c>
      <c r="Q65" s="14">
        <v>405</v>
      </c>
      <c r="R65" s="136">
        <f t="shared" si="14"/>
        <v>7828.65</v>
      </c>
      <c r="S65" s="821">
        <v>43404</v>
      </c>
      <c r="T65" s="2">
        <v>6</v>
      </c>
      <c r="U65" s="593">
        <v>300</v>
      </c>
      <c r="V65" s="202" t="s">
        <v>2313</v>
      </c>
    </row>
    <row r="66" spans="1:24" x14ac:dyDescent="0.25">
      <c r="A66" s="821">
        <v>45108</v>
      </c>
      <c r="B66" s="60" t="s">
        <v>2130</v>
      </c>
      <c r="D66" s="194"/>
      <c r="E66" s="194"/>
      <c r="F66" s="194"/>
      <c r="G66" s="194"/>
      <c r="H66" s="194"/>
      <c r="I66" s="194"/>
      <c r="J66" s="194"/>
      <c r="K66" s="194"/>
      <c r="L66" s="194"/>
      <c r="O66" s="127" t="s">
        <v>1317</v>
      </c>
      <c r="P66" s="13">
        <f>+'NAGE &amp; Non-Union Wages'!D4</f>
        <v>17.170000000000002</v>
      </c>
      <c r="Q66" s="14">
        <v>327</v>
      </c>
      <c r="R66" s="136">
        <f t="shared" si="14"/>
        <v>5614.59</v>
      </c>
      <c r="S66" s="821">
        <v>45108</v>
      </c>
      <c r="T66" s="2">
        <v>1</v>
      </c>
      <c r="U66" s="593"/>
      <c r="V66" s="202"/>
    </row>
    <row r="67" spans="1:24" x14ac:dyDescent="0.25">
      <c r="A67" s="821">
        <v>44111</v>
      </c>
      <c r="B67" s="60" t="s">
        <v>1977</v>
      </c>
      <c r="D67" s="194"/>
      <c r="E67" s="194"/>
      <c r="F67" s="194"/>
      <c r="G67" s="194"/>
      <c r="H67" s="194"/>
      <c r="I67" s="194"/>
      <c r="J67" s="194"/>
      <c r="K67" s="194"/>
      <c r="L67" s="194"/>
      <c r="O67" s="127" t="s">
        <v>775</v>
      </c>
      <c r="P67" s="13">
        <f>+'NAGE &amp; Non-Union Wages'!D5</f>
        <v>20.239999999999998</v>
      </c>
      <c r="Q67" s="14">
        <v>752</v>
      </c>
      <c r="R67" s="136">
        <f t="shared" si="14"/>
        <v>15220.48</v>
      </c>
      <c r="S67" s="821">
        <v>44111</v>
      </c>
      <c r="T67" s="2">
        <v>4</v>
      </c>
      <c r="U67" s="593"/>
    </row>
    <row r="68" spans="1:24" x14ac:dyDescent="0.25">
      <c r="A68" s="821">
        <v>44691</v>
      </c>
      <c r="B68" s="60" t="s">
        <v>2128</v>
      </c>
      <c r="D68" s="194"/>
      <c r="E68" s="194"/>
      <c r="F68" s="194"/>
      <c r="G68" s="194"/>
      <c r="H68" s="194"/>
      <c r="I68" s="194"/>
      <c r="J68" s="194"/>
      <c r="K68" s="194"/>
      <c r="L68" s="194"/>
      <c r="O68" s="127" t="s">
        <v>1317</v>
      </c>
      <c r="P68" s="13">
        <f>+'NAGE &amp; Non-Union Wages'!D4</f>
        <v>17.170000000000002</v>
      </c>
      <c r="Q68" s="14">
        <v>691</v>
      </c>
      <c r="R68" s="136">
        <f t="shared" si="14"/>
        <v>11864.47</v>
      </c>
      <c r="S68" s="821">
        <v>44691</v>
      </c>
      <c r="T68" s="2">
        <v>3</v>
      </c>
      <c r="U68" s="593"/>
    </row>
    <row r="69" spans="1:24" x14ac:dyDescent="0.25">
      <c r="B69" s="60" t="s">
        <v>1919</v>
      </c>
      <c r="D69" s="194"/>
      <c r="E69" s="194"/>
      <c r="F69" s="194"/>
      <c r="G69" s="194"/>
      <c r="H69" s="194"/>
      <c r="I69" s="194"/>
      <c r="J69" s="194"/>
      <c r="K69" s="194"/>
      <c r="L69" s="194"/>
      <c r="O69" s="13"/>
      <c r="P69" s="13">
        <v>15</v>
      </c>
      <c r="Q69" s="14">
        <v>553</v>
      </c>
      <c r="R69" s="136">
        <f t="shared" si="14"/>
        <v>8295</v>
      </c>
      <c r="S69" s="152">
        <v>41729</v>
      </c>
      <c r="T69" s="2"/>
      <c r="U69" s="593"/>
    </row>
    <row r="70" spans="1:24" x14ac:dyDescent="0.25">
      <c r="A70" s="703"/>
      <c r="B70" s="4"/>
      <c r="C70" s="23"/>
      <c r="D70" s="23"/>
      <c r="E70" s="23"/>
      <c r="F70" s="194"/>
      <c r="G70" s="194"/>
      <c r="H70" s="194"/>
      <c r="I70" s="23"/>
      <c r="J70" s="23"/>
      <c r="K70" s="25"/>
      <c r="L70" s="25"/>
      <c r="O70" s="25"/>
      <c r="P70" s="25"/>
      <c r="Q70" s="25"/>
      <c r="R70" s="25"/>
      <c r="S70" s="25"/>
      <c r="T70" s="2" t="s">
        <v>190</v>
      </c>
      <c r="U70" s="593">
        <f>SUM(U54:U69)</f>
        <v>3600</v>
      </c>
    </row>
    <row r="71" spans="1:24" x14ac:dyDescent="0.25">
      <c r="C71" s="981"/>
      <c r="D71" s="990"/>
      <c r="E71" s="990"/>
      <c r="F71" s="194"/>
      <c r="G71" s="194"/>
      <c r="H71" s="194"/>
      <c r="I71" s="990"/>
      <c r="J71" s="990"/>
      <c r="K71" s="119"/>
      <c r="L71" s="119"/>
      <c r="O71" s="119"/>
      <c r="P71" s="119"/>
      <c r="Q71" s="119"/>
      <c r="R71" s="148">
        <f>SUM(R55:R70)</f>
        <v>344382.73</v>
      </c>
      <c r="S71" s="4"/>
      <c r="T71" s="4"/>
      <c r="U71" s="2"/>
    </row>
    <row r="72" spans="1:24" ht="13.8" thickBot="1" x14ac:dyDescent="0.3">
      <c r="A72" s="703"/>
      <c r="B72" s="4"/>
      <c r="C72" s="23"/>
      <c r="D72" s="23"/>
      <c r="E72" s="23"/>
      <c r="F72" s="194"/>
      <c r="G72" s="194"/>
      <c r="H72" s="194"/>
      <c r="I72" s="23"/>
      <c r="J72" s="23"/>
      <c r="K72" s="23"/>
      <c r="L72" s="23"/>
      <c r="O72" s="23"/>
      <c r="P72" s="23"/>
      <c r="Q72" s="23"/>
      <c r="R72" s="4"/>
      <c r="S72" s="23"/>
      <c r="T72" s="23"/>
      <c r="U72" s="23"/>
      <c r="V72" s="4"/>
      <c r="W72" s="4"/>
      <c r="X72" s="4"/>
    </row>
    <row r="73" spans="1:24" ht="13.8" thickTop="1" x14ac:dyDescent="0.25">
      <c r="A73" s="718"/>
      <c r="B73" s="349"/>
      <c r="C73" s="350" t="s">
        <v>256</v>
      </c>
      <c r="D73" s="351" t="s">
        <v>256</v>
      </c>
      <c r="E73" s="351" t="s">
        <v>256</v>
      </c>
      <c r="F73" s="194"/>
      <c r="G73" s="194"/>
      <c r="H73" s="194"/>
      <c r="I73" s="194"/>
      <c r="J73" s="194"/>
      <c r="K73" s="194"/>
      <c r="L73" s="194"/>
      <c r="O73" s="352" t="s">
        <v>255</v>
      </c>
      <c r="P73" s="353" t="s">
        <v>716</v>
      </c>
      <c r="Q73" s="354" t="s">
        <v>730</v>
      </c>
      <c r="R73" s="353" t="s">
        <v>731</v>
      </c>
      <c r="S73" s="355"/>
      <c r="T73" s="550"/>
      <c r="U73" s="354"/>
      <c r="V73" s="4"/>
      <c r="W73" s="4"/>
      <c r="X73" s="4"/>
    </row>
    <row r="74" spans="1:24" ht="13.8" thickBot="1" x14ac:dyDescent="0.3">
      <c r="A74" s="719" t="s">
        <v>715</v>
      </c>
      <c r="B74" s="356"/>
      <c r="C74" s="357" t="s">
        <v>243</v>
      </c>
      <c r="D74" s="357" t="s">
        <v>244</v>
      </c>
      <c r="E74" s="358" t="s">
        <v>245</v>
      </c>
      <c r="F74" s="194"/>
      <c r="G74" s="194"/>
      <c r="H74" s="194"/>
      <c r="I74" s="194"/>
      <c r="J74" s="194"/>
      <c r="K74" s="194"/>
      <c r="L74" s="194"/>
      <c r="O74" s="359" t="s">
        <v>469</v>
      </c>
      <c r="P74" s="359" t="s">
        <v>1345</v>
      </c>
      <c r="Q74" s="358" t="s">
        <v>732</v>
      </c>
      <c r="R74" s="360" t="s">
        <v>732</v>
      </c>
      <c r="S74" s="361" t="s">
        <v>733</v>
      </c>
      <c r="T74" s="551"/>
      <c r="U74" s="359"/>
      <c r="V74" s="4"/>
      <c r="W74" s="4"/>
      <c r="X74" s="4"/>
    </row>
    <row r="75" spans="1:24" ht="13.8" thickTop="1" x14ac:dyDescent="0.25">
      <c r="A75" s="723"/>
      <c r="B75" s="383"/>
      <c r="C75" s="384"/>
      <c r="D75" s="385"/>
      <c r="E75" s="385"/>
      <c r="F75" s="194"/>
      <c r="G75" s="194"/>
      <c r="H75" s="194"/>
      <c r="I75" s="194"/>
      <c r="J75" s="194"/>
      <c r="K75" s="194"/>
      <c r="L75" s="194"/>
      <c r="O75" s="386"/>
      <c r="P75" s="527"/>
      <c r="Q75" s="396">
        <f t="shared" ref="Q75:Q105" si="15">+P75-O75</f>
        <v>0</v>
      </c>
      <c r="R75" s="374"/>
      <c r="S75" s="367"/>
      <c r="T75" s="553"/>
      <c r="U75" s="368"/>
      <c r="V75" s="4"/>
      <c r="W75" s="4"/>
      <c r="X75" s="4"/>
    </row>
    <row r="76" spans="1:24" x14ac:dyDescent="0.25">
      <c r="A76" s="724">
        <v>5111</v>
      </c>
      <c r="B76" s="400" t="s">
        <v>738</v>
      </c>
      <c r="C76" s="373">
        <v>117196.8</v>
      </c>
      <c r="D76" s="373">
        <v>130066.4</v>
      </c>
      <c r="E76" s="373">
        <v>130758.41</v>
      </c>
      <c r="F76" s="194"/>
      <c r="G76" s="194"/>
      <c r="H76" s="194"/>
      <c r="I76" s="194"/>
      <c r="J76" s="194"/>
      <c r="K76" s="194"/>
      <c r="L76" s="194"/>
      <c r="O76" s="399">
        <f t="shared" ref="O76:O82" si="16">+Q9</f>
        <v>178979</v>
      </c>
      <c r="P76" s="393">
        <f t="shared" ref="P76:P82" si="17">+S9</f>
        <v>183748</v>
      </c>
      <c r="Q76" s="396">
        <f t="shared" si="15"/>
        <v>4769</v>
      </c>
      <c r="R76" s="374">
        <f t="shared" ref="R76:R105" si="18">IF(O76+P76&lt;&gt;0,IF(O76&lt;&gt;0,IF(Q76&lt;&gt;0,ROUND((+Q76/O76),4),""),1),"")</f>
        <v>2.6599999999999999E-2</v>
      </c>
      <c r="S76" s="1244" t="s">
        <v>2297</v>
      </c>
      <c r="T76" s="553"/>
      <c r="U76" s="368"/>
      <c r="V76" s="4"/>
      <c r="W76" s="4"/>
      <c r="X76" s="4"/>
    </row>
    <row r="77" spans="1:24" x14ac:dyDescent="0.25">
      <c r="A77" s="724">
        <v>5113</v>
      </c>
      <c r="B77" s="369" t="s">
        <v>739</v>
      </c>
      <c r="C77" s="373">
        <v>90290.59</v>
      </c>
      <c r="D77" s="373">
        <v>72415.990000000005</v>
      </c>
      <c r="E77" s="373">
        <v>96098.85</v>
      </c>
      <c r="F77" s="194"/>
      <c r="G77" s="194"/>
      <c r="H77" s="194"/>
      <c r="I77" s="194"/>
      <c r="J77" s="194"/>
      <c r="K77" s="194"/>
      <c r="L77" s="194"/>
      <c r="O77" s="372">
        <f t="shared" si="16"/>
        <v>148612</v>
      </c>
      <c r="P77" s="393">
        <f t="shared" si="17"/>
        <v>152340</v>
      </c>
      <c r="Q77" s="396">
        <f t="shared" si="15"/>
        <v>3728</v>
      </c>
      <c r="R77" s="374">
        <f t="shared" si="18"/>
        <v>2.5100000000000001E-2</v>
      </c>
      <c r="S77" s="1244" t="s">
        <v>2297</v>
      </c>
      <c r="T77" s="553"/>
      <c r="U77" s="368"/>
      <c r="V77" s="4"/>
      <c r="W77" s="4"/>
      <c r="X77" s="4"/>
    </row>
    <row r="78" spans="1:24" x14ac:dyDescent="0.25">
      <c r="A78" s="724">
        <v>5114</v>
      </c>
      <c r="B78" s="397" t="s">
        <v>1301</v>
      </c>
      <c r="C78" s="373"/>
      <c r="D78" s="373"/>
      <c r="E78" s="373"/>
      <c r="F78" s="194"/>
      <c r="G78" s="194"/>
      <c r="H78" s="194"/>
      <c r="I78" s="194"/>
      <c r="J78" s="194"/>
      <c r="K78" s="194"/>
      <c r="L78" s="194"/>
      <c r="O78" s="372">
        <f t="shared" si="16"/>
        <v>8295</v>
      </c>
      <c r="P78" s="393">
        <f t="shared" si="17"/>
        <v>8295</v>
      </c>
      <c r="Q78" s="396">
        <f t="shared" ref="Q78" si="19">+P78-O78</f>
        <v>0</v>
      </c>
      <c r="R78" s="374" t="str">
        <f t="shared" si="18"/>
        <v/>
      </c>
      <c r="S78" s="367"/>
      <c r="T78" s="553"/>
      <c r="U78" s="368"/>
      <c r="V78" s="4"/>
      <c r="W78" s="4"/>
      <c r="X78" s="4"/>
    </row>
    <row r="79" spans="1:24" x14ac:dyDescent="0.25">
      <c r="A79" s="724">
        <v>5142</v>
      </c>
      <c r="B79" s="369" t="s">
        <v>1016</v>
      </c>
      <c r="C79" s="373">
        <v>453.6</v>
      </c>
      <c r="D79" s="373">
        <v>480.12</v>
      </c>
      <c r="E79" s="373">
        <v>475.91</v>
      </c>
      <c r="F79" s="194"/>
      <c r="G79" s="194"/>
      <c r="H79" s="194"/>
      <c r="I79" s="194"/>
      <c r="J79" s="194"/>
      <c r="K79" s="194"/>
      <c r="L79" s="194"/>
      <c r="O79" s="372">
        <f t="shared" si="16"/>
        <v>750</v>
      </c>
      <c r="P79" s="393">
        <f t="shared" si="17"/>
        <v>750</v>
      </c>
      <c r="Q79" s="396">
        <f t="shared" si="15"/>
        <v>0</v>
      </c>
      <c r="R79" s="374" t="str">
        <f t="shared" si="18"/>
        <v/>
      </c>
      <c r="S79" s="367"/>
      <c r="T79" s="553"/>
      <c r="U79" s="368"/>
      <c r="V79" s="4"/>
      <c r="W79" s="4"/>
      <c r="X79" s="4"/>
    </row>
    <row r="80" spans="1:24" x14ac:dyDescent="0.25">
      <c r="A80" s="724">
        <v>5144</v>
      </c>
      <c r="B80" s="369" t="s">
        <v>27</v>
      </c>
      <c r="C80" s="375">
        <v>750</v>
      </c>
      <c r="D80" s="375">
        <v>900</v>
      </c>
      <c r="E80" s="375">
        <v>900</v>
      </c>
      <c r="F80" s="194"/>
      <c r="G80" s="194"/>
      <c r="H80" s="194"/>
      <c r="I80" s="194"/>
      <c r="J80" s="194"/>
      <c r="K80" s="194"/>
      <c r="L80" s="194"/>
      <c r="O80" s="372">
        <f t="shared" si="16"/>
        <v>3100</v>
      </c>
      <c r="P80" s="393">
        <f t="shared" si="17"/>
        <v>3600</v>
      </c>
      <c r="Q80" s="396">
        <f t="shared" si="15"/>
        <v>500</v>
      </c>
      <c r="R80" s="374">
        <f t="shared" si="18"/>
        <v>0.1613</v>
      </c>
      <c r="S80" s="367"/>
      <c r="T80" s="553"/>
      <c r="U80" s="368"/>
      <c r="V80" s="4"/>
      <c r="W80" s="4"/>
      <c r="X80" s="4"/>
    </row>
    <row r="81" spans="1:24" x14ac:dyDescent="0.25">
      <c r="A81" s="724">
        <v>5193</v>
      </c>
      <c r="B81" s="369" t="s">
        <v>819</v>
      </c>
      <c r="C81" s="375"/>
      <c r="D81" s="375">
        <v>6487.78</v>
      </c>
      <c r="E81" s="375"/>
      <c r="F81" s="194"/>
      <c r="G81" s="194"/>
      <c r="H81" s="194"/>
      <c r="I81" s="194"/>
      <c r="J81" s="194"/>
      <c r="K81" s="194"/>
      <c r="L81" s="194"/>
      <c r="O81" s="372">
        <f t="shared" si="16"/>
        <v>0</v>
      </c>
      <c r="P81" s="393">
        <f t="shared" si="17"/>
        <v>0</v>
      </c>
      <c r="Q81" s="396">
        <f t="shared" si="15"/>
        <v>0</v>
      </c>
      <c r="R81" s="374" t="str">
        <f t="shared" si="18"/>
        <v/>
      </c>
      <c r="S81" s="367"/>
      <c r="T81" s="553"/>
      <c r="U81" s="368"/>
      <c r="V81" s="4"/>
      <c r="W81" s="4"/>
      <c r="X81" s="4"/>
    </row>
    <row r="82" spans="1:24" ht="13.8" thickBot="1" x14ac:dyDescent="0.3">
      <c r="A82" s="724">
        <v>5194</v>
      </c>
      <c r="B82" s="369" t="s">
        <v>820</v>
      </c>
      <c r="C82" s="371"/>
      <c r="D82" s="371">
        <v>2500</v>
      </c>
      <c r="E82" s="371"/>
      <c r="F82" s="194"/>
      <c r="G82" s="194"/>
      <c r="H82" s="194"/>
      <c r="I82" s="194"/>
      <c r="J82" s="194"/>
      <c r="K82" s="194"/>
      <c r="L82" s="194"/>
      <c r="O82" s="372">
        <f t="shared" si="16"/>
        <v>0</v>
      </c>
      <c r="P82" s="393">
        <f t="shared" si="17"/>
        <v>0</v>
      </c>
      <c r="Q82" s="396">
        <f t="shared" si="15"/>
        <v>0</v>
      </c>
      <c r="R82" s="374" t="str">
        <f t="shared" si="18"/>
        <v/>
      </c>
      <c r="S82" s="367"/>
      <c r="T82" s="553"/>
      <c r="U82" s="368"/>
      <c r="V82" s="4"/>
      <c r="W82" s="4"/>
      <c r="X82" s="4"/>
    </row>
    <row r="83" spans="1:24" x14ac:dyDescent="0.25">
      <c r="A83" s="724">
        <v>5211</v>
      </c>
      <c r="B83" s="369" t="s">
        <v>1252</v>
      </c>
      <c r="C83" s="373">
        <v>6528.19</v>
      </c>
      <c r="D83" s="373">
        <v>7238.61</v>
      </c>
      <c r="E83" s="373">
        <v>6501.22</v>
      </c>
      <c r="F83" s="194"/>
      <c r="G83" s="194"/>
      <c r="H83" s="194"/>
      <c r="I83" s="194"/>
      <c r="J83" s="194"/>
      <c r="K83" s="194"/>
      <c r="L83" s="194"/>
      <c r="O83" s="366">
        <f t="shared" ref="O83:O105" si="20">+Q18</f>
        <v>12500</v>
      </c>
      <c r="P83" s="393">
        <f t="shared" ref="P83:P105" si="21">+S18</f>
        <v>12500</v>
      </c>
      <c r="Q83" s="396">
        <f t="shared" si="15"/>
        <v>0</v>
      </c>
      <c r="R83" s="374" t="str">
        <f t="shared" si="18"/>
        <v/>
      </c>
      <c r="S83" s="367"/>
      <c r="T83" s="553"/>
      <c r="U83" s="368"/>
      <c r="V83" s="4"/>
      <c r="W83" s="4"/>
      <c r="X83" s="4"/>
    </row>
    <row r="84" spans="1:24" x14ac:dyDescent="0.25">
      <c r="A84" s="724">
        <v>5213</v>
      </c>
      <c r="B84" s="369" t="s">
        <v>1302</v>
      </c>
      <c r="C84" s="373">
        <v>10256.49</v>
      </c>
      <c r="D84" s="373">
        <v>12343.26</v>
      </c>
      <c r="E84" s="373">
        <v>11693.15</v>
      </c>
      <c r="F84" s="194"/>
      <c r="G84" s="194"/>
      <c r="H84" s="194"/>
      <c r="I84" s="194"/>
      <c r="J84" s="194"/>
      <c r="K84" s="194"/>
      <c r="L84" s="194"/>
      <c r="O84" s="366">
        <f t="shared" si="20"/>
        <v>16100</v>
      </c>
      <c r="P84" s="393">
        <f t="shared" si="21"/>
        <v>16100</v>
      </c>
      <c r="Q84" s="396">
        <f t="shared" si="15"/>
        <v>0</v>
      </c>
      <c r="R84" s="374" t="str">
        <f t="shared" si="18"/>
        <v/>
      </c>
      <c r="S84" s="367"/>
      <c r="T84" s="553"/>
      <c r="U84" s="368"/>
      <c r="V84" s="4"/>
      <c r="W84" s="4"/>
      <c r="X84" s="4"/>
    </row>
    <row r="85" spans="1:24" x14ac:dyDescent="0.25">
      <c r="A85" s="724">
        <v>5231</v>
      </c>
      <c r="B85" s="369" t="s">
        <v>1284</v>
      </c>
      <c r="C85" s="373">
        <v>138</v>
      </c>
      <c r="D85" s="373">
        <v>135</v>
      </c>
      <c r="E85" s="373">
        <v>145.6</v>
      </c>
      <c r="F85" s="194"/>
      <c r="G85" s="194"/>
      <c r="H85" s="194"/>
      <c r="I85" s="194"/>
      <c r="J85" s="194"/>
      <c r="K85" s="194"/>
      <c r="L85" s="194"/>
      <c r="O85" s="366">
        <f t="shared" si="20"/>
        <v>200</v>
      </c>
      <c r="P85" s="393">
        <f t="shared" si="21"/>
        <v>200</v>
      </c>
      <c r="Q85" s="396">
        <f t="shared" si="15"/>
        <v>0</v>
      </c>
      <c r="R85" s="374" t="str">
        <f t="shared" si="18"/>
        <v/>
      </c>
      <c r="S85" s="367"/>
      <c r="T85" s="553"/>
      <c r="U85" s="368"/>
      <c r="V85" s="4"/>
      <c r="W85" s="4"/>
      <c r="X85" s="4"/>
    </row>
    <row r="86" spans="1:24" x14ac:dyDescent="0.25">
      <c r="A86" s="724">
        <v>5232</v>
      </c>
      <c r="B86" s="369" t="s">
        <v>478</v>
      </c>
      <c r="C86" s="373">
        <v>252</v>
      </c>
      <c r="D86" s="373">
        <v>246.16</v>
      </c>
      <c r="E86" s="373">
        <v>233.72</v>
      </c>
      <c r="F86" s="194"/>
      <c r="G86" s="194"/>
      <c r="H86" s="194"/>
      <c r="I86" s="194"/>
      <c r="J86" s="194"/>
      <c r="K86" s="194"/>
      <c r="L86" s="194"/>
      <c r="O86" s="366">
        <f t="shared" si="20"/>
        <v>450</v>
      </c>
      <c r="P86" s="393">
        <f t="shared" si="21"/>
        <v>450</v>
      </c>
      <c r="Q86" s="396">
        <f t="shared" si="15"/>
        <v>0</v>
      </c>
      <c r="R86" s="374" t="str">
        <f t="shared" si="18"/>
        <v/>
      </c>
      <c r="S86" s="367"/>
      <c r="T86" s="553"/>
      <c r="U86" s="368"/>
      <c r="V86" s="4"/>
      <c r="W86" s="4"/>
      <c r="X86" s="4"/>
    </row>
    <row r="87" spans="1:24" x14ac:dyDescent="0.25">
      <c r="A87" s="724">
        <v>5241</v>
      </c>
      <c r="B87" s="369" t="s">
        <v>1303</v>
      </c>
      <c r="C87" s="373"/>
      <c r="D87" s="373"/>
      <c r="E87" s="373"/>
      <c r="F87" s="194"/>
      <c r="G87" s="194"/>
      <c r="H87" s="194"/>
      <c r="I87" s="194"/>
      <c r="J87" s="194"/>
      <c r="K87" s="194"/>
      <c r="L87" s="194"/>
      <c r="O87" s="366">
        <f t="shared" si="20"/>
        <v>4500</v>
      </c>
      <c r="P87" s="393">
        <f t="shared" si="21"/>
        <v>4500</v>
      </c>
      <c r="Q87" s="396">
        <f t="shared" si="15"/>
        <v>0</v>
      </c>
      <c r="R87" s="374" t="str">
        <f t="shared" si="18"/>
        <v/>
      </c>
      <c r="S87" s="367"/>
      <c r="T87" s="553"/>
      <c r="U87" s="368"/>
      <c r="V87" s="4"/>
      <c r="W87" s="4"/>
      <c r="X87" s="4"/>
    </row>
    <row r="88" spans="1:24" x14ac:dyDescent="0.25">
      <c r="A88" s="724">
        <v>5242</v>
      </c>
      <c r="B88" s="369" t="s">
        <v>1304</v>
      </c>
      <c r="C88" s="373"/>
      <c r="D88" s="373"/>
      <c r="E88" s="373"/>
      <c r="F88" s="194"/>
      <c r="G88" s="194"/>
      <c r="H88" s="194"/>
      <c r="I88" s="194"/>
      <c r="J88" s="194"/>
      <c r="K88" s="194"/>
      <c r="L88" s="194"/>
      <c r="O88" s="366">
        <f t="shared" si="20"/>
        <v>715</v>
      </c>
      <c r="P88" s="393">
        <f t="shared" si="21"/>
        <v>715</v>
      </c>
      <c r="Q88" s="396">
        <f t="shared" si="15"/>
        <v>0</v>
      </c>
      <c r="R88" s="374" t="str">
        <f t="shared" si="18"/>
        <v/>
      </c>
      <c r="S88" s="367"/>
      <c r="T88" s="553"/>
      <c r="U88" s="368"/>
      <c r="V88" s="4"/>
      <c r="W88" s="4"/>
      <c r="X88" s="4"/>
    </row>
    <row r="89" spans="1:24" x14ac:dyDescent="0.25">
      <c r="A89" s="724">
        <v>5247</v>
      </c>
      <c r="B89" s="369" t="s">
        <v>1321</v>
      </c>
      <c r="C89" s="373">
        <v>11095</v>
      </c>
      <c r="D89" s="373">
        <v>12472</v>
      </c>
      <c r="E89" s="373">
        <v>11895.93</v>
      </c>
      <c r="F89" s="194"/>
      <c r="G89" s="194"/>
      <c r="H89" s="194"/>
      <c r="I89" s="194"/>
      <c r="J89" s="194"/>
      <c r="K89" s="194"/>
      <c r="L89" s="194"/>
      <c r="O89" s="366">
        <f t="shared" si="20"/>
        <v>15500</v>
      </c>
      <c r="P89" s="393">
        <f t="shared" si="21"/>
        <v>15100</v>
      </c>
      <c r="Q89" s="396">
        <f t="shared" si="15"/>
        <v>-400</v>
      </c>
      <c r="R89" s="374">
        <f t="shared" si="18"/>
        <v>-2.58E-2</v>
      </c>
      <c r="S89" s="477" t="s">
        <v>2298</v>
      </c>
      <c r="T89" s="553"/>
      <c r="U89" s="368"/>
    </row>
    <row r="90" spans="1:24" x14ac:dyDescent="0.25">
      <c r="A90" s="724">
        <v>5248</v>
      </c>
      <c r="B90" s="369" t="s">
        <v>787</v>
      </c>
      <c r="C90" s="373"/>
      <c r="D90" s="373">
        <v>455.76</v>
      </c>
      <c r="E90" s="373"/>
      <c r="F90" s="194"/>
      <c r="G90" s="194"/>
      <c r="H90" s="194"/>
      <c r="I90" s="194"/>
      <c r="J90" s="194"/>
      <c r="K90" s="194"/>
      <c r="L90" s="194"/>
      <c r="O90" s="366">
        <f t="shared" si="20"/>
        <v>700</v>
      </c>
      <c r="P90" s="393">
        <f t="shared" si="21"/>
        <v>700</v>
      </c>
      <c r="Q90" s="396">
        <f t="shared" si="15"/>
        <v>0</v>
      </c>
      <c r="R90" s="374" t="str">
        <f t="shared" si="18"/>
        <v/>
      </c>
      <c r="S90" s="367"/>
      <c r="T90" s="553"/>
      <c r="U90" s="368"/>
    </row>
    <row r="91" spans="1:24" x14ac:dyDescent="0.25">
      <c r="A91" s="724">
        <v>5341</v>
      </c>
      <c r="B91" s="369" t="s">
        <v>751</v>
      </c>
      <c r="C91" s="373">
        <v>1126.05</v>
      </c>
      <c r="D91" s="373">
        <v>1122.06</v>
      </c>
      <c r="E91" s="373">
        <v>1125.47</v>
      </c>
      <c r="F91" s="194"/>
      <c r="G91" s="194"/>
      <c r="H91" s="194"/>
      <c r="I91" s="194"/>
      <c r="J91" s="194"/>
      <c r="K91" s="194"/>
      <c r="L91" s="194"/>
      <c r="O91" s="366">
        <f t="shared" si="20"/>
        <v>0</v>
      </c>
      <c r="P91" s="393">
        <f t="shared" si="21"/>
        <v>0</v>
      </c>
      <c r="Q91" s="396">
        <f t="shared" si="15"/>
        <v>0</v>
      </c>
      <c r="R91" s="374" t="str">
        <f t="shared" si="18"/>
        <v/>
      </c>
      <c r="S91" s="367"/>
      <c r="T91" s="553"/>
      <c r="U91" s="368"/>
    </row>
    <row r="92" spans="1:24" x14ac:dyDescent="0.25">
      <c r="A92" s="724">
        <v>5341</v>
      </c>
      <c r="B92" s="369" t="s">
        <v>1322</v>
      </c>
      <c r="C92" s="373"/>
      <c r="D92" s="373"/>
      <c r="E92" s="373"/>
      <c r="F92" s="194"/>
      <c r="G92" s="194"/>
      <c r="H92" s="194"/>
      <c r="I92" s="194"/>
      <c r="J92" s="194"/>
      <c r="K92" s="194"/>
      <c r="L92" s="194"/>
      <c r="O92" s="366">
        <f t="shared" si="20"/>
        <v>4860</v>
      </c>
      <c r="P92" s="393">
        <f t="shared" si="21"/>
        <v>2460</v>
      </c>
      <c r="Q92" s="396">
        <f t="shared" si="15"/>
        <v>-2400</v>
      </c>
      <c r="R92" s="374">
        <f t="shared" si="18"/>
        <v>-0.49380000000000002</v>
      </c>
      <c r="S92" s="1245" t="s">
        <v>2299</v>
      </c>
      <c r="T92" s="553"/>
      <c r="U92" s="368"/>
    </row>
    <row r="93" spans="1:24" x14ac:dyDescent="0.25">
      <c r="A93" s="724">
        <v>5344</v>
      </c>
      <c r="B93" s="369" t="s">
        <v>722</v>
      </c>
      <c r="C93" s="373">
        <v>179.19</v>
      </c>
      <c r="D93" s="373">
        <v>88.46</v>
      </c>
      <c r="E93" s="373">
        <v>176.99</v>
      </c>
      <c r="F93" s="194"/>
      <c r="G93" s="194"/>
      <c r="H93" s="194"/>
      <c r="I93" s="194"/>
      <c r="J93" s="194"/>
      <c r="K93" s="194"/>
      <c r="L93" s="194"/>
      <c r="O93" s="366">
        <f t="shared" si="20"/>
        <v>500</v>
      </c>
      <c r="P93" s="393">
        <f t="shared" si="21"/>
        <v>500</v>
      </c>
      <c r="Q93" s="396">
        <f t="shared" si="15"/>
        <v>0</v>
      </c>
      <c r="R93" s="374" t="str">
        <f t="shared" si="18"/>
        <v/>
      </c>
      <c r="S93" s="367"/>
      <c r="T93" s="553"/>
      <c r="U93" s="368"/>
    </row>
    <row r="94" spans="1:24" x14ac:dyDescent="0.25">
      <c r="A94" s="724">
        <v>5345</v>
      </c>
      <c r="B94" s="369" t="s">
        <v>752</v>
      </c>
      <c r="C94" s="373">
        <v>122.62</v>
      </c>
      <c r="D94" s="373">
        <v>321.16000000000003</v>
      </c>
      <c r="E94" s="373"/>
      <c r="F94" s="194"/>
      <c r="G94" s="194"/>
      <c r="H94" s="194"/>
      <c r="I94" s="194"/>
      <c r="J94" s="194"/>
      <c r="K94" s="194"/>
      <c r="L94" s="194"/>
      <c r="O94" s="366">
        <f t="shared" si="20"/>
        <v>200</v>
      </c>
      <c r="P94" s="393">
        <f t="shared" si="21"/>
        <v>200</v>
      </c>
      <c r="Q94" s="396">
        <f t="shared" si="15"/>
        <v>0</v>
      </c>
      <c r="R94" s="374" t="str">
        <f t="shared" si="18"/>
        <v/>
      </c>
      <c r="S94" s="367"/>
      <c r="T94" s="553"/>
      <c r="U94" s="368"/>
    </row>
    <row r="95" spans="1:24" x14ac:dyDescent="0.25">
      <c r="A95" s="724">
        <v>5350</v>
      </c>
      <c r="B95" s="369" t="s">
        <v>1307</v>
      </c>
      <c r="C95" s="380">
        <v>1000</v>
      </c>
      <c r="D95" s="380">
        <v>6050</v>
      </c>
      <c r="E95" s="380">
        <v>5055</v>
      </c>
      <c r="F95" s="194"/>
      <c r="G95" s="194"/>
      <c r="H95" s="194"/>
      <c r="I95" s="194"/>
      <c r="J95" s="194"/>
      <c r="K95" s="194"/>
      <c r="L95" s="194"/>
      <c r="O95" s="366">
        <f t="shared" si="20"/>
        <v>7500</v>
      </c>
      <c r="P95" s="393">
        <f t="shared" si="21"/>
        <v>10400</v>
      </c>
      <c r="Q95" s="396">
        <f t="shared" si="15"/>
        <v>2900</v>
      </c>
      <c r="R95" s="374">
        <f t="shared" si="18"/>
        <v>0.38669999999999999</v>
      </c>
      <c r="S95" s="367" t="s">
        <v>2300</v>
      </c>
      <c r="T95" s="553"/>
      <c r="U95" s="368"/>
    </row>
    <row r="96" spans="1:24" x14ac:dyDescent="0.25">
      <c r="A96" s="724">
        <v>5360</v>
      </c>
      <c r="B96" s="369" t="s">
        <v>1323</v>
      </c>
      <c r="C96" s="380"/>
      <c r="D96" s="380"/>
      <c r="E96" s="380"/>
      <c r="F96" s="194"/>
      <c r="G96" s="194"/>
      <c r="H96" s="194"/>
      <c r="I96" s="194"/>
      <c r="J96" s="194"/>
      <c r="K96" s="194"/>
      <c r="L96" s="194"/>
      <c r="O96" s="366">
        <f t="shared" si="20"/>
        <v>1775</v>
      </c>
      <c r="P96" s="393">
        <f t="shared" si="21"/>
        <v>1775</v>
      </c>
      <c r="Q96" s="396">
        <f t="shared" si="15"/>
        <v>0</v>
      </c>
      <c r="R96" s="374" t="str">
        <f t="shared" si="18"/>
        <v/>
      </c>
      <c r="S96" s="367"/>
      <c r="T96" s="553"/>
      <c r="U96" s="368"/>
    </row>
    <row r="97" spans="1:21" x14ac:dyDescent="0.25">
      <c r="A97" s="724">
        <v>5380</v>
      </c>
      <c r="B97" s="369" t="s">
        <v>1309</v>
      </c>
      <c r="C97" s="373">
        <v>100</v>
      </c>
      <c r="D97" s="373">
        <v>106</v>
      </c>
      <c r="E97" s="373">
        <v>112</v>
      </c>
      <c r="F97" s="194"/>
      <c r="G97" s="194"/>
      <c r="H97" s="194"/>
      <c r="I97" s="194"/>
      <c r="J97" s="194"/>
      <c r="K97" s="194"/>
      <c r="L97" s="194"/>
      <c r="O97" s="366">
        <f t="shared" si="20"/>
        <v>0</v>
      </c>
      <c r="P97" s="393">
        <f t="shared" si="21"/>
        <v>0</v>
      </c>
      <c r="Q97" s="396">
        <f t="shared" si="15"/>
        <v>0</v>
      </c>
      <c r="R97" s="374" t="str">
        <f t="shared" si="18"/>
        <v/>
      </c>
      <c r="S97" s="367"/>
      <c r="T97" s="553"/>
      <c r="U97" s="368"/>
    </row>
    <row r="98" spans="1:21" x14ac:dyDescent="0.25">
      <c r="A98" s="724">
        <v>5420</v>
      </c>
      <c r="B98" s="369" t="s">
        <v>753</v>
      </c>
      <c r="C98" s="365">
        <v>3279.66</v>
      </c>
      <c r="D98" s="365">
        <v>6687.37</v>
      </c>
      <c r="E98" s="365">
        <v>3415.71</v>
      </c>
      <c r="F98" s="194"/>
      <c r="G98" s="194"/>
      <c r="H98" s="194"/>
      <c r="I98" s="194"/>
      <c r="J98" s="194"/>
      <c r="K98" s="194"/>
      <c r="L98" s="194"/>
      <c r="O98" s="366">
        <f t="shared" si="20"/>
        <v>7000</v>
      </c>
      <c r="P98" s="393">
        <f t="shared" si="21"/>
        <v>6500</v>
      </c>
      <c r="Q98" s="396">
        <f t="shared" si="15"/>
        <v>-500</v>
      </c>
      <c r="R98" s="374">
        <f t="shared" si="18"/>
        <v>-7.1400000000000005E-2</v>
      </c>
      <c r="S98" s="367" t="s">
        <v>2301</v>
      </c>
      <c r="T98" s="553"/>
      <c r="U98" s="368"/>
    </row>
    <row r="99" spans="1:21" x14ac:dyDescent="0.25">
      <c r="A99" s="724">
        <v>5580</v>
      </c>
      <c r="B99" s="369" t="s">
        <v>1039</v>
      </c>
      <c r="C99" s="373">
        <v>1205.0999999999999</v>
      </c>
      <c r="D99" s="373">
        <v>1212.29</v>
      </c>
      <c r="E99" s="373">
        <v>1200</v>
      </c>
      <c r="F99" s="194"/>
      <c r="G99" s="194"/>
      <c r="H99" s="194"/>
      <c r="I99" s="194"/>
      <c r="J99" s="194"/>
      <c r="K99" s="194"/>
      <c r="L99" s="194"/>
      <c r="O99" s="366">
        <f t="shared" si="20"/>
        <v>1600</v>
      </c>
      <c r="P99" s="393">
        <f t="shared" si="21"/>
        <v>2500</v>
      </c>
      <c r="Q99" s="396">
        <f t="shared" si="15"/>
        <v>900</v>
      </c>
      <c r="R99" s="374">
        <f t="shared" si="18"/>
        <v>0.5625</v>
      </c>
      <c r="S99" s="367" t="s">
        <v>2302</v>
      </c>
      <c r="T99" s="553"/>
      <c r="U99" s="368"/>
    </row>
    <row r="100" spans="1:21" x14ac:dyDescent="0.25">
      <c r="A100" s="724">
        <v>5581</v>
      </c>
      <c r="B100" s="369" t="s">
        <v>755</v>
      </c>
      <c r="C100" s="373">
        <v>31287.93</v>
      </c>
      <c r="D100" s="373">
        <v>35475.230000000003</v>
      </c>
      <c r="E100" s="373">
        <v>37931.71</v>
      </c>
      <c r="F100" s="194"/>
      <c r="G100" s="194"/>
      <c r="H100" s="194"/>
      <c r="I100" s="194"/>
      <c r="J100" s="194"/>
      <c r="K100" s="194"/>
      <c r="L100" s="194"/>
      <c r="O100" s="366">
        <f t="shared" si="20"/>
        <v>49000</v>
      </c>
      <c r="P100" s="393">
        <f t="shared" si="21"/>
        <v>49000</v>
      </c>
      <c r="Q100" s="396">
        <f t="shared" si="15"/>
        <v>0</v>
      </c>
      <c r="R100" s="374" t="str">
        <f t="shared" si="18"/>
        <v/>
      </c>
      <c r="S100" s="367"/>
      <c r="T100" s="553"/>
      <c r="U100" s="368"/>
    </row>
    <row r="101" spans="1:21" x14ac:dyDescent="0.25">
      <c r="A101" s="724">
        <v>5585</v>
      </c>
      <c r="B101" s="369" t="s">
        <v>1920</v>
      </c>
      <c r="C101" s="373">
        <v>31287.93</v>
      </c>
      <c r="D101" s="373">
        <v>35475.230000000003</v>
      </c>
      <c r="E101" s="373">
        <v>37931.71</v>
      </c>
      <c r="F101" s="194"/>
      <c r="G101" s="194"/>
      <c r="H101" s="194"/>
      <c r="I101" s="194"/>
      <c r="J101" s="194"/>
      <c r="K101" s="194"/>
      <c r="L101" s="194"/>
      <c r="O101" s="366">
        <f t="shared" si="20"/>
        <v>5000</v>
      </c>
      <c r="P101" s="393">
        <f t="shared" si="21"/>
        <v>7400</v>
      </c>
      <c r="Q101" s="396">
        <f t="shared" ref="Q101" si="22">+P101-O101</f>
        <v>2400</v>
      </c>
      <c r="R101" s="374">
        <f t="shared" si="18"/>
        <v>0.48</v>
      </c>
      <c r="S101" s="367" t="s">
        <v>2303</v>
      </c>
      <c r="T101" s="553"/>
      <c r="U101" s="368"/>
    </row>
    <row r="102" spans="1:21" x14ac:dyDescent="0.25">
      <c r="A102" s="724">
        <v>5587</v>
      </c>
      <c r="B102" s="369" t="s">
        <v>1310</v>
      </c>
      <c r="C102" s="373">
        <v>26171.85</v>
      </c>
      <c r="D102" s="373">
        <v>26921.83</v>
      </c>
      <c r="E102" s="373">
        <v>29068.29</v>
      </c>
      <c r="F102" s="194"/>
      <c r="G102" s="194"/>
      <c r="H102" s="194"/>
      <c r="I102" s="194"/>
      <c r="J102" s="194"/>
      <c r="K102" s="194"/>
      <c r="L102" s="194"/>
      <c r="O102" s="366">
        <f t="shared" si="20"/>
        <v>33000</v>
      </c>
      <c r="P102" s="393">
        <f t="shared" si="21"/>
        <v>33000</v>
      </c>
      <c r="Q102" s="396">
        <f t="shared" si="15"/>
        <v>0</v>
      </c>
      <c r="R102" s="374" t="str">
        <f t="shared" si="18"/>
        <v/>
      </c>
      <c r="S102" s="367"/>
      <c r="T102" s="553"/>
      <c r="U102" s="368"/>
    </row>
    <row r="103" spans="1:21" x14ac:dyDescent="0.25">
      <c r="A103" s="724">
        <v>5590</v>
      </c>
      <c r="B103" s="388" t="s">
        <v>934</v>
      </c>
      <c r="C103" s="373">
        <v>839.2</v>
      </c>
      <c r="D103" s="373">
        <v>424.94</v>
      </c>
      <c r="E103" s="373">
        <v>64.989999999999995</v>
      </c>
      <c r="F103" s="194"/>
      <c r="G103" s="194"/>
      <c r="H103" s="194"/>
      <c r="I103" s="194"/>
      <c r="J103" s="194"/>
      <c r="K103" s="194"/>
      <c r="L103" s="194"/>
      <c r="O103" s="366">
        <f t="shared" si="20"/>
        <v>1000</v>
      </c>
      <c r="P103" s="393">
        <f t="shared" si="21"/>
        <v>4000</v>
      </c>
      <c r="Q103" s="396">
        <f t="shared" si="15"/>
        <v>3000</v>
      </c>
      <c r="R103" s="374">
        <f t="shared" si="18"/>
        <v>3</v>
      </c>
      <c r="S103" s="367" t="s">
        <v>2304</v>
      </c>
      <c r="T103" s="553"/>
      <c r="U103" s="368"/>
    </row>
    <row r="104" spans="1:21" x14ac:dyDescent="0.25">
      <c r="A104" s="724">
        <v>5710</v>
      </c>
      <c r="B104" s="369" t="s">
        <v>758</v>
      </c>
      <c r="C104" s="365">
        <v>1628.73</v>
      </c>
      <c r="D104" s="365">
        <v>1042.58</v>
      </c>
      <c r="E104" s="365">
        <v>790.05</v>
      </c>
      <c r="F104" s="194"/>
      <c r="G104" s="194"/>
      <c r="H104" s="194"/>
      <c r="I104" s="194"/>
      <c r="J104" s="194"/>
      <c r="K104" s="194"/>
      <c r="L104" s="194"/>
      <c r="O104" s="366">
        <f t="shared" si="20"/>
        <v>1400</v>
      </c>
      <c r="P104" s="393">
        <f t="shared" si="21"/>
        <v>1400</v>
      </c>
      <c r="Q104" s="396">
        <f t="shared" si="15"/>
        <v>0</v>
      </c>
      <c r="R104" s="374" t="str">
        <f t="shared" si="18"/>
        <v/>
      </c>
      <c r="S104" s="367"/>
      <c r="T104" s="553"/>
      <c r="U104" s="368"/>
    </row>
    <row r="105" spans="1:21" ht="13.8" thickBot="1" x14ac:dyDescent="0.3">
      <c r="A105" s="724">
        <v>5730</v>
      </c>
      <c r="B105" s="369" t="s">
        <v>759</v>
      </c>
      <c r="C105" s="371"/>
      <c r="D105" s="371">
        <v>40</v>
      </c>
      <c r="E105" s="371"/>
      <c r="F105" s="194"/>
      <c r="G105" s="194"/>
      <c r="H105" s="194"/>
      <c r="I105" s="194"/>
      <c r="J105" s="194"/>
      <c r="K105" s="194"/>
      <c r="L105" s="194"/>
      <c r="O105" s="366">
        <f t="shared" si="20"/>
        <v>100</v>
      </c>
      <c r="P105" s="393">
        <f t="shared" si="21"/>
        <v>100</v>
      </c>
      <c r="Q105" s="396">
        <f t="shared" si="15"/>
        <v>0</v>
      </c>
      <c r="R105" s="374" t="str">
        <f t="shared" si="18"/>
        <v/>
      </c>
      <c r="S105" s="367"/>
      <c r="T105" s="553"/>
      <c r="U105" s="368"/>
    </row>
    <row r="106" spans="1:21" x14ac:dyDescent="0.25">
      <c r="C106" s="194"/>
      <c r="D106" s="194"/>
      <c r="E106" s="194"/>
      <c r="F106" s="194"/>
      <c r="G106" s="194"/>
      <c r="H106" s="194"/>
      <c r="I106" s="194"/>
      <c r="J106" s="194"/>
      <c r="K106" s="194"/>
      <c r="L106" s="194"/>
      <c r="O106" s="194"/>
      <c r="P106" s="194"/>
      <c r="Q106" s="194"/>
    </row>
    <row r="107" spans="1:21" x14ac:dyDescent="0.25">
      <c r="B107" s="4" t="s">
        <v>735</v>
      </c>
      <c r="C107" s="23"/>
      <c r="D107" s="23"/>
      <c r="E107" s="23"/>
      <c r="F107" s="23"/>
      <c r="G107" s="23"/>
      <c r="H107" s="194"/>
      <c r="I107" s="597">
        <f>SUM(O76:O105)</f>
        <v>503336</v>
      </c>
      <c r="J107" s="597">
        <f>SUM(P76:P105)</f>
        <v>518233</v>
      </c>
      <c r="K107" s="194"/>
      <c r="L107" s="194"/>
      <c r="O107" s="25">
        <f>SUM(O76:O106)</f>
        <v>503336</v>
      </c>
      <c r="P107" s="25">
        <f t="shared" ref="P107:Q107" si="23">SUM(P76:P106)</f>
        <v>518233</v>
      </c>
      <c r="Q107" s="25">
        <f t="shared" si="23"/>
        <v>14897</v>
      </c>
      <c r="R107" s="598">
        <f>IF(I107+J107&lt;&gt;0,IF(I107&lt;&gt;0,IF(O107&lt;&gt;0,ROUND((+O107/I107),4),""),1),"")</f>
        <v>1</v>
      </c>
    </row>
    <row r="108" spans="1:21" x14ac:dyDescent="0.25">
      <c r="C108" s="194"/>
      <c r="D108" s="194"/>
      <c r="E108" s="194"/>
      <c r="F108" s="194"/>
      <c r="G108" s="194"/>
      <c r="H108" s="194"/>
      <c r="I108" s="194"/>
      <c r="J108" s="194"/>
      <c r="K108" s="194"/>
      <c r="L108" s="194"/>
      <c r="M108" s="194"/>
      <c r="N108" s="194"/>
      <c r="O108" s="194"/>
      <c r="P108" s="194"/>
      <c r="Q108" s="194"/>
    </row>
    <row r="109" spans="1:21" x14ac:dyDescent="0.25">
      <c r="C109" s="194"/>
      <c r="D109" s="194"/>
      <c r="E109" s="194"/>
      <c r="F109" s="194"/>
      <c r="G109" s="194"/>
      <c r="H109" s="194"/>
      <c r="I109" s="194"/>
      <c r="J109" s="194"/>
      <c r="K109" s="194"/>
      <c r="L109" s="194"/>
      <c r="M109" s="194"/>
      <c r="N109" s="194"/>
      <c r="O109" s="194"/>
      <c r="P109" s="194"/>
      <c r="Q109" s="194"/>
    </row>
    <row r="110" spans="1:21" x14ac:dyDescent="0.25">
      <c r="C110" s="194"/>
      <c r="D110" s="194"/>
      <c r="E110" s="194"/>
      <c r="F110" s="194"/>
      <c r="G110" s="194"/>
      <c r="H110" s="194"/>
      <c r="I110" s="194"/>
      <c r="J110" s="194"/>
      <c r="K110" s="194"/>
      <c r="L110" s="194"/>
      <c r="M110" s="194"/>
      <c r="N110" s="194"/>
      <c r="O110" s="194"/>
      <c r="P110" s="194"/>
      <c r="Q110" s="194"/>
    </row>
    <row r="111" spans="1:21" x14ac:dyDescent="0.25">
      <c r="C111" s="194"/>
      <c r="D111" s="194"/>
      <c r="E111" s="194"/>
      <c r="F111" s="194"/>
      <c r="G111" s="194"/>
      <c r="H111" s="194"/>
      <c r="I111" s="194"/>
      <c r="J111" s="194"/>
      <c r="K111" s="194"/>
      <c r="L111" s="194"/>
      <c r="M111" s="194"/>
      <c r="N111" s="194"/>
      <c r="O111" s="194"/>
      <c r="P111" s="194"/>
      <c r="Q111" s="194"/>
    </row>
    <row r="112" spans="1:21" x14ac:dyDescent="0.25">
      <c r="C112" s="194"/>
      <c r="D112" s="194"/>
      <c r="E112" s="194"/>
      <c r="F112" s="194"/>
      <c r="G112" s="194"/>
      <c r="H112" s="194"/>
      <c r="I112" s="194"/>
      <c r="J112" s="194"/>
      <c r="K112" s="194"/>
      <c r="L112" s="194"/>
      <c r="M112" s="194"/>
      <c r="N112" s="194"/>
      <c r="O112" s="194"/>
      <c r="P112" s="194"/>
      <c r="Q112" s="194"/>
    </row>
    <row r="113" spans="3:17" x14ac:dyDescent="0.25">
      <c r="C113" s="194"/>
      <c r="D113" s="194"/>
      <c r="E113" s="194"/>
      <c r="F113" s="194"/>
      <c r="G113" s="194"/>
      <c r="H113" s="194"/>
      <c r="I113" s="194"/>
      <c r="J113" s="194"/>
      <c r="K113" s="194"/>
      <c r="L113" s="194"/>
      <c r="M113" s="194"/>
      <c r="N113" s="194"/>
      <c r="O113" s="194"/>
      <c r="P113" s="194"/>
      <c r="Q113" s="194"/>
    </row>
    <row r="114" spans="3:17" x14ac:dyDescent="0.25">
      <c r="C114" s="194"/>
      <c r="D114" s="194"/>
      <c r="E114" s="194"/>
      <c r="F114" s="194"/>
      <c r="G114" s="194"/>
      <c r="H114" s="194"/>
      <c r="I114" s="194"/>
      <c r="J114" s="194"/>
      <c r="K114" s="194"/>
      <c r="L114" s="194"/>
      <c r="M114" s="194"/>
      <c r="N114" s="194"/>
      <c r="O114" s="194"/>
      <c r="P114" s="194"/>
      <c r="Q114" s="194"/>
    </row>
    <row r="115" spans="3:17" x14ac:dyDescent="0.25">
      <c r="C115" s="194"/>
      <c r="D115" s="194"/>
      <c r="E115" s="194"/>
      <c r="F115" s="194"/>
      <c r="G115" s="194"/>
      <c r="H115" s="194"/>
      <c r="I115" s="194"/>
      <c r="J115" s="194"/>
      <c r="K115" s="194"/>
      <c r="L115" s="194"/>
      <c r="M115" s="194"/>
      <c r="N115" s="194"/>
      <c r="O115" s="194"/>
      <c r="P115" s="194"/>
      <c r="Q115" s="194"/>
    </row>
    <row r="116" spans="3:17" x14ac:dyDescent="0.25">
      <c r="C116" s="194"/>
      <c r="D116" s="194"/>
      <c r="E116" s="194"/>
      <c r="F116" s="194"/>
      <c r="G116" s="194"/>
      <c r="H116" s="194"/>
      <c r="I116" s="194"/>
      <c r="J116" s="194"/>
      <c r="K116" s="194"/>
      <c r="L116" s="194"/>
      <c r="M116" s="194"/>
      <c r="N116" s="194"/>
      <c r="O116" s="194"/>
      <c r="P116" s="194"/>
      <c r="Q116" s="194"/>
    </row>
    <row r="117" spans="3:17" x14ac:dyDescent="0.25">
      <c r="C117" s="194"/>
      <c r="D117" s="194"/>
      <c r="E117" s="194"/>
      <c r="F117" s="194"/>
      <c r="G117" s="194"/>
      <c r="H117" s="194"/>
      <c r="I117" s="194"/>
      <c r="J117" s="194"/>
      <c r="K117" s="194"/>
      <c r="L117" s="194"/>
      <c r="M117" s="194"/>
      <c r="N117" s="194"/>
      <c r="O117" s="194"/>
      <c r="P117" s="194"/>
      <c r="Q117" s="194"/>
    </row>
    <row r="118" spans="3:17" x14ac:dyDescent="0.25">
      <c r="C118" s="194"/>
    </row>
    <row r="119" spans="3:17" x14ac:dyDescent="0.25">
      <c r="C119" s="194"/>
    </row>
    <row r="120" spans="3:17" x14ac:dyDescent="0.25">
      <c r="C120" s="194"/>
    </row>
    <row r="121" spans="3:17" x14ac:dyDescent="0.25">
      <c r="C121" s="194"/>
    </row>
    <row r="122" spans="3:17" x14ac:dyDescent="0.25">
      <c r="C122" s="194"/>
    </row>
    <row r="123" spans="3:17" x14ac:dyDescent="0.25">
      <c r="C123" s="194"/>
    </row>
    <row r="124" spans="3:17" x14ac:dyDescent="0.25">
      <c r="C124" s="194"/>
    </row>
    <row r="125" spans="3:17" x14ac:dyDescent="0.25">
      <c r="C125" s="194"/>
    </row>
    <row r="126" spans="3:17" x14ac:dyDescent="0.25">
      <c r="C126" s="194"/>
    </row>
    <row r="127" spans="3:17" x14ac:dyDescent="0.25">
      <c r="C127" s="194"/>
    </row>
    <row r="128" spans="3:17" x14ac:dyDescent="0.25">
      <c r="C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sheetData>
  <phoneticPr fontId="0" type="noConversion"/>
  <hyperlinks>
    <hyperlink ref="A1" location="'Working Budget with funding det'!A1" display="Main " xr:uid="{00000000-0004-0000-2D00-000000000000}"/>
    <hyperlink ref="B1" location="'Table of Contents'!A1" display="TOC" xr:uid="{00000000-0004-0000-2D00-000001000000}"/>
  </hyperlinks>
  <pageMargins left="0.75" right="0.75" top="1" bottom="0" header="0.5" footer="0.5"/>
  <pageSetup scale="78" fitToHeight="2" orientation="landscape" r:id="rId1"/>
  <headerFooter alignWithMargins="0">
    <oddFooter>&amp;L&amp;D     &amp;T&amp;C&amp;P&amp;R&amp;A   &amp;P</oddFooter>
  </headerFooter>
  <rowBreaks count="1" manualBreakCount="1">
    <brk id="49" max="1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19"/>
  <sheetViews>
    <sheetView workbookViewId="0">
      <selection activeCell="M18" sqref="M18"/>
    </sheetView>
  </sheetViews>
  <sheetFormatPr defaultRowHeight="13.2" x14ac:dyDescent="0.25"/>
  <cols>
    <col min="1" max="1" width="4.44140625" customWidth="1"/>
  </cols>
  <sheetData>
    <row r="1" spans="1:2" x14ac:dyDescent="0.25">
      <c r="A1" t="s">
        <v>224</v>
      </c>
    </row>
    <row r="2" spans="1:2" x14ac:dyDescent="0.25">
      <c r="A2" t="s">
        <v>225</v>
      </c>
    </row>
    <row r="3" spans="1:2" x14ac:dyDescent="0.25">
      <c r="B3" t="s">
        <v>226</v>
      </c>
    </row>
    <row r="4" spans="1:2" x14ac:dyDescent="0.25">
      <c r="B4" t="s">
        <v>227</v>
      </c>
    </row>
    <row r="5" spans="1:2" x14ac:dyDescent="0.25">
      <c r="B5" t="s">
        <v>228</v>
      </c>
    </row>
    <row r="6" spans="1:2" x14ac:dyDescent="0.25">
      <c r="B6" t="s">
        <v>229</v>
      </c>
    </row>
    <row r="7" spans="1:2" x14ac:dyDescent="0.25">
      <c r="B7" t="s">
        <v>230</v>
      </c>
    </row>
    <row r="8" spans="1:2" x14ac:dyDescent="0.25">
      <c r="B8" t="s">
        <v>231</v>
      </c>
    </row>
    <row r="9" spans="1:2" x14ac:dyDescent="0.25">
      <c r="B9" t="s">
        <v>232</v>
      </c>
    </row>
    <row r="10" spans="1:2" x14ac:dyDescent="0.25">
      <c r="B10" t="s">
        <v>233</v>
      </c>
    </row>
    <row r="11" spans="1:2" x14ac:dyDescent="0.25">
      <c r="B11" t="s">
        <v>234</v>
      </c>
    </row>
    <row r="12" spans="1:2" x14ac:dyDescent="0.25">
      <c r="B12" t="s">
        <v>235</v>
      </c>
    </row>
    <row r="13" spans="1:2" x14ac:dyDescent="0.25">
      <c r="B13" t="s">
        <v>236</v>
      </c>
    </row>
    <row r="14" spans="1:2" x14ac:dyDescent="0.25">
      <c r="B14" t="s">
        <v>237</v>
      </c>
    </row>
    <row r="15" spans="1:2" x14ac:dyDescent="0.25">
      <c r="B15" t="s">
        <v>238</v>
      </c>
    </row>
    <row r="16" spans="1:2" x14ac:dyDescent="0.25">
      <c r="B16" t="s">
        <v>239</v>
      </c>
    </row>
    <row r="17" spans="2:2" x14ac:dyDescent="0.25">
      <c r="B17" t="s">
        <v>240</v>
      </c>
    </row>
    <row r="18" spans="2:2" x14ac:dyDescent="0.25">
      <c r="B18" t="s">
        <v>241</v>
      </c>
    </row>
    <row r="19" spans="2:2" x14ac:dyDescent="0.25">
      <c r="B19" t="s">
        <v>242</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pageSetUpPr fitToPage="1"/>
  </sheetPr>
  <dimension ref="A1:Z170"/>
  <sheetViews>
    <sheetView workbookViewId="0">
      <selection activeCell="R27" sqref="R27"/>
    </sheetView>
  </sheetViews>
  <sheetFormatPr defaultRowHeight="13.2" x14ac:dyDescent="0.25"/>
  <cols>
    <col min="1" max="1" width="10.664062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 min="23" max="25" width="14.44140625" customWidth="1"/>
    <col min="26" max="26" width="14.6640625" style="2" customWidth="1"/>
  </cols>
  <sheetData>
    <row r="1" spans="1:26" x14ac:dyDescent="0.25">
      <c r="A1" s="701" t="s">
        <v>736</v>
      </c>
      <c r="B1" s="290" t="s">
        <v>194</v>
      </c>
      <c r="D1" s="194"/>
      <c r="E1" s="194"/>
      <c r="F1" s="194"/>
      <c r="G1" s="194"/>
      <c r="H1" s="194"/>
      <c r="I1" s="194"/>
      <c r="J1" s="194"/>
      <c r="K1" s="194"/>
      <c r="L1" s="194"/>
      <c r="M1" s="194"/>
      <c r="N1" s="194"/>
      <c r="O1" s="194"/>
      <c r="P1" s="194"/>
      <c r="Q1" s="194"/>
      <c r="V1"/>
    </row>
    <row r="2" spans="1:26" ht="13.8" x14ac:dyDescent="0.25">
      <c r="A2" s="702" t="s">
        <v>1299</v>
      </c>
      <c r="B2" s="43"/>
      <c r="D2" s="194"/>
      <c r="E2" s="125"/>
      <c r="F2" s="194"/>
      <c r="G2" s="194"/>
      <c r="H2" s="194"/>
      <c r="I2" s="125" t="s">
        <v>706</v>
      </c>
      <c r="J2" s="125"/>
      <c r="K2" s="125"/>
      <c r="L2" s="125"/>
      <c r="M2" s="125"/>
      <c r="N2" s="125"/>
      <c r="O2" s="125"/>
      <c r="P2" s="125"/>
      <c r="Q2" s="125"/>
      <c r="R2" s="58" t="s">
        <v>1324</v>
      </c>
      <c r="U2" s="44" t="s">
        <v>1325</v>
      </c>
    </row>
    <row r="3" spans="1:26" ht="13.8" thickBot="1" x14ac:dyDescent="0.3">
      <c r="A3" s="703"/>
      <c r="B3" s="4"/>
      <c r="C3" s="23"/>
      <c r="D3" s="23"/>
      <c r="E3" s="23"/>
      <c r="F3" s="23"/>
      <c r="G3" s="23"/>
      <c r="H3" s="23"/>
      <c r="I3" s="23"/>
      <c r="J3" s="23"/>
      <c r="K3" s="23"/>
      <c r="L3" s="23"/>
      <c r="M3" s="23"/>
      <c r="N3" s="23"/>
      <c r="O3" s="23"/>
      <c r="P3" s="23"/>
      <c r="Q3" s="23"/>
      <c r="R3" s="4"/>
      <c r="S3" s="23"/>
      <c r="T3" s="23"/>
      <c r="U3" s="4"/>
      <c r="V3" s="4"/>
      <c r="Y3" s="4"/>
    </row>
    <row r="4" spans="1:26"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6"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6" x14ac:dyDescent="0.25">
      <c r="A6" s="705"/>
      <c r="B6" s="184"/>
      <c r="C6" s="112"/>
      <c r="D6" s="112"/>
      <c r="E6" s="112"/>
      <c r="F6" s="82"/>
      <c r="G6" s="112"/>
      <c r="H6" s="112"/>
      <c r="I6" s="83"/>
      <c r="J6" s="83"/>
      <c r="K6" s="83"/>
      <c r="L6" s="83"/>
      <c r="M6" s="83"/>
      <c r="N6" s="83"/>
      <c r="O6" s="83"/>
      <c r="P6" s="83"/>
      <c r="Q6" s="83"/>
      <c r="R6" s="112"/>
      <c r="S6" s="83" t="s">
        <v>713</v>
      </c>
      <c r="T6" s="83" t="s">
        <v>481</v>
      </c>
      <c r="U6" s="45" t="s">
        <v>714</v>
      </c>
    </row>
    <row r="7" spans="1:26"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6" ht="13.8" thickTop="1" x14ac:dyDescent="0.25">
      <c r="A8" s="725"/>
      <c r="B8" s="185"/>
      <c r="C8" s="117"/>
      <c r="D8" s="18"/>
      <c r="E8" s="18"/>
      <c r="F8" s="18"/>
      <c r="G8" s="18"/>
      <c r="H8" s="18"/>
      <c r="I8" s="19"/>
      <c r="J8" s="19"/>
      <c r="K8" s="19"/>
      <c r="L8" s="19"/>
      <c r="M8" s="19"/>
      <c r="N8" s="19"/>
      <c r="O8" s="19"/>
      <c r="P8" s="19"/>
      <c r="Q8" s="19"/>
      <c r="R8" s="18"/>
      <c r="S8" s="19"/>
      <c r="T8" s="19"/>
      <c r="U8" s="19"/>
    </row>
    <row r="9" spans="1:26" x14ac:dyDescent="0.25">
      <c r="A9" s="708">
        <v>5111</v>
      </c>
      <c r="B9" s="101" t="s">
        <v>1326</v>
      </c>
      <c r="C9" s="115">
        <v>56733.95</v>
      </c>
      <c r="D9" s="13">
        <v>61829</v>
      </c>
      <c r="E9" s="13">
        <v>63697</v>
      </c>
      <c r="F9" s="13">
        <v>65620</v>
      </c>
      <c r="G9" s="13">
        <v>67602</v>
      </c>
      <c r="H9" s="13">
        <v>69988</v>
      </c>
      <c r="I9" s="13">
        <v>71388</v>
      </c>
      <c r="J9" s="13">
        <v>73905</v>
      </c>
      <c r="K9" s="14">
        <v>75014</v>
      </c>
      <c r="L9" s="13">
        <v>75014</v>
      </c>
      <c r="M9" s="14">
        <v>76139</v>
      </c>
      <c r="N9" s="13">
        <v>76139</v>
      </c>
      <c r="O9" s="14">
        <f>2284+76139</f>
        <v>78423</v>
      </c>
      <c r="P9" s="13">
        <v>78423</v>
      </c>
      <c r="Q9" s="14">
        <v>80384</v>
      </c>
      <c r="R9" s="13">
        <v>38646.050000000003</v>
      </c>
      <c r="S9" s="14">
        <f>ROUND(+R38,0)</f>
        <v>82394</v>
      </c>
      <c r="T9" s="14"/>
      <c r="U9" s="14"/>
    </row>
    <row r="10" spans="1:26" x14ac:dyDescent="0.25">
      <c r="A10" s="708">
        <v>5113</v>
      </c>
      <c r="B10" s="60" t="s">
        <v>2506</v>
      </c>
      <c r="C10" s="115">
        <v>14204.61</v>
      </c>
      <c r="D10" s="13">
        <v>16756.2</v>
      </c>
      <c r="E10" s="13">
        <v>17207.96</v>
      </c>
      <c r="F10" s="13">
        <v>18025.599999999999</v>
      </c>
      <c r="G10" s="13">
        <v>18583.2</v>
      </c>
      <c r="H10" s="13">
        <v>19260.8</v>
      </c>
      <c r="I10" s="13">
        <v>20144.8</v>
      </c>
      <c r="J10" s="13">
        <v>21112.13</v>
      </c>
      <c r="K10" s="14">
        <v>21580</v>
      </c>
      <c r="L10" s="13">
        <v>21663</v>
      </c>
      <c r="M10" s="14">
        <v>22360</v>
      </c>
      <c r="N10" s="13">
        <v>22446</v>
      </c>
      <c r="O10" s="14">
        <f>692+22797</f>
        <v>23489</v>
      </c>
      <c r="P10" s="13">
        <v>23573.52</v>
      </c>
      <c r="Q10" s="14">
        <v>24669</v>
      </c>
      <c r="R10" s="13">
        <v>11860</v>
      </c>
      <c r="S10" s="14">
        <f>ROUND(+R39,0)</f>
        <v>25282</v>
      </c>
      <c r="T10" s="14"/>
      <c r="U10" s="14"/>
    </row>
    <row r="11" spans="1:26" x14ac:dyDescent="0.25">
      <c r="A11" s="708">
        <v>5124</v>
      </c>
      <c r="B11" s="60" t="s">
        <v>1092</v>
      </c>
      <c r="C11" s="115">
        <v>18920.04</v>
      </c>
      <c r="D11" s="13">
        <v>18869.12</v>
      </c>
      <c r="E11" s="13">
        <v>19350.96</v>
      </c>
      <c r="F11" s="13">
        <v>20507.150000000001</v>
      </c>
      <c r="G11" s="13">
        <v>22617.14</v>
      </c>
      <c r="H11" s="13">
        <v>24574.15</v>
      </c>
      <c r="I11" s="13">
        <v>25060.87</v>
      </c>
      <c r="J11" s="13">
        <v>27643.24</v>
      </c>
      <c r="K11" s="14">
        <v>29650</v>
      </c>
      <c r="L11" s="13">
        <v>9181.42</v>
      </c>
      <c r="M11" s="14">
        <v>31450</v>
      </c>
      <c r="N11" s="13">
        <v>29557.94</v>
      </c>
      <c r="O11" s="14">
        <v>32950</v>
      </c>
      <c r="P11" s="13">
        <v>32949.74</v>
      </c>
      <c r="Q11" s="14">
        <v>34450</v>
      </c>
      <c r="R11" s="13">
        <v>34552.69</v>
      </c>
      <c r="S11" s="14">
        <v>35950</v>
      </c>
      <c r="T11" s="14"/>
      <c r="U11" s="14"/>
    </row>
    <row r="12" spans="1:26" ht="13.8" thickBot="1" x14ac:dyDescent="0.3">
      <c r="A12" s="708">
        <v>5144</v>
      </c>
      <c r="B12" s="60" t="s">
        <v>27</v>
      </c>
      <c r="C12" s="116">
        <v>150</v>
      </c>
      <c r="D12" s="15">
        <v>150</v>
      </c>
      <c r="E12" s="15">
        <v>150</v>
      </c>
      <c r="F12" s="15">
        <v>150</v>
      </c>
      <c r="G12" s="15">
        <v>800</v>
      </c>
      <c r="H12" s="15">
        <v>1100</v>
      </c>
      <c r="I12" s="15">
        <v>1100</v>
      </c>
      <c r="J12" s="15">
        <v>1100</v>
      </c>
      <c r="K12" s="16">
        <v>1100</v>
      </c>
      <c r="L12" s="15">
        <v>1100</v>
      </c>
      <c r="M12" s="16">
        <v>1200</v>
      </c>
      <c r="N12" s="15">
        <v>1200</v>
      </c>
      <c r="O12" s="16">
        <f>100+1400</f>
        <v>1500</v>
      </c>
      <c r="P12" s="15">
        <v>1500</v>
      </c>
      <c r="Q12" s="16">
        <v>1500</v>
      </c>
      <c r="R12" s="15">
        <v>1500</v>
      </c>
      <c r="S12" s="16">
        <f>SUM(V38:V39)</f>
        <v>1500</v>
      </c>
      <c r="T12" s="16"/>
      <c r="U12" s="16"/>
    </row>
    <row r="13" spans="1:26" x14ac:dyDescent="0.25">
      <c r="A13" s="708"/>
      <c r="B13" s="61" t="s">
        <v>718</v>
      </c>
      <c r="C13" s="117">
        <f t="shared" ref="C13:R13" si="0">SUM(C9:C12)</f>
        <v>90008.6</v>
      </c>
      <c r="D13" s="18">
        <f t="shared" si="0"/>
        <v>97604.319999999992</v>
      </c>
      <c r="E13" s="18">
        <f t="shared" si="0"/>
        <v>100405.91999999998</v>
      </c>
      <c r="F13" s="18">
        <f>SUM(F9:F12)</f>
        <v>104302.75</v>
      </c>
      <c r="G13" s="18">
        <f>SUM(G9:G12)</f>
        <v>109602.34</v>
      </c>
      <c r="H13" s="18">
        <f>SUM(H9:H12)</f>
        <v>114922.95000000001</v>
      </c>
      <c r="I13" s="18">
        <f t="shared" si="0"/>
        <v>117693.67</v>
      </c>
      <c r="J13" s="18">
        <f t="shared" si="0"/>
        <v>123760.37000000001</v>
      </c>
      <c r="K13" s="19">
        <f>SUM(K9:K12)</f>
        <v>127344</v>
      </c>
      <c r="L13" s="18">
        <f t="shared" ref="L13:P13" si="1">SUM(L9:L12)</f>
        <v>106958.42</v>
      </c>
      <c r="M13" s="19">
        <f t="shared" si="1"/>
        <v>131149</v>
      </c>
      <c r="N13" s="18">
        <f t="shared" si="1"/>
        <v>129342.94</v>
      </c>
      <c r="O13" s="19">
        <f t="shared" si="1"/>
        <v>136362</v>
      </c>
      <c r="P13" s="18">
        <f t="shared" si="1"/>
        <v>136446.26</v>
      </c>
      <c r="Q13" s="19">
        <f>SUM(Q9:Q12)</f>
        <v>141003</v>
      </c>
      <c r="R13" s="18">
        <f t="shared" si="0"/>
        <v>86558.74</v>
      </c>
      <c r="S13" s="19">
        <f>SUM(S9:S12)</f>
        <v>145126</v>
      </c>
      <c r="T13" s="19"/>
      <c r="U13" s="19">
        <f>SUM(U9:U12)</f>
        <v>0</v>
      </c>
    </row>
    <row r="14" spans="1:26" x14ac:dyDescent="0.25">
      <c r="A14" s="708"/>
      <c r="B14" s="60"/>
      <c r="C14" s="115"/>
      <c r="D14" s="13"/>
      <c r="E14" s="13"/>
      <c r="F14" s="13"/>
      <c r="G14" s="13"/>
      <c r="H14" s="13"/>
      <c r="I14" s="13"/>
      <c r="J14" s="13"/>
      <c r="K14" s="14"/>
      <c r="L14" s="13"/>
      <c r="M14" s="14"/>
      <c r="N14" s="13"/>
      <c r="O14" s="14"/>
      <c r="P14" s="13"/>
      <c r="Q14" s="14"/>
      <c r="R14" s="13"/>
      <c r="S14" s="14"/>
      <c r="T14" s="14"/>
      <c r="U14" s="14"/>
    </row>
    <row r="15" spans="1:26" x14ac:dyDescent="0.25">
      <c r="A15" s="708">
        <v>5242</v>
      </c>
      <c r="B15" s="60" t="s">
        <v>1327</v>
      </c>
      <c r="C15" s="115"/>
      <c r="D15" s="13"/>
      <c r="E15" s="13"/>
      <c r="F15" s="13">
        <v>6528.96</v>
      </c>
      <c r="G15" s="13">
        <v>5808.28</v>
      </c>
      <c r="H15" s="13">
        <v>9579.82</v>
      </c>
      <c r="I15" s="127">
        <v>8673.4599999999991</v>
      </c>
      <c r="J15" s="127">
        <v>14061.57</v>
      </c>
      <c r="K15" s="14">
        <f>3000+9095</f>
        <v>12095</v>
      </c>
      <c r="L15" s="127">
        <v>28152.67</v>
      </c>
      <c r="M15" s="14">
        <f>3000+9095</f>
        <v>12095</v>
      </c>
      <c r="N15" s="127">
        <v>15968.14</v>
      </c>
      <c r="O15" s="14">
        <v>14595</v>
      </c>
      <c r="P15" s="13">
        <v>14813.51</v>
      </c>
      <c r="Q15" s="14">
        <v>15000</v>
      </c>
      <c r="R15" s="13">
        <v>11565.87</v>
      </c>
      <c r="S15" s="14">
        <v>15000</v>
      </c>
      <c r="T15" s="14"/>
      <c r="U15" s="14"/>
      <c r="Z15"/>
    </row>
    <row r="16" spans="1:26" hidden="1" x14ac:dyDescent="0.25">
      <c r="A16" s="708">
        <v>5275</v>
      </c>
      <c r="B16" s="60" t="s">
        <v>1328</v>
      </c>
      <c r="C16" s="115">
        <v>3117</v>
      </c>
      <c r="D16" s="13">
        <v>3228</v>
      </c>
      <c r="E16" s="13">
        <v>3228</v>
      </c>
      <c r="F16" s="13"/>
      <c r="G16" s="13"/>
      <c r="H16" s="13"/>
      <c r="I16" s="127"/>
      <c r="J16" s="127"/>
      <c r="K16" s="14"/>
      <c r="L16" s="127"/>
      <c r="M16" s="14"/>
      <c r="N16" s="127"/>
      <c r="O16" s="14"/>
      <c r="P16" s="13"/>
      <c r="Q16" s="14"/>
      <c r="R16" s="13"/>
      <c r="S16" s="14"/>
      <c r="T16" s="14"/>
      <c r="U16" s="14"/>
      <c r="Z16"/>
    </row>
    <row r="17" spans="1:26" hidden="1" x14ac:dyDescent="0.25">
      <c r="A17" s="708"/>
      <c r="B17" s="60" t="s">
        <v>1329</v>
      </c>
      <c r="C17" s="210"/>
      <c r="D17" s="35"/>
      <c r="E17" s="35"/>
      <c r="F17" s="35"/>
      <c r="G17" s="35"/>
      <c r="H17" s="35"/>
      <c r="I17" s="200"/>
      <c r="J17" s="200"/>
      <c r="K17" s="36"/>
      <c r="L17" s="200"/>
      <c r="M17" s="36"/>
      <c r="N17" s="200"/>
      <c r="O17" s="36"/>
      <c r="P17" s="35"/>
      <c r="Q17" s="36"/>
      <c r="R17" s="35"/>
      <c r="S17" s="36"/>
      <c r="T17" s="36"/>
      <c r="U17" s="36"/>
      <c r="Z17"/>
    </row>
    <row r="18" spans="1:26" x14ac:dyDescent="0.25">
      <c r="A18" s="708">
        <v>5248</v>
      </c>
      <c r="B18" s="60" t="s">
        <v>1330</v>
      </c>
      <c r="C18" s="210"/>
      <c r="D18" s="35"/>
      <c r="E18" s="35"/>
      <c r="F18" s="35">
        <v>1332.34</v>
      </c>
      <c r="G18" s="35">
        <v>1321.17</v>
      </c>
      <c r="H18" s="35">
        <v>1386.9</v>
      </c>
      <c r="I18" s="200">
        <v>1134.21</v>
      </c>
      <c r="J18" s="200">
        <v>1434.1</v>
      </c>
      <c r="K18" s="36">
        <v>1400</v>
      </c>
      <c r="L18" s="200">
        <v>1487.65</v>
      </c>
      <c r="M18" s="36">
        <v>1400</v>
      </c>
      <c r="N18" s="200">
        <v>1559.56</v>
      </c>
      <c r="O18" s="36">
        <v>1400</v>
      </c>
      <c r="P18" s="35">
        <v>1669.04</v>
      </c>
      <c r="Q18" s="36">
        <v>1400</v>
      </c>
      <c r="R18" s="35">
        <v>855.5</v>
      </c>
      <c r="S18" s="36">
        <v>1400</v>
      </c>
      <c r="T18" s="36"/>
      <c r="U18" s="36"/>
      <c r="Z18"/>
    </row>
    <row r="19" spans="1:26" x14ac:dyDescent="0.25">
      <c r="A19" s="708">
        <v>5314</v>
      </c>
      <c r="B19" s="12" t="s">
        <v>749</v>
      </c>
      <c r="C19" s="35"/>
      <c r="D19" s="35"/>
      <c r="E19" s="35"/>
      <c r="F19" s="35">
        <v>225</v>
      </c>
      <c r="G19" s="35">
        <v>440</v>
      </c>
      <c r="H19" s="35">
        <v>225</v>
      </c>
      <c r="I19" s="200">
        <v>402.91</v>
      </c>
      <c r="J19" s="200">
        <v>175</v>
      </c>
      <c r="K19" s="36">
        <v>700</v>
      </c>
      <c r="L19" s="200">
        <v>729</v>
      </c>
      <c r="M19" s="36">
        <v>700</v>
      </c>
      <c r="N19" s="200">
        <v>913.74</v>
      </c>
      <c r="O19" s="36">
        <v>700</v>
      </c>
      <c r="P19" s="35">
        <v>90</v>
      </c>
      <c r="Q19" s="36">
        <v>700</v>
      </c>
      <c r="R19" s="35"/>
      <c r="S19" s="36">
        <v>700</v>
      </c>
      <c r="T19" s="36"/>
      <c r="U19" s="36"/>
      <c r="Z19"/>
    </row>
    <row r="20" spans="1:26" hidden="1" x14ac:dyDescent="0.25">
      <c r="A20" s="708">
        <v>5341</v>
      </c>
      <c r="B20" s="12" t="s">
        <v>751</v>
      </c>
      <c r="C20" s="13">
        <v>414.26</v>
      </c>
      <c r="D20" s="13">
        <v>403.42</v>
      </c>
      <c r="E20" s="13">
        <v>408.49</v>
      </c>
      <c r="F20" s="13">
        <v>423.79</v>
      </c>
      <c r="G20" s="13">
        <v>435.74</v>
      </c>
      <c r="H20" s="13"/>
      <c r="I20" s="127">
        <v>0</v>
      </c>
      <c r="J20" s="127"/>
      <c r="K20" s="14">
        <v>0</v>
      </c>
      <c r="L20" s="127"/>
      <c r="M20" s="14">
        <v>0</v>
      </c>
      <c r="N20" s="127"/>
      <c r="O20" s="14">
        <v>0</v>
      </c>
      <c r="P20" s="13"/>
      <c r="Q20" s="14">
        <v>0</v>
      </c>
      <c r="R20" s="13"/>
      <c r="S20" s="14">
        <v>0</v>
      </c>
      <c r="T20" s="14"/>
      <c r="U20" s="14"/>
      <c r="Z20"/>
    </row>
    <row r="21" spans="1:26" x14ac:dyDescent="0.25">
      <c r="A21" s="708">
        <v>5342</v>
      </c>
      <c r="B21" s="12" t="s">
        <v>1322</v>
      </c>
      <c r="C21" s="13"/>
      <c r="D21" s="13"/>
      <c r="E21" s="13"/>
      <c r="F21" s="13">
        <v>1198.2</v>
      </c>
      <c r="G21" s="13">
        <v>1198.2</v>
      </c>
      <c r="H21" s="13">
        <v>1198.2</v>
      </c>
      <c r="I21" s="127">
        <v>1226.2</v>
      </c>
      <c r="J21" s="127">
        <v>1291.2</v>
      </c>
      <c r="K21" s="14">
        <v>1200</v>
      </c>
      <c r="L21" s="127">
        <v>1700.56</v>
      </c>
      <c r="M21" s="14">
        <v>1800</v>
      </c>
      <c r="N21" s="127">
        <v>2018.68</v>
      </c>
      <c r="O21" s="14">
        <v>1800</v>
      </c>
      <c r="P21" s="13">
        <v>1702.69</v>
      </c>
      <c r="Q21" s="14">
        <v>1800</v>
      </c>
      <c r="R21" s="13">
        <v>1149.8599999999999</v>
      </c>
      <c r="S21" s="14">
        <v>1800</v>
      </c>
      <c r="T21" s="14"/>
      <c r="U21" s="14"/>
      <c r="Z21"/>
    </row>
    <row r="22" spans="1:26" hidden="1" x14ac:dyDescent="0.25">
      <c r="A22" s="708">
        <v>5500</v>
      </c>
      <c r="B22" s="12" t="s">
        <v>1331</v>
      </c>
      <c r="C22" s="35"/>
      <c r="D22" s="35"/>
      <c r="E22" s="35"/>
      <c r="F22" s="35">
        <v>1176</v>
      </c>
      <c r="G22" s="35">
        <v>1625</v>
      </c>
      <c r="H22" s="35"/>
      <c r="I22" s="200">
        <v>0</v>
      </c>
      <c r="J22" s="200"/>
      <c r="K22" s="36">
        <v>0</v>
      </c>
      <c r="L22" s="200"/>
      <c r="M22" s="36">
        <v>0</v>
      </c>
      <c r="N22" s="200"/>
      <c r="O22" s="36">
        <v>0</v>
      </c>
      <c r="P22" s="35"/>
      <c r="Q22" s="36">
        <v>0</v>
      </c>
      <c r="R22" s="35"/>
      <c r="S22" s="36">
        <v>0</v>
      </c>
      <c r="T22" s="36"/>
      <c r="U22" s="36"/>
      <c r="Z22"/>
    </row>
    <row r="23" spans="1:26" hidden="1" x14ac:dyDescent="0.25">
      <c r="A23" s="708"/>
      <c r="B23" s="12" t="s">
        <v>1332</v>
      </c>
      <c r="C23" s="35"/>
      <c r="D23" s="35"/>
      <c r="E23" s="35"/>
      <c r="F23" s="35"/>
      <c r="G23" s="35"/>
      <c r="H23" s="35"/>
      <c r="I23" s="200"/>
      <c r="J23" s="200"/>
      <c r="K23" s="36"/>
      <c r="L23" s="200">
        <v>2638.09</v>
      </c>
      <c r="M23" s="36"/>
      <c r="N23" s="200"/>
      <c r="O23" s="36"/>
      <c r="P23" s="35"/>
      <c r="Q23" s="36"/>
      <c r="R23" s="35"/>
      <c r="S23" s="36"/>
      <c r="T23" s="36"/>
      <c r="U23" s="36"/>
      <c r="Z23"/>
    </row>
    <row r="24" spans="1:26" hidden="1" x14ac:dyDescent="0.25">
      <c r="A24" s="708"/>
      <c r="B24" s="12" t="s">
        <v>1042</v>
      </c>
      <c r="C24" s="35"/>
      <c r="D24" s="35"/>
      <c r="E24" s="35"/>
      <c r="F24" s="35"/>
      <c r="G24" s="35"/>
      <c r="H24" s="35"/>
      <c r="I24" s="200"/>
      <c r="J24" s="200"/>
      <c r="K24" s="36"/>
      <c r="L24" s="200">
        <v>1155.19</v>
      </c>
      <c r="M24" s="36"/>
      <c r="N24" s="200"/>
      <c r="O24" s="36"/>
      <c r="P24" s="35"/>
      <c r="Q24" s="36"/>
      <c r="R24" s="35"/>
      <c r="S24" s="36"/>
      <c r="T24" s="36"/>
      <c r="U24" s="36"/>
      <c r="Z24"/>
    </row>
    <row r="25" spans="1:26" x14ac:dyDescent="0.25">
      <c r="A25" s="708">
        <v>5710</v>
      </c>
      <c r="B25" s="12" t="s">
        <v>758</v>
      </c>
      <c r="C25" s="35"/>
      <c r="D25" s="35"/>
      <c r="E25" s="35"/>
      <c r="F25" s="35">
        <v>409.6</v>
      </c>
      <c r="G25" s="35">
        <v>145.52000000000001</v>
      </c>
      <c r="H25" s="35">
        <v>465.13</v>
      </c>
      <c r="I25" s="200">
        <v>1073.92</v>
      </c>
      <c r="J25" s="200">
        <v>303.67</v>
      </c>
      <c r="K25" s="36">
        <v>400</v>
      </c>
      <c r="L25" s="200">
        <v>163.09</v>
      </c>
      <c r="M25" s="36">
        <v>400</v>
      </c>
      <c r="N25" s="200">
        <v>506.91</v>
      </c>
      <c r="O25" s="36">
        <v>400</v>
      </c>
      <c r="P25" s="35">
        <v>441.14</v>
      </c>
      <c r="Q25" s="36">
        <v>400</v>
      </c>
      <c r="R25" s="35">
        <v>98.26</v>
      </c>
      <c r="S25" s="36">
        <v>400</v>
      </c>
      <c r="T25" s="36"/>
      <c r="U25" s="36"/>
      <c r="Z25"/>
    </row>
    <row r="26" spans="1:26" ht="13.8" thickBot="1" x14ac:dyDescent="0.3">
      <c r="A26" s="708">
        <v>5730</v>
      </c>
      <c r="B26" s="12" t="s">
        <v>1172</v>
      </c>
      <c r="C26" s="15"/>
      <c r="D26" s="15"/>
      <c r="E26" s="15"/>
      <c r="F26" s="15">
        <v>515</v>
      </c>
      <c r="G26" s="15">
        <v>335</v>
      </c>
      <c r="H26" s="15">
        <v>415</v>
      </c>
      <c r="I26" s="252">
        <v>335</v>
      </c>
      <c r="J26" s="252">
        <v>300</v>
      </c>
      <c r="K26" s="16">
        <v>400</v>
      </c>
      <c r="L26" s="252">
        <v>310</v>
      </c>
      <c r="M26" s="16">
        <v>400</v>
      </c>
      <c r="N26" s="252">
        <v>375</v>
      </c>
      <c r="O26" s="16">
        <v>400</v>
      </c>
      <c r="P26" s="15">
        <v>340</v>
      </c>
      <c r="Q26" s="16">
        <v>400</v>
      </c>
      <c r="R26" s="15">
        <v>180</v>
      </c>
      <c r="S26" s="16">
        <v>400</v>
      </c>
      <c r="T26" s="16"/>
      <c r="U26" s="16"/>
      <c r="Z26"/>
    </row>
    <row r="27" spans="1:26" x14ac:dyDescent="0.25">
      <c r="A27" s="708"/>
      <c r="B27" s="17" t="s">
        <v>1274</v>
      </c>
      <c r="C27" s="18">
        <f t="shared" ref="C27:R27" si="2">SUM(C15:C26)</f>
        <v>3531.26</v>
      </c>
      <c r="D27" s="18">
        <f t="shared" si="2"/>
        <v>3631.42</v>
      </c>
      <c r="E27" s="18">
        <f t="shared" si="2"/>
        <v>3636.49</v>
      </c>
      <c r="F27" s="18">
        <f>SUM(F15:F26)</f>
        <v>11808.890000000001</v>
      </c>
      <c r="G27" s="18">
        <f>SUM(G15:G26)</f>
        <v>11308.91</v>
      </c>
      <c r="H27" s="18">
        <f>SUM(H15:H26)</f>
        <v>13270.05</v>
      </c>
      <c r="I27" s="18">
        <f t="shared" si="2"/>
        <v>12845.699999999999</v>
      </c>
      <c r="J27" s="18">
        <f t="shared" ref="J27" si="3">SUM(J15:J26)</f>
        <v>17565.539999999997</v>
      </c>
      <c r="K27" s="19">
        <f>SUM(K15:K26)</f>
        <v>16195</v>
      </c>
      <c r="L27" s="18">
        <f t="shared" ref="L27:O27" si="4">SUM(L15:L26)</f>
        <v>36336.25</v>
      </c>
      <c r="M27" s="19">
        <f t="shared" si="4"/>
        <v>16795</v>
      </c>
      <c r="N27" s="18">
        <f t="shared" ref="N27" si="5">SUM(N15:N26)</f>
        <v>21342.030000000002</v>
      </c>
      <c r="O27" s="19">
        <f t="shared" si="4"/>
        <v>19295</v>
      </c>
      <c r="P27" s="18">
        <f t="shared" ref="P27" si="6">SUM(P15:P26)</f>
        <v>19056.379999999997</v>
      </c>
      <c r="Q27" s="19">
        <f>SUM(Q15:Q26)</f>
        <v>19700</v>
      </c>
      <c r="R27" s="18">
        <f t="shared" si="2"/>
        <v>13849.490000000002</v>
      </c>
      <c r="S27" s="19">
        <f>SUM(S15:S26)</f>
        <v>19700</v>
      </c>
      <c r="T27" s="19"/>
      <c r="U27" s="19">
        <f>SUM(U15:U26)</f>
        <v>0</v>
      </c>
      <c r="Z27"/>
    </row>
    <row r="28" spans="1:26" x14ac:dyDescent="0.25">
      <c r="A28" s="708"/>
      <c r="B28" s="12"/>
      <c r="C28" s="13"/>
      <c r="D28" s="13"/>
      <c r="E28" s="13"/>
      <c r="F28" s="13"/>
      <c r="G28" s="13"/>
      <c r="H28" s="13"/>
      <c r="I28" s="13"/>
      <c r="J28" s="13"/>
      <c r="K28" s="14"/>
      <c r="L28" s="13"/>
      <c r="M28" s="14"/>
      <c r="N28" s="13"/>
      <c r="O28" s="14"/>
      <c r="P28" s="13"/>
      <c r="Q28" s="14"/>
      <c r="R28" s="13"/>
      <c r="S28" s="14"/>
      <c r="T28" s="14"/>
      <c r="U28" s="14"/>
      <c r="Z28"/>
    </row>
    <row r="29" spans="1:26" ht="13.8" thickBot="1" x14ac:dyDescent="0.3">
      <c r="A29" s="709"/>
      <c r="B29" s="20" t="s">
        <v>887</v>
      </c>
      <c r="C29" s="21">
        <f t="shared" ref="C29:S29" si="7">+C27+C13</f>
        <v>93539.86</v>
      </c>
      <c r="D29" s="21">
        <f t="shared" si="7"/>
        <v>101235.73999999999</v>
      </c>
      <c r="E29" s="21">
        <f>+E27+E13</f>
        <v>104042.40999999999</v>
      </c>
      <c r="F29" s="21">
        <f>+F27+F13</f>
        <v>116111.64</v>
      </c>
      <c r="G29" s="21">
        <f>+G27+G13</f>
        <v>120911.25</v>
      </c>
      <c r="H29" s="21">
        <f>+H27+H13</f>
        <v>128193.00000000001</v>
      </c>
      <c r="I29" s="21">
        <f t="shared" si="7"/>
        <v>130539.37</v>
      </c>
      <c r="J29" s="21">
        <f t="shared" ref="J29" si="8">+J27+J13</f>
        <v>141325.91</v>
      </c>
      <c r="K29" s="22">
        <f t="shared" ref="K29:O29" si="9">+K27+K13</f>
        <v>143539</v>
      </c>
      <c r="L29" s="21">
        <f t="shared" si="9"/>
        <v>143294.66999999998</v>
      </c>
      <c r="M29" s="22">
        <f t="shared" si="9"/>
        <v>147944</v>
      </c>
      <c r="N29" s="21">
        <f t="shared" ref="N29" si="10">+N27+N13</f>
        <v>150684.97</v>
      </c>
      <c r="O29" s="22">
        <f t="shared" si="9"/>
        <v>155657</v>
      </c>
      <c r="P29" s="21">
        <f t="shared" ref="P29" si="11">+P27+P13</f>
        <v>155502.64000000001</v>
      </c>
      <c r="Q29" s="22">
        <f t="shared" ref="Q29" si="12">+Q27+Q13</f>
        <v>160703</v>
      </c>
      <c r="R29" s="21">
        <f t="shared" si="7"/>
        <v>100408.23000000001</v>
      </c>
      <c r="S29" s="22">
        <f t="shared" si="7"/>
        <v>164826</v>
      </c>
      <c r="T29" s="22">
        <f>+S29</f>
        <v>164826</v>
      </c>
      <c r="U29" s="22">
        <f>+S29</f>
        <v>164826</v>
      </c>
      <c r="Z29"/>
    </row>
    <row r="30" spans="1:26" ht="16.2" thickTop="1" x14ac:dyDescent="0.3">
      <c r="A30" s="703"/>
      <c r="B30" s="4"/>
      <c r="C30" s="23"/>
      <c r="D30" s="23"/>
      <c r="E30" s="23"/>
      <c r="F30" s="23"/>
      <c r="G30" s="23"/>
      <c r="H30" s="23"/>
      <c r="I30" s="23"/>
      <c r="J30" s="23"/>
      <c r="K30" s="23"/>
      <c r="L30" s="23"/>
      <c r="M30" s="23"/>
      <c r="N30" s="23"/>
      <c r="O30" s="23"/>
      <c r="P30" s="23"/>
      <c r="Q30" s="23"/>
      <c r="R30" s="181" t="s">
        <v>732</v>
      </c>
      <c r="S30" s="1001">
        <f>+S29-Q29</f>
        <v>4123</v>
      </c>
      <c r="T30" s="1002">
        <f>ROUND((+S30/Q29),4)</f>
        <v>2.5700000000000001E-2</v>
      </c>
      <c r="U30" s="73"/>
      <c r="V30" s="23"/>
      <c r="W30" s="25"/>
      <c r="X30" s="183"/>
      <c r="Y30" s="25"/>
      <c r="Z30"/>
    </row>
    <row r="31" spans="1:26" ht="15.6" x14ac:dyDescent="0.3">
      <c r="A31" s="703"/>
      <c r="B31" s="4"/>
      <c r="C31" s="23"/>
      <c r="D31" s="23"/>
      <c r="E31" s="23"/>
      <c r="F31" s="23"/>
      <c r="G31" s="23"/>
      <c r="H31" s="23"/>
      <c r="I31" s="23"/>
      <c r="J31" s="23"/>
      <c r="K31" s="23"/>
      <c r="L31" s="23"/>
      <c r="M31" s="23"/>
      <c r="N31" s="23"/>
      <c r="O31" s="23"/>
      <c r="P31" s="23"/>
      <c r="Q31" s="23"/>
      <c r="R31" s="25"/>
      <c r="S31" s="23"/>
      <c r="T31" s="23"/>
      <c r="U31" s="73"/>
      <c r="V31" s="23"/>
      <c r="W31" s="25"/>
      <c r="X31" s="183"/>
      <c r="Y31" s="25"/>
      <c r="Z31"/>
    </row>
    <row r="32" spans="1:26" x14ac:dyDescent="0.25">
      <c r="A32" s="152"/>
      <c r="B32" s="63"/>
      <c r="C32" s="23"/>
      <c r="D32" s="23"/>
      <c r="E32" s="23"/>
      <c r="F32" s="23"/>
      <c r="G32" s="23"/>
      <c r="H32" s="23"/>
      <c r="I32" s="23"/>
      <c r="J32" s="23"/>
      <c r="K32" s="23"/>
      <c r="L32" s="23"/>
      <c r="M32" s="23"/>
      <c r="N32" s="23"/>
      <c r="O32" s="23"/>
      <c r="P32" s="23"/>
      <c r="Q32" s="23"/>
      <c r="R32" s="25"/>
      <c r="S32" s="23"/>
      <c r="T32" s="23"/>
      <c r="U32" s="73"/>
      <c r="V32" s="25"/>
      <c r="W32" s="25"/>
      <c r="X32" s="25"/>
      <c r="Y32" s="25"/>
      <c r="Z32"/>
    </row>
    <row r="33" spans="1:26" x14ac:dyDescent="0.25">
      <c r="A33" s="54"/>
      <c r="B33" s="4"/>
      <c r="C33" s="23"/>
      <c r="D33" s="23"/>
      <c r="E33" s="23"/>
      <c r="F33" s="23"/>
      <c r="G33" s="23"/>
      <c r="H33" s="23"/>
      <c r="I33" s="23"/>
      <c r="J33" s="23"/>
      <c r="K33" s="23"/>
      <c r="L33" s="23"/>
      <c r="M33" s="23"/>
      <c r="N33" s="23"/>
      <c r="O33" s="23"/>
      <c r="P33" s="23"/>
      <c r="Q33" s="23"/>
      <c r="R33" s="25"/>
      <c r="S33" s="23"/>
      <c r="T33" s="23"/>
      <c r="U33" s="23"/>
      <c r="V33" s="23"/>
      <c r="W33" s="25"/>
      <c r="X33" s="25"/>
      <c r="Y33" s="25"/>
      <c r="Z33"/>
    </row>
    <row r="34" spans="1:26" x14ac:dyDescent="0.25">
      <c r="A34" s="54" t="s">
        <v>793</v>
      </c>
      <c r="B34" s="4"/>
      <c r="D34" s="194"/>
      <c r="E34" s="194"/>
      <c r="F34" s="194"/>
      <c r="G34" s="194"/>
      <c r="H34" s="194"/>
      <c r="I34" s="194"/>
      <c r="J34" s="194"/>
      <c r="K34" s="194"/>
      <c r="L34" s="194"/>
      <c r="M34" s="194"/>
      <c r="N34" s="194"/>
      <c r="O34" s="194"/>
      <c r="P34" s="194"/>
      <c r="Q34" s="194"/>
      <c r="Z34"/>
    </row>
    <row r="35" spans="1:26" ht="13.8" thickBot="1" x14ac:dyDescent="0.3">
      <c r="A35" s="54"/>
      <c r="B35" s="4"/>
      <c r="D35" s="194"/>
      <c r="E35" s="194"/>
      <c r="F35" s="194"/>
      <c r="G35" s="194"/>
      <c r="H35" s="194"/>
      <c r="I35" s="194"/>
      <c r="J35" s="194"/>
      <c r="K35" s="194"/>
      <c r="L35" s="194"/>
      <c r="M35" s="194"/>
      <c r="N35" s="194"/>
      <c r="O35" s="194"/>
      <c r="P35" s="194"/>
      <c r="Q35" s="194"/>
      <c r="Z35"/>
    </row>
    <row r="36" spans="1:26" ht="13.8" thickTop="1" x14ac:dyDescent="0.25">
      <c r="A36" s="755" t="s">
        <v>760</v>
      </c>
      <c r="B36" s="98"/>
      <c r="D36" s="194"/>
      <c r="E36" s="194"/>
      <c r="F36" s="194"/>
      <c r="G36" s="194"/>
      <c r="H36" s="194"/>
      <c r="I36" s="194"/>
      <c r="J36" s="194"/>
      <c r="K36" s="194"/>
      <c r="L36" s="194"/>
      <c r="O36" s="251" t="s">
        <v>761</v>
      </c>
      <c r="P36" s="137" t="s">
        <v>1333</v>
      </c>
      <c r="Q36" s="149"/>
      <c r="R36" s="139" t="s">
        <v>763</v>
      </c>
      <c r="S36"/>
      <c r="T36"/>
      <c r="U36" s="187" t="s">
        <v>764</v>
      </c>
      <c r="V36"/>
      <c r="Z36"/>
    </row>
    <row r="37" spans="1:26" ht="13.8" thickBot="1" x14ac:dyDescent="0.3">
      <c r="A37" s="131" t="s">
        <v>765</v>
      </c>
      <c r="B37" s="100" t="s">
        <v>766</v>
      </c>
      <c r="D37" s="194"/>
      <c r="E37" s="194"/>
      <c r="F37" s="194"/>
      <c r="G37" s="194"/>
      <c r="H37" s="194"/>
      <c r="I37" s="194"/>
      <c r="J37" s="194"/>
      <c r="K37" s="194"/>
      <c r="L37" s="194"/>
      <c r="O37" s="269">
        <v>45474</v>
      </c>
      <c r="P37" s="140" t="s">
        <v>767</v>
      </c>
      <c r="Q37" s="141" t="s">
        <v>1044</v>
      </c>
      <c r="R37" s="141" t="s">
        <v>769</v>
      </c>
      <c r="S37" s="106" t="s">
        <v>770</v>
      </c>
      <c r="T37" s="106"/>
      <c r="U37" s="106" t="s">
        <v>1345</v>
      </c>
      <c r="V37" s="106" t="s">
        <v>771</v>
      </c>
      <c r="Z37"/>
    </row>
    <row r="38" spans="1:26" ht="13.8" thickTop="1" x14ac:dyDescent="0.25">
      <c r="A38" s="152">
        <v>37165</v>
      </c>
      <c r="B38" s="101" t="s">
        <v>1334</v>
      </c>
      <c r="D38" s="194"/>
      <c r="E38" s="194"/>
      <c r="F38" s="194"/>
      <c r="G38" s="194"/>
      <c r="H38" s="194"/>
      <c r="I38" s="194"/>
      <c r="J38" s="194"/>
      <c r="K38" s="194"/>
      <c r="L38" s="194"/>
      <c r="O38" s="18" t="s">
        <v>797</v>
      </c>
      <c r="P38" s="18"/>
      <c r="Q38" s="19"/>
      <c r="R38" s="136">
        <f>+'NAGE &amp; Non-Union Wages'!L10</f>
        <v>82394</v>
      </c>
      <c r="S38" s="152">
        <v>37165</v>
      </c>
      <c r="T38" s="152"/>
      <c r="U38" s="712">
        <v>23</v>
      </c>
      <c r="V38" s="2">
        <v>1000</v>
      </c>
      <c r="Z38"/>
    </row>
    <row r="39" spans="1:26" x14ac:dyDescent="0.25">
      <c r="A39" s="152">
        <v>41186</v>
      </c>
      <c r="B39" s="60" t="s">
        <v>1335</v>
      </c>
      <c r="D39" s="194"/>
      <c r="E39" s="194"/>
      <c r="F39" s="194"/>
      <c r="G39" s="194"/>
      <c r="H39" s="194"/>
      <c r="I39" s="194"/>
      <c r="J39" s="194"/>
      <c r="K39" s="194"/>
      <c r="L39" s="194"/>
      <c r="O39" s="13" t="s">
        <v>867</v>
      </c>
      <c r="P39" s="13">
        <f>+'NAGE &amp; Non-Union Wages'!L5</f>
        <v>24.31</v>
      </c>
      <c r="Q39" s="13">
        <v>1040</v>
      </c>
      <c r="R39" s="136">
        <f>ROUND((+Q39*P39),2)</f>
        <v>25282.400000000001</v>
      </c>
      <c r="S39" s="152">
        <v>41186</v>
      </c>
      <c r="T39" s="152"/>
      <c r="U39" s="712">
        <v>12</v>
      </c>
      <c r="V39" s="2">
        <v>500</v>
      </c>
      <c r="Z39"/>
    </row>
    <row r="40" spans="1:26" x14ac:dyDescent="0.25">
      <c r="A40" s="703"/>
      <c r="B40" s="4"/>
      <c r="C40" s="23"/>
      <c r="D40" s="23"/>
      <c r="E40" s="23"/>
      <c r="F40" s="23"/>
      <c r="G40" s="194"/>
      <c r="H40" s="194"/>
      <c r="I40" s="23"/>
      <c r="J40" s="23"/>
      <c r="K40" s="23"/>
      <c r="L40" s="23"/>
      <c r="O40" s="23"/>
      <c r="P40" s="23"/>
      <c r="Q40" s="23"/>
      <c r="R40" s="25"/>
      <c r="S40" s="23"/>
      <c r="T40" s="23"/>
      <c r="U40" s="23"/>
      <c r="V40" s="23"/>
      <c r="W40" s="25"/>
      <c r="X40" s="25"/>
      <c r="Y40" s="25"/>
      <c r="Z40"/>
    </row>
    <row r="41" spans="1:26" x14ac:dyDescent="0.25">
      <c r="A41" s="703"/>
      <c r="B41" s="4"/>
      <c r="C41" s="23"/>
      <c r="D41" s="23"/>
      <c r="E41" s="23"/>
      <c r="F41" s="23"/>
      <c r="G41" s="194"/>
      <c r="H41" s="194"/>
      <c r="I41" s="23"/>
      <c r="J41" s="23"/>
      <c r="K41" s="23"/>
      <c r="L41" s="23"/>
      <c r="O41" s="23"/>
      <c r="P41" s="23"/>
      <c r="Q41" s="23"/>
      <c r="R41" s="25"/>
      <c r="S41" s="23"/>
      <c r="T41" s="23"/>
      <c r="U41" s="23"/>
      <c r="V41" s="23"/>
      <c r="W41" s="25"/>
      <c r="X41" s="25"/>
      <c r="Y41" s="25"/>
      <c r="Z41"/>
    </row>
    <row r="42" spans="1:26" ht="13.8" thickBot="1" x14ac:dyDescent="0.3">
      <c r="A42" s="703"/>
      <c r="B42" s="4"/>
      <c r="C42" s="23"/>
      <c r="D42" s="23"/>
      <c r="E42" s="23"/>
      <c r="F42" s="23"/>
      <c r="G42" s="194"/>
      <c r="H42" s="194"/>
      <c r="I42" s="23"/>
      <c r="J42" s="23"/>
      <c r="K42" s="23"/>
      <c r="L42" s="23"/>
      <c r="O42" s="23"/>
      <c r="P42" s="23"/>
      <c r="Q42" s="23"/>
      <c r="R42" s="25"/>
      <c r="S42" s="23"/>
      <c r="T42" s="23"/>
      <c r="U42" s="23"/>
      <c r="V42" s="23"/>
      <c r="W42" s="25"/>
      <c r="X42" s="25"/>
      <c r="Y42" s="25"/>
      <c r="Z42"/>
    </row>
    <row r="43" spans="1:26" ht="13.8" thickTop="1" x14ac:dyDescent="0.25">
      <c r="A43" s="718"/>
      <c r="B43" s="349"/>
      <c r="C43" s="350" t="s">
        <v>256</v>
      </c>
      <c r="D43" s="351" t="s">
        <v>256</v>
      </c>
      <c r="E43" s="351" t="s">
        <v>256</v>
      </c>
      <c r="F43" s="194"/>
      <c r="G43" s="194"/>
      <c r="H43" s="194"/>
      <c r="I43" s="194"/>
      <c r="J43" s="194"/>
      <c r="K43" s="194"/>
      <c r="L43" s="194"/>
      <c r="O43" s="352" t="s">
        <v>255</v>
      </c>
      <c r="P43" s="353" t="s">
        <v>716</v>
      </c>
      <c r="Q43" s="354" t="s">
        <v>730</v>
      </c>
      <c r="R43" s="353" t="s">
        <v>731</v>
      </c>
      <c r="S43" s="355"/>
      <c r="T43" s="550"/>
      <c r="U43" s="354"/>
      <c r="V43" s="23"/>
      <c r="W43" s="25"/>
      <c r="X43" s="25"/>
      <c r="Y43" s="25"/>
      <c r="Z43"/>
    </row>
    <row r="44" spans="1:26" ht="13.8" thickBot="1" x14ac:dyDescent="0.3">
      <c r="A44" s="719" t="s">
        <v>715</v>
      </c>
      <c r="B44" s="356"/>
      <c r="C44" s="357" t="s">
        <v>243</v>
      </c>
      <c r="D44" s="357" t="s">
        <v>244</v>
      </c>
      <c r="E44" s="358" t="s">
        <v>245</v>
      </c>
      <c r="F44" s="194"/>
      <c r="G44" s="194"/>
      <c r="H44" s="194"/>
      <c r="I44" s="194"/>
      <c r="J44" s="194"/>
      <c r="K44" s="194"/>
      <c r="L44" s="194"/>
      <c r="O44" s="359" t="s">
        <v>469</v>
      </c>
      <c r="P44" s="359" t="s">
        <v>1345</v>
      </c>
      <c r="Q44" s="358" t="s">
        <v>732</v>
      </c>
      <c r="R44" s="360" t="s">
        <v>732</v>
      </c>
      <c r="S44" s="361" t="s">
        <v>733</v>
      </c>
      <c r="T44" s="551"/>
      <c r="U44" s="359"/>
      <c r="V44" s="23"/>
      <c r="W44" s="25"/>
      <c r="X44" s="25"/>
      <c r="Y44" s="25"/>
      <c r="Z44"/>
    </row>
    <row r="45" spans="1:26" ht="13.8" thickTop="1" x14ac:dyDescent="0.25">
      <c r="A45" s="726"/>
      <c r="B45" s="376"/>
      <c r="C45" s="365"/>
      <c r="D45" s="365"/>
      <c r="E45" s="365"/>
      <c r="F45" s="194"/>
      <c r="G45" s="194"/>
      <c r="H45" s="194"/>
      <c r="I45" s="194"/>
      <c r="J45" s="194"/>
      <c r="K45" s="194"/>
      <c r="L45" s="194"/>
      <c r="O45" s="366"/>
      <c r="P45" s="365"/>
      <c r="Q45" s="396">
        <f t="shared" ref="Q45:Q57" si="13">+P45-O45</f>
        <v>0</v>
      </c>
      <c r="R45" s="374"/>
      <c r="S45" s="367"/>
      <c r="T45" s="553"/>
      <c r="U45" s="368"/>
      <c r="V45" s="23"/>
      <c r="W45" s="25"/>
      <c r="X45" s="25"/>
      <c r="Y45" s="25"/>
      <c r="Z45"/>
    </row>
    <row r="46" spans="1:26" x14ac:dyDescent="0.25">
      <c r="A46" s="724">
        <v>5111</v>
      </c>
      <c r="B46" s="400" t="s">
        <v>1326</v>
      </c>
      <c r="C46" s="373">
        <v>56733.95</v>
      </c>
      <c r="D46" s="373">
        <v>61829</v>
      </c>
      <c r="E46" s="373">
        <v>63697</v>
      </c>
      <c r="F46" s="194"/>
      <c r="G46" s="194"/>
      <c r="H46" s="194"/>
      <c r="I46" s="194"/>
      <c r="J46" s="194"/>
      <c r="K46" s="194"/>
      <c r="L46" s="194"/>
      <c r="O46" s="372">
        <f>+Q9</f>
        <v>80384</v>
      </c>
      <c r="P46" s="393">
        <f>+S9</f>
        <v>82394</v>
      </c>
      <c r="Q46" s="396">
        <f t="shared" si="13"/>
        <v>2010</v>
      </c>
      <c r="R46" s="374">
        <f t="shared" ref="R46:R57" si="14">IF(O46+P46&lt;&gt;0,IF(O46&lt;&gt;0,IF(Q46&lt;&gt;0,ROUND((+Q46/O46),4),""),1),"")</f>
        <v>2.5000000000000001E-2</v>
      </c>
      <c r="S46" s="367" t="s">
        <v>2399</v>
      </c>
      <c r="T46" s="553"/>
      <c r="U46" s="368"/>
      <c r="V46" s="23"/>
      <c r="W46" s="25"/>
      <c r="X46" s="25"/>
      <c r="Y46" s="25"/>
      <c r="Z46"/>
    </row>
    <row r="47" spans="1:26" x14ac:dyDescent="0.25">
      <c r="A47" s="724">
        <v>5113</v>
      </c>
      <c r="B47" s="397" t="s">
        <v>1335</v>
      </c>
      <c r="C47" s="373">
        <v>14204.61</v>
      </c>
      <c r="D47" s="373">
        <v>16756.2</v>
      </c>
      <c r="E47" s="373">
        <v>17207.96</v>
      </c>
      <c r="F47" s="194"/>
      <c r="G47" s="194"/>
      <c r="H47" s="194"/>
      <c r="I47" s="194"/>
      <c r="J47" s="194"/>
      <c r="K47" s="194"/>
      <c r="L47" s="194"/>
      <c r="O47" s="372">
        <f>+Q10</f>
        <v>24669</v>
      </c>
      <c r="P47" s="393">
        <f>+S10</f>
        <v>25282</v>
      </c>
      <c r="Q47" s="396">
        <f t="shared" si="13"/>
        <v>613</v>
      </c>
      <c r="R47" s="374">
        <f t="shared" si="14"/>
        <v>2.4799999999999999E-2</v>
      </c>
      <c r="S47" s="367" t="s">
        <v>2399</v>
      </c>
      <c r="T47" s="553"/>
      <c r="U47" s="368"/>
      <c r="V47" s="23"/>
      <c r="W47" s="25"/>
      <c r="X47" s="25"/>
      <c r="Y47" s="25"/>
      <c r="Z47"/>
    </row>
    <row r="48" spans="1:26" x14ac:dyDescent="0.25">
      <c r="A48" s="724">
        <v>5124</v>
      </c>
      <c r="B48" s="369" t="s">
        <v>1092</v>
      </c>
      <c r="C48" s="373">
        <v>18920.04</v>
      </c>
      <c r="D48" s="373">
        <v>18869.12</v>
      </c>
      <c r="E48" s="373">
        <v>19350.96</v>
      </c>
      <c r="F48" s="194"/>
      <c r="G48" s="194"/>
      <c r="H48" s="194"/>
      <c r="I48" s="194"/>
      <c r="J48" s="194"/>
      <c r="K48" s="194"/>
      <c r="L48" s="194"/>
      <c r="O48" s="372">
        <f>+Q11</f>
        <v>34450</v>
      </c>
      <c r="P48" s="393">
        <f>+S11</f>
        <v>35950</v>
      </c>
      <c r="Q48" s="396">
        <f t="shared" si="13"/>
        <v>1500</v>
      </c>
      <c r="R48" s="374">
        <f t="shared" si="14"/>
        <v>4.3499999999999997E-2</v>
      </c>
      <c r="S48" s="367" t="s">
        <v>2400</v>
      </c>
      <c r="T48" s="553"/>
      <c r="U48" s="368"/>
      <c r="V48" s="23"/>
      <c r="W48" s="25"/>
      <c r="X48" s="25"/>
      <c r="Y48" s="25"/>
      <c r="Z48"/>
    </row>
    <row r="49" spans="1:26" ht="13.8" thickBot="1" x14ac:dyDescent="0.3">
      <c r="A49" s="724">
        <v>5144</v>
      </c>
      <c r="B49" s="369" t="s">
        <v>27</v>
      </c>
      <c r="C49" s="371">
        <v>150</v>
      </c>
      <c r="D49" s="371">
        <v>150</v>
      </c>
      <c r="E49" s="371">
        <v>150</v>
      </c>
      <c r="F49" s="194"/>
      <c r="G49" s="194"/>
      <c r="H49" s="194"/>
      <c r="I49" s="194"/>
      <c r="J49" s="194"/>
      <c r="K49" s="194"/>
      <c r="L49" s="194"/>
      <c r="O49" s="372">
        <f>+Q12</f>
        <v>1500</v>
      </c>
      <c r="P49" s="393">
        <f>+S12</f>
        <v>1500</v>
      </c>
      <c r="Q49" s="368">
        <f t="shared" si="13"/>
        <v>0</v>
      </c>
      <c r="R49" s="374" t="str">
        <f t="shared" si="14"/>
        <v/>
      </c>
      <c r="S49" s="367"/>
      <c r="T49" s="553"/>
      <c r="U49" s="368"/>
      <c r="V49" s="23"/>
      <c r="W49" s="25"/>
      <c r="X49" s="25"/>
      <c r="Y49" s="25"/>
      <c r="Z49"/>
    </row>
    <row r="50" spans="1:26" x14ac:dyDescent="0.25">
      <c r="A50" s="724">
        <v>5242</v>
      </c>
      <c r="B50" s="369" t="s">
        <v>1327</v>
      </c>
      <c r="C50" s="373"/>
      <c r="D50" s="373"/>
      <c r="E50" s="373"/>
      <c r="F50" s="194"/>
      <c r="G50" s="194"/>
      <c r="H50" s="194"/>
      <c r="I50" s="194"/>
      <c r="J50" s="194"/>
      <c r="K50" s="194"/>
      <c r="L50" s="194"/>
      <c r="O50" s="366">
        <f>+Q15</f>
        <v>15000</v>
      </c>
      <c r="P50" s="392">
        <f>+S15</f>
        <v>15000</v>
      </c>
      <c r="Q50" s="396">
        <f t="shared" si="13"/>
        <v>0</v>
      </c>
      <c r="R50" s="374" t="str">
        <f t="shared" si="14"/>
        <v/>
      </c>
      <c r="S50" s="379"/>
      <c r="T50" s="920"/>
      <c r="U50" s="396"/>
      <c r="V50" s="23"/>
      <c r="W50" s="25"/>
      <c r="X50" s="25"/>
      <c r="Y50" s="25"/>
      <c r="Z50"/>
    </row>
    <row r="51" spans="1:26" x14ac:dyDescent="0.25">
      <c r="A51" s="724">
        <v>5248</v>
      </c>
      <c r="B51" s="369" t="s">
        <v>1330</v>
      </c>
      <c r="C51" s="375"/>
      <c r="D51" s="375"/>
      <c r="E51" s="375"/>
      <c r="F51" s="194"/>
      <c r="G51" s="194"/>
      <c r="H51" s="194"/>
      <c r="I51" s="194"/>
      <c r="J51" s="194"/>
      <c r="K51" s="194"/>
      <c r="L51" s="194"/>
      <c r="O51" s="366">
        <f>+Q18</f>
        <v>1400</v>
      </c>
      <c r="P51" s="392">
        <f>+S18</f>
        <v>1400</v>
      </c>
      <c r="Q51" s="396">
        <f t="shared" si="13"/>
        <v>0</v>
      </c>
      <c r="R51" s="374" t="str">
        <f t="shared" si="14"/>
        <v/>
      </c>
      <c r="S51" s="367"/>
      <c r="T51" s="553"/>
      <c r="U51" s="368"/>
      <c r="V51" s="23"/>
      <c r="W51" s="25"/>
      <c r="X51" s="25"/>
      <c r="Y51" s="25"/>
      <c r="Z51"/>
    </row>
    <row r="52" spans="1:26" x14ac:dyDescent="0.25">
      <c r="A52" s="724">
        <v>5314</v>
      </c>
      <c r="B52" s="369" t="s">
        <v>749</v>
      </c>
      <c r="C52" s="375"/>
      <c r="D52" s="375"/>
      <c r="E52" s="375"/>
      <c r="F52" s="194"/>
      <c r="G52" s="194"/>
      <c r="H52" s="194"/>
      <c r="I52" s="194"/>
      <c r="J52" s="194"/>
      <c r="K52" s="194"/>
      <c r="L52" s="194"/>
      <c r="O52" s="366">
        <f>+Q19</f>
        <v>700</v>
      </c>
      <c r="P52" s="392">
        <f>+S19</f>
        <v>700</v>
      </c>
      <c r="Q52" s="396">
        <f t="shared" si="13"/>
        <v>0</v>
      </c>
      <c r="R52" s="374" t="str">
        <f t="shared" si="14"/>
        <v/>
      </c>
      <c r="S52" s="367"/>
      <c r="T52" s="553"/>
      <c r="U52" s="368"/>
      <c r="V52" s="23"/>
      <c r="W52" s="25"/>
      <c r="X52" s="25"/>
      <c r="Y52" s="25"/>
      <c r="Z52"/>
    </row>
    <row r="53" spans="1:26" x14ac:dyDescent="0.25">
      <c r="A53" s="724">
        <v>5341</v>
      </c>
      <c r="B53" s="369" t="s">
        <v>751</v>
      </c>
      <c r="C53" s="373">
        <v>414.26</v>
      </c>
      <c r="D53" s="373">
        <v>403.42</v>
      </c>
      <c r="E53" s="373">
        <v>408.49</v>
      </c>
      <c r="F53" s="194"/>
      <c r="G53" s="194"/>
      <c r="H53" s="194"/>
      <c r="I53" s="194"/>
      <c r="J53" s="194"/>
      <c r="K53" s="194"/>
      <c r="L53" s="194"/>
      <c r="O53" s="366">
        <f>+Q20</f>
        <v>0</v>
      </c>
      <c r="P53" s="392">
        <f>+S20</f>
        <v>0</v>
      </c>
      <c r="Q53" s="396">
        <f t="shared" si="13"/>
        <v>0</v>
      </c>
      <c r="R53" s="374" t="str">
        <f t="shared" si="14"/>
        <v/>
      </c>
      <c r="S53" s="367"/>
      <c r="T53" s="553"/>
      <c r="U53" s="368"/>
      <c r="V53" s="23"/>
      <c r="W53" s="25"/>
      <c r="X53" s="25"/>
      <c r="Y53" s="25"/>
      <c r="Z53"/>
    </row>
    <row r="54" spans="1:26" x14ac:dyDescent="0.25">
      <c r="A54" s="724">
        <v>5342</v>
      </c>
      <c r="B54" s="369" t="s">
        <v>1322</v>
      </c>
      <c r="C54" s="373"/>
      <c r="D54" s="373"/>
      <c r="E54" s="373"/>
      <c r="F54" s="194"/>
      <c r="G54" s="194"/>
      <c r="H54" s="194"/>
      <c r="I54" s="194"/>
      <c r="J54" s="194"/>
      <c r="K54" s="194"/>
      <c r="L54" s="194"/>
      <c r="O54" s="366">
        <f>+Q21</f>
        <v>1800</v>
      </c>
      <c r="P54" s="392">
        <f>+S21</f>
        <v>1800</v>
      </c>
      <c r="Q54" s="396">
        <f t="shared" si="13"/>
        <v>0</v>
      </c>
      <c r="R54" s="374" t="str">
        <f t="shared" si="14"/>
        <v/>
      </c>
      <c r="S54" s="367"/>
      <c r="T54" s="553"/>
      <c r="U54" s="368"/>
      <c r="V54" s="23"/>
      <c r="W54" s="25"/>
      <c r="X54" s="25"/>
      <c r="Y54" s="25"/>
      <c r="Z54"/>
    </row>
    <row r="55" spans="1:26" x14ac:dyDescent="0.25">
      <c r="A55" s="724">
        <v>5500</v>
      </c>
      <c r="B55" s="369" t="s">
        <v>1331</v>
      </c>
      <c r="C55" s="375"/>
      <c r="D55" s="375"/>
      <c r="E55" s="375"/>
      <c r="F55" s="194"/>
      <c r="G55" s="194"/>
      <c r="H55" s="194"/>
      <c r="I55" s="194"/>
      <c r="J55" s="194"/>
      <c r="K55" s="194"/>
      <c r="L55" s="194"/>
      <c r="O55" s="366">
        <f>+Q22</f>
        <v>0</v>
      </c>
      <c r="P55" s="392">
        <f>+S22</f>
        <v>0</v>
      </c>
      <c r="Q55" s="396">
        <f t="shared" si="13"/>
        <v>0</v>
      </c>
      <c r="R55" s="374" t="str">
        <f t="shared" si="14"/>
        <v/>
      </c>
      <c r="S55" s="367"/>
      <c r="T55" s="553"/>
      <c r="U55" s="368"/>
      <c r="V55" s="23"/>
      <c r="W55" s="25"/>
      <c r="X55" s="25"/>
      <c r="Y55" s="25"/>
      <c r="Z55"/>
    </row>
    <row r="56" spans="1:26" x14ac:dyDescent="0.25">
      <c r="A56" s="724">
        <v>5710</v>
      </c>
      <c r="B56" s="369" t="s">
        <v>758</v>
      </c>
      <c r="C56" s="375"/>
      <c r="D56" s="375"/>
      <c r="E56" s="375"/>
      <c r="F56" s="194"/>
      <c r="G56" s="194"/>
      <c r="H56" s="194"/>
      <c r="I56" s="194"/>
      <c r="J56" s="194"/>
      <c r="K56" s="194"/>
      <c r="L56" s="194"/>
      <c r="O56" s="366">
        <f>+Q25</f>
        <v>400</v>
      </c>
      <c r="P56" s="392">
        <f>+S25</f>
        <v>400</v>
      </c>
      <c r="Q56" s="396">
        <f t="shared" si="13"/>
        <v>0</v>
      </c>
      <c r="R56" s="374" t="str">
        <f t="shared" si="14"/>
        <v/>
      </c>
      <c r="S56" s="367"/>
      <c r="T56" s="553"/>
      <c r="U56" s="368"/>
      <c r="V56" s="23"/>
      <c r="W56" s="25"/>
      <c r="X56" s="25"/>
      <c r="Y56" s="25"/>
      <c r="Z56"/>
    </row>
    <row r="57" spans="1:26" ht="13.8" thickBot="1" x14ac:dyDescent="0.3">
      <c r="A57" s="724">
        <v>5730</v>
      </c>
      <c r="B57" s="369" t="s">
        <v>1172</v>
      </c>
      <c r="C57" s="371"/>
      <c r="D57" s="371"/>
      <c r="E57" s="371"/>
      <c r="F57" s="194"/>
      <c r="G57" s="194"/>
      <c r="H57" s="194"/>
      <c r="I57" s="194"/>
      <c r="J57" s="194"/>
      <c r="K57" s="194"/>
      <c r="L57" s="194"/>
      <c r="O57" s="366">
        <f>+Q26</f>
        <v>400</v>
      </c>
      <c r="P57" s="392">
        <f>+S26</f>
        <v>400</v>
      </c>
      <c r="Q57" s="401">
        <f t="shared" si="13"/>
        <v>0</v>
      </c>
      <c r="R57" s="374" t="str">
        <f t="shared" si="14"/>
        <v/>
      </c>
      <c r="S57" s="402"/>
      <c r="T57" s="931"/>
      <c r="U57" s="401"/>
      <c r="V57" s="23"/>
      <c r="W57" s="25"/>
      <c r="X57" s="25"/>
      <c r="Y57" s="25"/>
      <c r="Z57"/>
    </row>
    <row r="58" spans="1:26" x14ac:dyDescent="0.25">
      <c r="A58" s="703"/>
      <c r="B58" s="4"/>
      <c r="C58" s="23"/>
      <c r="D58" s="23"/>
      <c r="E58" s="23"/>
      <c r="F58" s="23"/>
      <c r="G58" s="23"/>
      <c r="H58" s="194"/>
      <c r="I58" s="194"/>
      <c r="J58" s="194"/>
      <c r="K58" s="194"/>
      <c r="L58" s="194"/>
      <c r="O58" s="23"/>
      <c r="P58" s="23"/>
      <c r="Q58" s="23"/>
      <c r="R58" s="4"/>
      <c r="S58" s="23"/>
      <c r="T58" s="23"/>
      <c r="U58" s="23"/>
      <c r="V58" s="23"/>
      <c r="W58" s="4"/>
      <c r="X58" s="4"/>
      <c r="Y58" s="4"/>
      <c r="Z58"/>
    </row>
    <row r="59" spans="1:26" x14ac:dyDescent="0.25">
      <c r="A59" s="703"/>
      <c r="B59" s="4" t="s">
        <v>735</v>
      </c>
      <c r="C59" s="23"/>
      <c r="D59" s="23"/>
      <c r="E59" s="23"/>
      <c r="F59" s="23"/>
      <c r="G59" s="23"/>
      <c r="H59" s="194"/>
      <c r="I59" s="194"/>
      <c r="J59" s="194"/>
      <c r="K59" s="194"/>
      <c r="L59" s="194"/>
      <c r="O59" s="597">
        <f>SUM(O46:O58)</f>
        <v>160703</v>
      </c>
      <c r="P59" s="597">
        <f>SUM(P46:P58)</f>
        <v>164826</v>
      </c>
      <c r="Q59" s="25">
        <f>+P59-O59</f>
        <v>4123</v>
      </c>
      <c r="R59" s="598">
        <f>IF(O59+P59&lt;&gt;0,IF(O59&lt;&gt;0,IF(Q59&lt;&gt;0,ROUND((+Q59/O59),4),""),1),"")</f>
        <v>2.5700000000000001E-2</v>
      </c>
      <c r="S59" s="23"/>
      <c r="T59" s="23"/>
      <c r="U59" s="23"/>
      <c r="V59" s="23"/>
      <c r="W59" s="4"/>
      <c r="X59" s="4"/>
      <c r="Y59" s="4"/>
      <c r="Z59"/>
    </row>
    <row r="60" spans="1:26" x14ac:dyDescent="0.25">
      <c r="A60" s="703"/>
      <c r="B60" s="4"/>
      <c r="C60" s="23"/>
      <c r="D60" s="23"/>
      <c r="E60" s="23"/>
      <c r="F60" s="23"/>
      <c r="G60" s="23"/>
      <c r="H60" s="194"/>
      <c r="I60" s="23"/>
      <c r="J60" s="23"/>
      <c r="K60" s="23"/>
      <c r="L60" s="23"/>
      <c r="M60" s="23"/>
      <c r="N60" s="23"/>
      <c r="O60" s="23"/>
      <c r="P60" s="23"/>
      <c r="Q60" s="23"/>
      <c r="R60" s="4"/>
      <c r="S60" s="23"/>
      <c r="T60" s="23"/>
      <c r="U60" s="23"/>
      <c r="V60" s="23"/>
      <c r="W60" s="4"/>
      <c r="X60" s="4"/>
      <c r="Y60" s="4"/>
      <c r="Z60"/>
    </row>
    <row r="61" spans="1:26" x14ac:dyDescent="0.25">
      <c r="A61" s="703"/>
      <c r="B61" s="4"/>
      <c r="C61" s="23"/>
      <c r="D61" s="23"/>
      <c r="E61" s="23"/>
      <c r="F61" s="23"/>
      <c r="G61" s="23"/>
      <c r="H61" s="23"/>
      <c r="I61" s="23"/>
      <c r="J61" s="23"/>
      <c r="K61" s="23"/>
      <c r="L61" s="23"/>
      <c r="M61" s="23"/>
      <c r="N61" s="23"/>
      <c r="O61" s="23"/>
      <c r="P61" s="23"/>
      <c r="Q61" s="23"/>
      <c r="R61" s="4"/>
      <c r="S61" s="23"/>
      <c r="T61" s="23"/>
      <c r="U61" s="23"/>
      <c r="V61" s="23"/>
      <c r="W61" s="4"/>
      <c r="X61" s="4"/>
      <c r="Y61" s="4"/>
      <c r="Z61"/>
    </row>
    <row r="62" spans="1:26" x14ac:dyDescent="0.25">
      <c r="A62" s="703"/>
      <c r="B62" s="4"/>
      <c r="C62" s="23"/>
      <c r="D62" s="23"/>
      <c r="E62" s="23"/>
      <c r="F62" s="23"/>
      <c r="G62" s="23"/>
      <c r="H62" s="23"/>
      <c r="I62" s="23"/>
      <c r="J62" s="23"/>
      <c r="K62" s="23"/>
      <c r="L62" s="23"/>
      <c r="M62" s="23"/>
      <c r="N62" s="23"/>
      <c r="O62" s="23"/>
      <c r="P62" s="23"/>
      <c r="Q62" s="23"/>
      <c r="R62" s="4"/>
      <c r="S62" s="23"/>
      <c r="T62" s="23"/>
      <c r="U62" s="23"/>
      <c r="V62" s="23"/>
      <c r="W62" s="4"/>
      <c r="X62" s="4"/>
      <c r="Y62" s="4"/>
      <c r="Z62"/>
    </row>
    <row r="63" spans="1:26" x14ac:dyDescent="0.25">
      <c r="A63" s="703"/>
      <c r="B63" s="4"/>
      <c r="C63" s="23"/>
      <c r="D63" s="23"/>
      <c r="E63" s="23"/>
      <c r="F63" s="23"/>
      <c r="G63" s="23"/>
      <c r="H63" s="23"/>
      <c r="I63" s="23"/>
      <c r="J63" s="23"/>
      <c r="K63" s="23"/>
      <c r="L63" s="23"/>
      <c r="M63" s="23"/>
      <c r="N63" s="23"/>
      <c r="O63" s="23"/>
      <c r="P63" s="23"/>
      <c r="Q63" s="23"/>
      <c r="R63" s="4"/>
      <c r="S63" s="23"/>
      <c r="T63" s="23"/>
      <c r="U63" s="23"/>
      <c r="V63" s="23"/>
      <c r="W63" s="4"/>
      <c r="X63" s="4"/>
      <c r="Y63" s="4"/>
      <c r="Z63"/>
    </row>
    <row r="64" spans="1:26" x14ac:dyDescent="0.25">
      <c r="A64" s="703"/>
      <c r="B64" s="4"/>
      <c r="C64" s="23"/>
      <c r="D64" s="23"/>
      <c r="E64" s="23"/>
      <c r="F64" s="23"/>
      <c r="G64" s="23"/>
      <c r="H64" s="23"/>
      <c r="I64" s="23"/>
      <c r="J64" s="23"/>
      <c r="K64" s="23"/>
      <c r="L64" s="23"/>
      <c r="M64" s="23"/>
      <c r="N64" s="23"/>
      <c r="O64" s="23"/>
      <c r="P64" s="23"/>
      <c r="Q64" s="23"/>
      <c r="R64" s="4"/>
      <c r="S64" s="23"/>
      <c r="T64" s="23"/>
      <c r="U64" s="23"/>
      <c r="V64" s="23"/>
      <c r="W64" s="4"/>
      <c r="X64" s="4"/>
      <c r="Y64" s="4"/>
      <c r="Z64"/>
    </row>
    <row r="65" spans="1:26" x14ac:dyDescent="0.25">
      <c r="A65" s="703"/>
      <c r="B65" s="4"/>
      <c r="C65" s="23"/>
      <c r="D65" s="23"/>
      <c r="E65" s="23"/>
      <c r="F65" s="23"/>
      <c r="G65" s="23"/>
      <c r="H65" s="23"/>
      <c r="I65" s="23"/>
      <c r="J65" s="23"/>
      <c r="K65" s="23"/>
      <c r="L65" s="23"/>
      <c r="M65" s="23"/>
      <c r="N65" s="23"/>
      <c r="O65" s="23"/>
      <c r="P65" s="23"/>
      <c r="Q65" s="23"/>
      <c r="R65" s="4"/>
      <c r="S65" s="23"/>
      <c r="T65" s="23"/>
      <c r="U65" s="23"/>
      <c r="V65" s="23"/>
      <c r="W65" s="4"/>
      <c r="X65" s="4"/>
      <c r="Y65" s="4"/>
      <c r="Z65"/>
    </row>
    <row r="66" spans="1:26" x14ac:dyDescent="0.25">
      <c r="A66" s="703"/>
      <c r="B66" s="4"/>
      <c r="C66" s="23"/>
      <c r="D66" s="23"/>
      <c r="E66" s="23"/>
      <c r="F66" s="23"/>
      <c r="G66" s="23"/>
      <c r="H66" s="23"/>
      <c r="I66" s="23"/>
      <c r="J66" s="23"/>
      <c r="K66" s="23"/>
      <c r="L66" s="23"/>
      <c r="M66" s="23"/>
      <c r="N66" s="23"/>
      <c r="O66" s="23"/>
      <c r="P66" s="23"/>
      <c r="Q66" s="23"/>
      <c r="R66" s="4"/>
      <c r="S66" s="23"/>
      <c r="T66" s="23"/>
      <c r="U66" s="23"/>
      <c r="V66" s="23"/>
      <c r="W66" s="4"/>
      <c r="X66" s="4"/>
      <c r="Y66" s="4"/>
      <c r="Z66"/>
    </row>
    <row r="67" spans="1:26" x14ac:dyDescent="0.25">
      <c r="A67" s="703"/>
      <c r="B67" s="4"/>
      <c r="C67" s="23"/>
      <c r="D67" s="23"/>
      <c r="E67" s="23"/>
      <c r="F67" s="23"/>
      <c r="G67" s="23"/>
      <c r="H67" s="23"/>
      <c r="I67" s="23"/>
      <c r="J67" s="23"/>
      <c r="K67" s="23"/>
      <c r="L67" s="23"/>
      <c r="M67" s="23"/>
      <c r="N67" s="23"/>
      <c r="O67" s="23"/>
      <c r="P67" s="23"/>
      <c r="Q67" s="23"/>
      <c r="R67" s="4"/>
      <c r="S67" s="23"/>
      <c r="T67" s="23"/>
      <c r="U67" s="23"/>
      <c r="V67" s="23"/>
      <c r="W67" s="4"/>
      <c r="X67" s="4"/>
      <c r="Y67" s="4"/>
      <c r="Z67"/>
    </row>
    <row r="68" spans="1:26" x14ac:dyDescent="0.25">
      <c r="A68" s="703"/>
      <c r="B68" s="4"/>
      <c r="C68" s="23"/>
      <c r="D68" s="23"/>
      <c r="E68" s="23"/>
      <c r="F68" s="23"/>
      <c r="G68" s="23"/>
      <c r="H68" s="23"/>
      <c r="I68" s="23"/>
      <c r="J68" s="23"/>
      <c r="K68" s="23"/>
      <c r="L68" s="23"/>
      <c r="M68" s="23"/>
      <c r="N68" s="23"/>
      <c r="O68" s="23"/>
      <c r="P68" s="23"/>
      <c r="Q68" s="23"/>
      <c r="R68" s="4"/>
      <c r="S68" s="23"/>
      <c r="T68" s="23"/>
      <c r="U68" s="23"/>
      <c r="V68" s="23"/>
      <c r="W68" s="4"/>
      <c r="X68" s="4"/>
      <c r="Y68" s="4"/>
      <c r="Z68"/>
    </row>
    <row r="69" spans="1:26" x14ac:dyDescent="0.25">
      <c r="A69" s="703"/>
      <c r="B69" s="4"/>
      <c r="C69" s="23"/>
      <c r="D69" s="23"/>
      <c r="E69" s="23"/>
      <c r="F69" s="23"/>
      <c r="G69" s="23"/>
      <c r="H69" s="23"/>
      <c r="I69" s="23"/>
      <c r="J69" s="23"/>
      <c r="K69" s="23"/>
      <c r="L69" s="23"/>
      <c r="M69" s="23"/>
      <c r="N69" s="23"/>
      <c r="O69" s="23"/>
      <c r="P69" s="23"/>
      <c r="Q69" s="23"/>
      <c r="R69" s="4"/>
      <c r="S69" s="23"/>
      <c r="T69" s="23"/>
      <c r="U69" s="23"/>
      <c r="V69" s="23"/>
      <c r="W69" s="4"/>
      <c r="X69" s="4"/>
      <c r="Y69" s="4"/>
      <c r="Z69"/>
    </row>
    <row r="70" spans="1:26" x14ac:dyDescent="0.25">
      <c r="A70" s="703"/>
      <c r="B70" s="4"/>
      <c r="C70" s="23"/>
      <c r="D70" s="23"/>
      <c r="E70" s="23"/>
      <c r="F70" s="23"/>
      <c r="G70" s="23"/>
      <c r="H70" s="23"/>
      <c r="I70" s="23"/>
      <c r="J70" s="23"/>
      <c r="K70" s="23"/>
      <c r="L70" s="23"/>
      <c r="M70" s="23"/>
      <c r="N70" s="23"/>
      <c r="O70" s="23"/>
      <c r="P70" s="23"/>
      <c r="Q70" s="23"/>
      <c r="R70" s="4"/>
      <c r="S70" s="23"/>
      <c r="T70" s="23"/>
      <c r="U70" s="23"/>
      <c r="V70" s="23"/>
      <c r="W70" s="4"/>
      <c r="X70" s="4"/>
      <c r="Y70" s="4"/>
      <c r="Z70"/>
    </row>
    <row r="71" spans="1:26" x14ac:dyDescent="0.25">
      <c r="A71" s="703"/>
      <c r="B71" s="4"/>
      <c r="C71" s="23"/>
      <c r="D71" s="23"/>
      <c r="E71" s="23"/>
      <c r="F71" s="23"/>
      <c r="G71" s="23"/>
      <c r="H71" s="23"/>
      <c r="I71" s="23"/>
      <c r="J71" s="23"/>
      <c r="K71" s="23"/>
      <c r="L71" s="23"/>
      <c r="M71" s="23"/>
      <c r="N71" s="23"/>
      <c r="O71" s="23"/>
      <c r="P71" s="23"/>
      <c r="Q71" s="23"/>
      <c r="R71" s="4"/>
      <c r="S71" s="23"/>
      <c r="T71" s="23"/>
      <c r="U71" s="23"/>
      <c r="V71" s="23"/>
      <c r="W71" s="4"/>
      <c r="X71" s="4"/>
      <c r="Y71" s="4"/>
      <c r="Z71"/>
    </row>
    <row r="72" spans="1:26" x14ac:dyDescent="0.25">
      <c r="A72" s="703"/>
      <c r="B72" s="4"/>
      <c r="C72" s="23"/>
      <c r="D72" s="23"/>
      <c r="E72" s="23"/>
      <c r="F72" s="23"/>
      <c r="G72" s="23"/>
      <c r="H72" s="23"/>
      <c r="I72" s="23"/>
      <c r="J72" s="23"/>
      <c r="K72" s="23"/>
      <c r="L72" s="23"/>
      <c r="M72" s="23"/>
      <c r="N72" s="23"/>
      <c r="O72" s="23"/>
      <c r="P72" s="23"/>
      <c r="Q72" s="23"/>
      <c r="R72" s="4"/>
      <c r="S72" s="23"/>
      <c r="T72" s="23"/>
      <c r="U72" s="23"/>
      <c r="V72" s="23"/>
      <c r="W72" s="4"/>
      <c r="X72" s="4"/>
      <c r="Y72" s="4"/>
      <c r="Z72"/>
    </row>
    <row r="73" spans="1:26" x14ac:dyDescent="0.25">
      <c r="A73" s="703"/>
      <c r="B73" s="4"/>
      <c r="C73" s="23"/>
      <c r="D73" s="23"/>
      <c r="E73" s="23"/>
      <c r="F73" s="23"/>
      <c r="G73" s="23"/>
      <c r="H73" s="23"/>
      <c r="I73" s="23"/>
      <c r="J73" s="23"/>
      <c r="K73" s="23"/>
      <c r="L73" s="23"/>
      <c r="M73" s="23"/>
      <c r="N73" s="23"/>
      <c r="O73" s="23"/>
      <c r="P73" s="23"/>
      <c r="Q73" s="23"/>
      <c r="R73" s="4"/>
      <c r="S73" s="23"/>
      <c r="T73" s="23"/>
      <c r="U73" s="23"/>
      <c r="V73" s="23"/>
      <c r="W73" s="4"/>
      <c r="X73" s="4"/>
      <c r="Y73" s="4"/>
      <c r="Z73"/>
    </row>
    <row r="74" spans="1:26" x14ac:dyDescent="0.25">
      <c r="A74" s="703"/>
      <c r="B74" s="4"/>
      <c r="C74" s="23"/>
      <c r="D74" s="23"/>
      <c r="E74" s="23"/>
      <c r="F74" s="23"/>
      <c r="G74" s="23"/>
      <c r="H74" s="23"/>
      <c r="I74" s="23"/>
      <c r="J74" s="23"/>
      <c r="K74" s="23"/>
      <c r="L74" s="23"/>
      <c r="M74" s="23"/>
      <c r="N74" s="23"/>
      <c r="O74" s="23"/>
      <c r="P74" s="23"/>
      <c r="Q74" s="23"/>
      <c r="R74" s="4"/>
      <c r="S74" s="23"/>
      <c r="T74" s="23"/>
      <c r="U74" s="23"/>
      <c r="V74" s="23"/>
      <c r="W74" s="4"/>
      <c r="X74" s="4"/>
      <c r="Y74" s="4"/>
      <c r="Z74"/>
    </row>
    <row r="75" spans="1:26" x14ac:dyDescent="0.25">
      <c r="A75" s="703"/>
      <c r="B75" s="4"/>
      <c r="C75" s="23"/>
      <c r="D75" s="23"/>
      <c r="E75" s="23"/>
      <c r="F75" s="23"/>
      <c r="G75" s="23"/>
      <c r="H75" s="23"/>
      <c r="I75" s="23"/>
      <c r="J75" s="23"/>
      <c r="K75" s="23"/>
      <c r="L75" s="23"/>
      <c r="M75" s="23"/>
      <c r="N75" s="23"/>
      <c r="O75" s="23"/>
      <c r="P75" s="23"/>
      <c r="Q75" s="23"/>
      <c r="R75" s="4"/>
      <c r="S75" s="23"/>
      <c r="T75" s="23"/>
      <c r="U75" s="23"/>
      <c r="V75" s="23"/>
      <c r="W75" s="4"/>
      <c r="X75" s="4"/>
      <c r="Y75" s="4"/>
      <c r="Z75"/>
    </row>
    <row r="76" spans="1:26" x14ac:dyDescent="0.25">
      <c r="A76" s="703"/>
      <c r="B76" s="4"/>
      <c r="C76" s="23"/>
      <c r="D76" s="23"/>
      <c r="E76" s="23"/>
      <c r="F76" s="23"/>
      <c r="G76" s="23"/>
      <c r="H76" s="23"/>
      <c r="I76" s="23"/>
      <c r="J76" s="23"/>
      <c r="K76" s="23"/>
      <c r="L76" s="23"/>
      <c r="M76" s="23"/>
      <c r="N76" s="23"/>
      <c r="O76" s="23"/>
      <c r="P76" s="23"/>
      <c r="Q76" s="23"/>
      <c r="R76" s="4"/>
      <c r="S76" s="23"/>
      <c r="T76" s="23"/>
      <c r="U76" s="23"/>
      <c r="V76" s="23"/>
      <c r="W76" s="4"/>
      <c r="X76" s="4"/>
      <c r="Y76" s="4"/>
      <c r="Z76"/>
    </row>
    <row r="77" spans="1:26" x14ac:dyDescent="0.25">
      <c r="A77" s="703"/>
      <c r="B77" s="4"/>
      <c r="C77" s="23"/>
      <c r="D77" s="23"/>
      <c r="E77" s="23"/>
      <c r="F77" s="23"/>
      <c r="G77" s="23"/>
      <c r="H77" s="23"/>
      <c r="I77" s="23"/>
      <c r="J77" s="23"/>
      <c r="K77" s="23"/>
      <c r="L77" s="23"/>
      <c r="M77" s="23"/>
      <c r="N77" s="23"/>
      <c r="O77" s="23"/>
      <c r="P77" s="23"/>
      <c r="Q77" s="23"/>
      <c r="R77" s="4"/>
      <c r="S77" s="23"/>
      <c r="T77" s="23"/>
      <c r="U77" s="23"/>
      <c r="V77" s="23"/>
      <c r="W77" s="4"/>
      <c r="X77" s="4"/>
      <c r="Y77" s="4"/>
      <c r="Z77"/>
    </row>
    <row r="78" spans="1:26" x14ac:dyDescent="0.25">
      <c r="A78" s="703"/>
      <c r="B78" s="4"/>
      <c r="C78" s="23"/>
      <c r="D78" s="23"/>
      <c r="E78" s="23"/>
      <c r="F78" s="23"/>
      <c r="G78" s="23"/>
      <c r="H78" s="23"/>
      <c r="I78" s="23"/>
      <c r="J78" s="23"/>
      <c r="K78" s="23"/>
      <c r="L78" s="23"/>
      <c r="M78" s="23"/>
      <c r="N78" s="23"/>
      <c r="O78" s="23"/>
      <c r="P78" s="23"/>
      <c r="Q78" s="23"/>
      <c r="R78" s="4"/>
      <c r="S78" s="23"/>
      <c r="T78" s="23"/>
      <c r="U78" s="23"/>
      <c r="V78" s="23"/>
      <c r="W78" s="4"/>
      <c r="X78" s="4"/>
      <c r="Y78" s="4"/>
      <c r="Z78"/>
    </row>
    <row r="79" spans="1:26" x14ac:dyDescent="0.25">
      <c r="A79" s="703"/>
      <c r="B79" s="4"/>
      <c r="C79" s="23"/>
      <c r="D79" s="23"/>
      <c r="E79" s="23"/>
      <c r="F79" s="23"/>
      <c r="G79" s="23"/>
      <c r="H79" s="23"/>
      <c r="I79" s="23"/>
      <c r="J79" s="23"/>
      <c r="K79" s="23"/>
      <c r="L79" s="23"/>
      <c r="M79" s="23"/>
      <c r="N79" s="23"/>
      <c r="O79" s="23"/>
      <c r="P79" s="23"/>
      <c r="Q79" s="23"/>
      <c r="R79" s="4"/>
      <c r="S79" s="23"/>
      <c r="T79" s="23"/>
      <c r="U79" s="23"/>
      <c r="V79" s="23"/>
      <c r="W79" s="4"/>
      <c r="X79" s="4"/>
      <c r="Y79" s="4"/>
      <c r="Z79"/>
    </row>
    <row r="80" spans="1:26" x14ac:dyDescent="0.25">
      <c r="A80" s="703"/>
      <c r="B80" s="4"/>
      <c r="C80" s="23"/>
      <c r="D80" s="23"/>
      <c r="E80" s="23"/>
      <c r="F80" s="23"/>
      <c r="G80" s="23"/>
      <c r="H80" s="23"/>
      <c r="I80" s="23"/>
      <c r="J80" s="23"/>
      <c r="K80" s="23"/>
      <c r="L80" s="23"/>
      <c r="M80" s="23"/>
      <c r="N80" s="23"/>
      <c r="O80" s="23"/>
      <c r="P80" s="23"/>
      <c r="Q80" s="23"/>
      <c r="R80" s="4"/>
      <c r="S80" s="23"/>
      <c r="T80" s="23"/>
      <c r="U80" s="23"/>
      <c r="V80" s="23"/>
      <c r="W80" s="4"/>
      <c r="X80" s="4"/>
      <c r="Y80" s="4"/>
      <c r="Z80"/>
    </row>
    <row r="81" spans="1:26" x14ac:dyDescent="0.25">
      <c r="A81" s="703"/>
      <c r="B81" s="4"/>
      <c r="C81" s="23"/>
      <c r="D81" s="23"/>
      <c r="E81" s="23"/>
      <c r="F81" s="23"/>
      <c r="G81" s="23"/>
      <c r="H81" s="23"/>
      <c r="I81" s="23"/>
      <c r="J81" s="23"/>
      <c r="K81" s="23"/>
      <c r="L81" s="23"/>
      <c r="M81" s="23"/>
      <c r="N81" s="23"/>
      <c r="O81" s="23"/>
      <c r="P81" s="23"/>
      <c r="Q81" s="23"/>
      <c r="R81" s="4"/>
      <c r="S81" s="23"/>
      <c r="T81" s="23"/>
      <c r="U81" s="23"/>
      <c r="V81" s="23"/>
      <c r="W81" s="4"/>
      <c r="X81" s="4"/>
      <c r="Y81" s="4"/>
      <c r="Z81"/>
    </row>
    <row r="82" spans="1:26" x14ac:dyDescent="0.25">
      <c r="A82" s="703"/>
      <c r="B82" s="4"/>
      <c r="C82" s="23"/>
      <c r="D82" s="23"/>
      <c r="E82" s="23"/>
      <c r="F82" s="23"/>
      <c r="G82" s="23"/>
      <c r="H82" s="23"/>
      <c r="I82" s="23"/>
      <c r="J82" s="23"/>
      <c r="K82" s="23"/>
      <c r="L82" s="23"/>
      <c r="M82" s="23"/>
      <c r="N82" s="23"/>
      <c r="O82" s="23"/>
      <c r="P82" s="23"/>
      <c r="Q82" s="23"/>
      <c r="R82" s="4"/>
      <c r="S82" s="23"/>
      <c r="T82" s="23"/>
      <c r="U82" s="23"/>
      <c r="V82" s="23"/>
      <c r="W82" s="4"/>
      <c r="X82" s="4"/>
      <c r="Y82" s="4"/>
      <c r="Z82"/>
    </row>
    <row r="83" spans="1:26" x14ac:dyDescent="0.25">
      <c r="A83" s="703"/>
      <c r="B83" s="4"/>
      <c r="C83" s="23"/>
      <c r="D83" s="23"/>
      <c r="E83" s="23"/>
      <c r="F83" s="23"/>
      <c r="G83" s="23"/>
      <c r="H83" s="23"/>
      <c r="I83" s="23"/>
      <c r="J83" s="23"/>
      <c r="K83" s="23"/>
      <c r="L83" s="23"/>
      <c r="M83" s="23"/>
      <c r="N83" s="23"/>
      <c r="O83" s="23"/>
      <c r="P83" s="23"/>
      <c r="Q83" s="23"/>
      <c r="R83" s="4"/>
      <c r="S83" s="23"/>
      <c r="T83" s="23"/>
      <c r="U83" s="23"/>
      <c r="V83" s="23"/>
      <c r="W83" s="4"/>
      <c r="X83" s="4"/>
      <c r="Y83" s="4"/>
      <c r="Z83"/>
    </row>
    <row r="84" spans="1:26" x14ac:dyDescent="0.25">
      <c r="A84" s="703"/>
      <c r="B84" s="4"/>
      <c r="C84" s="23"/>
      <c r="D84" s="23"/>
      <c r="E84" s="23"/>
      <c r="F84" s="23"/>
      <c r="G84" s="23"/>
      <c r="H84" s="23"/>
      <c r="I84" s="23"/>
      <c r="J84" s="23"/>
      <c r="K84" s="23"/>
      <c r="L84" s="23"/>
      <c r="M84" s="23"/>
      <c r="N84" s="23"/>
      <c r="O84" s="23"/>
      <c r="P84" s="23"/>
      <c r="Q84" s="23"/>
      <c r="R84" s="4"/>
      <c r="S84" s="23"/>
      <c r="T84" s="23"/>
      <c r="U84" s="23"/>
      <c r="V84" s="23"/>
      <c r="W84" s="4"/>
      <c r="X84" s="4"/>
      <c r="Y84" s="4"/>
      <c r="Z84"/>
    </row>
    <row r="85" spans="1:26" x14ac:dyDescent="0.25">
      <c r="A85" s="703"/>
      <c r="B85" s="4"/>
      <c r="C85" s="23"/>
      <c r="D85" s="23"/>
      <c r="E85" s="23"/>
      <c r="F85" s="23"/>
      <c r="G85" s="23"/>
      <c r="H85" s="23"/>
      <c r="I85" s="23"/>
      <c r="J85" s="23"/>
      <c r="K85" s="23"/>
      <c r="L85" s="23"/>
      <c r="M85" s="23"/>
      <c r="N85" s="23"/>
      <c r="O85" s="23"/>
      <c r="P85" s="23"/>
      <c r="Q85" s="23"/>
      <c r="R85" s="4"/>
      <c r="S85" s="23"/>
      <c r="T85" s="23"/>
      <c r="U85" s="23"/>
      <c r="V85" s="23"/>
      <c r="W85" s="4"/>
      <c r="X85" s="4"/>
      <c r="Y85" s="4"/>
      <c r="Z85"/>
    </row>
    <row r="86" spans="1:26" x14ac:dyDescent="0.25">
      <c r="A86" s="703"/>
      <c r="B86" s="4"/>
      <c r="C86" s="23"/>
      <c r="D86" s="23"/>
      <c r="E86" s="23"/>
      <c r="F86" s="23"/>
      <c r="G86" s="23"/>
      <c r="H86" s="23"/>
      <c r="I86" s="23"/>
      <c r="J86" s="23"/>
      <c r="K86" s="23"/>
      <c r="L86" s="23"/>
      <c r="M86" s="23"/>
      <c r="N86" s="23"/>
      <c r="O86" s="23"/>
      <c r="P86" s="23"/>
      <c r="Q86" s="23"/>
      <c r="R86" s="4"/>
      <c r="S86" s="23"/>
      <c r="T86" s="23"/>
      <c r="U86" s="23"/>
      <c r="V86" s="23"/>
      <c r="W86" s="4"/>
      <c r="X86" s="4"/>
      <c r="Y86" s="4"/>
      <c r="Z86"/>
    </row>
    <row r="87" spans="1:26" x14ac:dyDescent="0.25">
      <c r="A87" s="703"/>
      <c r="B87" s="4"/>
      <c r="C87" s="23"/>
      <c r="D87" s="23"/>
      <c r="E87" s="23"/>
      <c r="F87" s="23"/>
      <c r="G87" s="23"/>
      <c r="H87" s="23"/>
      <c r="I87" s="23"/>
      <c r="J87" s="23"/>
      <c r="K87" s="23"/>
      <c r="L87" s="23"/>
      <c r="M87" s="23"/>
      <c r="N87" s="23"/>
      <c r="O87" s="23"/>
      <c r="P87" s="23"/>
      <c r="Q87" s="23"/>
      <c r="R87" s="4"/>
      <c r="S87" s="23"/>
      <c r="T87" s="23"/>
      <c r="U87" s="23"/>
      <c r="V87" s="23"/>
      <c r="W87" s="4"/>
      <c r="X87" s="4"/>
      <c r="Y87" s="4"/>
      <c r="Z87"/>
    </row>
    <row r="88" spans="1:26" x14ac:dyDescent="0.25">
      <c r="A88" s="703"/>
      <c r="B88" s="4"/>
      <c r="C88" s="23"/>
      <c r="D88" s="23"/>
      <c r="E88" s="23"/>
      <c r="F88" s="23"/>
      <c r="G88" s="23"/>
      <c r="H88" s="23"/>
      <c r="I88" s="23"/>
      <c r="J88" s="23"/>
      <c r="K88" s="23"/>
      <c r="L88" s="23"/>
      <c r="M88" s="23"/>
      <c r="N88" s="23"/>
      <c r="O88" s="23"/>
      <c r="P88" s="23"/>
      <c r="Q88" s="23"/>
      <c r="R88" s="4"/>
      <c r="S88" s="23"/>
      <c r="T88" s="23"/>
      <c r="U88" s="23"/>
      <c r="V88" s="23"/>
      <c r="W88" s="4"/>
      <c r="X88" s="4"/>
      <c r="Y88" s="4"/>
      <c r="Z88"/>
    </row>
    <row r="89" spans="1:26" x14ac:dyDescent="0.25">
      <c r="A89" s="703"/>
      <c r="B89" s="4"/>
      <c r="C89" s="23"/>
      <c r="D89" s="23"/>
      <c r="E89" s="23"/>
      <c r="F89" s="23"/>
      <c r="G89" s="23"/>
      <c r="H89" s="23"/>
      <c r="I89" s="23"/>
      <c r="J89" s="23"/>
      <c r="K89" s="23"/>
      <c r="L89" s="23"/>
      <c r="M89" s="23"/>
      <c r="N89" s="23"/>
      <c r="O89" s="23"/>
      <c r="P89" s="23"/>
      <c r="Q89" s="23"/>
      <c r="R89" s="4"/>
      <c r="S89" s="23"/>
      <c r="T89" s="23"/>
      <c r="U89" s="23"/>
      <c r="V89" s="23"/>
      <c r="W89" s="4"/>
      <c r="X89" s="4"/>
      <c r="Y89" s="4"/>
      <c r="Z89"/>
    </row>
    <row r="90" spans="1:26" x14ac:dyDescent="0.25">
      <c r="A90" s="703"/>
      <c r="B90" s="4"/>
      <c r="C90" s="23"/>
      <c r="D90" s="23"/>
      <c r="E90" s="23"/>
      <c r="F90" s="23"/>
      <c r="G90" s="23"/>
      <c r="H90" s="23"/>
      <c r="I90" s="23"/>
      <c r="J90" s="23"/>
      <c r="K90" s="23"/>
      <c r="L90" s="23"/>
      <c r="M90" s="23"/>
      <c r="N90" s="23"/>
      <c r="O90" s="23"/>
      <c r="P90" s="23"/>
      <c r="Q90" s="23"/>
      <c r="R90" s="4"/>
      <c r="S90" s="23"/>
      <c r="T90" s="23"/>
      <c r="U90" s="23"/>
      <c r="V90" s="23"/>
      <c r="W90" s="4"/>
      <c r="X90" s="4"/>
      <c r="Y90" s="4"/>
      <c r="Z90"/>
    </row>
    <row r="91" spans="1:26" x14ac:dyDescent="0.25">
      <c r="A91" s="703"/>
      <c r="B91" s="4"/>
      <c r="C91" s="23"/>
      <c r="D91" s="23"/>
      <c r="E91" s="23"/>
      <c r="F91" s="23"/>
      <c r="G91" s="23"/>
      <c r="H91" s="23"/>
      <c r="I91" s="23"/>
      <c r="J91" s="23"/>
      <c r="K91" s="23"/>
      <c r="L91" s="23"/>
      <c r="M91" s="23"/>
      <c r="N91" s="23"/>
      <c r="O91" s="23"/>
      <c r="P91" s="23"/>
      <c r="Q91" s="23"/>
      <c r="R91" s="4"/>
      <c r="S91" s="23"/>
      <c r="T91" s="23"/>
      <c r="U91" s="23"/>
      <c r="V91" s="23"/>
      <c r="W91" s="4"/>
      <c r="X91" s="4"/>
      <c r="Y91" s="4"/>
      <c r="Z91"/>
    </row>
    <row r="92" spans="1:26" x14ac:dyDescent="0.25">
      <c r="A92" s="703"/>
      <c r="B92" s="4"/>
      <c r="C92" s="23"/>
      <c r="D92" s="23"/>
      <c r="E92" s="23"/>
      <c r="F92" s="23"/>
      <c r="G92" s="23"/>
      <c r="H92" s="23"/>
      <c r="I92" s="23"/>
      <c r="J92" s="23"/>
      <c r="K92" s="23"/>
      <c r="L92" s="23"/>
      <c r="M92" s="23"/>
      <c r="N92" s="23"/>
      <c r="O92" s="23"/>
      <c r="P92" s="23"/>
      <c r="Q92" s="23"/>
      <c r="R92" s="4"/>
      <c r="S92" s="23"/>
      <c r="T92" s="23"/>
      <c r="U92" s="23"/>
      <c r="V92" s="23"/>
      <c r="W92" s="4"/>
      <c r="X92" s="4"/>
      <c r="Y92" s="4"/>
      <c r="Z92"/>
    </row>
    <row r="93" spans="1:26" x14ac:dyDescent="0.25">
      <c r="A93" s="703"/>
      <c r="B93" s="4"/>
      <c r="C93" s="23"/>
      <c r="D93" s="23"/>
      <c r="E93" s="23"/>
      <c r="F93" s="23"/>
      <c r="G93" s="23"/>
      <c r="H93" s="23"/>
      <c r="I93" s="23"/>
      <c r="J93" s="23"/>
      <c r="K93" s="23"/>
      <c r="L93" s="23"/>
      <c r="M93" s="23"/>
      <c r="N93" s="23"/>
      <c r="O93" s="23"/>
      <c r="P93" s="23"/>
      <c r="Q93" s="23"/>
      <c r="R93" s="4"/>
      <c r="S93" s="23"/>
      <c r="T93" s="23"/>
      <c r="U93" s="23"/>
      <c r="V93" s="23"/>
      <c r="W93" s="4"/>
      <c r="X93" s="4"/>
      <c r="Y93" s="4"/>
      <c r="Z93"/>
    </row>
    <row r="94" spans="1:26" x14ac:dyDescent="0.25">
      <c r="A94" s="703"/>
      <c r="B94" s="4"/>
      <c r="C94" s="23"/>
      <c r="D94" s="23"/>
      <c r="E94" s="23"/>
      <c r="F94" s="23"/>
      <c r="G94" s="23"/>
      <c r="H94" s="23"/>
      <c r="I94" s="23"/>
      <c r="J94" s="23"/>
      <c r="K94" s="23"/>
      <c r="L94" s="23"/>
      <c r="M94" s="23"/>
      <c r="N94" s="23"/>
      <c r="O94" s="23"/>
      <c r="P94" s="23"/>
      <c r="Q94" s="23"/>
      <c r="R94" s="4"/>
      <c r="S94" s="23"/>
      <c r="T94" s="23"/>
      <c r="U94" s="23"/>
      <c r="V94" s="23"/>
      <c r="W94" s="4"/>
      <c r="X94" s="4"/>
      <c r="Y94" s="4"/>
      <c r="Z94"/>
    </row>
    <row r="95" spans="1:26" x14ac:dyDescent="0.25">
      <c r="A95" s="703"/>
      <c r="B95" s="4"/>
      <c r="C95" s="23"/>
      <c r="D95" s="23"/>
      <c r="E95" s="23"/>
      <c r="F95" s="23"/>
      <c r="G95" s="23"/>
      <c r="H95" s="23"/>
      <c r="I95" s="23"/>
      <c r="J95" s="23"/>
      <c r="K95" s="23"/>
      <c r="L95" s="23"/>
      <c r="M95" s="23"/>
      <c r="N95" s="23"/>
      <c r="O95" s="23"/>
      <c r="P95" s="23"/>
      <c r="Q95" s="23"/>
      <c r="R95" s="4"/>
      <c r="S95" s="23"/>
      <c r="T95" s="23"/>
      <c r="U95" s="23"/>
      <c r="V95" s="23"/>
      <c r="W95" s="4"/>
      <c r="X95" s="4"/>
      <c r="Y95" s="4"/>
      <c r="Z95"/>
    </row>
    <row r="96" spans="1:26" x14ac:dyDescent="0.25">
      <c r="A96" s="703"/>
      <c r="B96" s="4"/>
      <c r="C96" s="23"/>
      <c r="D96" s="23"/>
      <c r="E96" s="23"/>
      <c r="F96" s="23"/>
      <c r="G96" s="23"/>
      <c r="H96" s="23"/>
      <c r="I96" s="23"/>
      <c r="J96" s="23"/>
      <c r="K96" s="23"/>
      <c r="L96" s="23"/>
      <c r="M96" s="23"/>
      <c r="N96" s="23"/>
      <c r="O96" s="23"/>
      <c r="P96" s="23"/>
      <c r="Q96" s="23"/>
      <c r="R96" s="4"/>
      <c r="S96" s="23"/>
      <c r="T96" s="23"/>
      <c r="U96" s="23"/>
      <c r="V96" s="23"/>
      <c r="W96" s="4"/>
      <c r="X96" s="4"/>
      <c r="Y96" s="4"/>
      <c r="Z96"/>
    </row>
    <row r="97" spans="1:26" x14ac:dyDescent="0.25">
      <c r="A97" s="703"/>
      <c r="B97" s="4"/>
      <c r="C97" s="23"/>
      <c r="D97" s="23"/>
      <c r="E97" s="23"/>
      <c r="F97" s="23"/>
      <c r="G97" s="23"/>
      <c r="H97" s="23"/>
      <c r="I97" s="23"/>
      <c r="J97" s="23"/>
      <c r="K97" s="23"/>
      <c r="L97" s="23"/>
      <c r="M97" s="23"/>
      <c r="N97" s="23"/>
      <c r="O97" s="23"/>
      <c r="P97" s="23"/>
      <c r="Q97" s="23"/>
      <c r="R97" s="4"/>
      <c r="S97" s="23"/>
      <c r="T97" s="23"/>
      <c r="U97" s="23"/>
      <c r="V97" s="23"/>
      <c r="W97" s="4"/>
      <c r="X97" s="4"/>
      <c r="Y97" s="4"/>
      <c r="Z97"/>
    </row>
    <row r="98" spans="1:26" x14ac:dyDescent="0.25">
      <c r="A98" s="703"/>
      <c r="B98" s="4"/>
      <c r="C98" s="23"/>
      <c r="D98" s="23"/>
      <c r="E98" s="23"/>
      <c r="F98" s="23"/>
      <c r="G98" s="23"/>
      <c r="H98" s="23"/>
      <c r="I98" s="23"/>
      <c r="J98" s="23"/>
      <c r="K98" s="23"/>
      <c r="L98" s="23"/>
      <c r="M98" s="23"/>
      <c r="N98" s="23"/>
      <c r="O98" s="23"/>
      <c r="P98" s="23"/>
      <c r="Q98" s="23"/>
      <c r="R98" s="4"/>
      <c r="S98" s="23"/>
      <c r="T98" s="23"/>
      <c r="U98" s="23"/>
      <c r="V98" s="23"/>
      <c r="W98" s="4"/>
      <c r="X98" s="4"/>
      <c r="Y98" s="4"/>
      <c r="Z98"/>
    </row>
    <row r="99" spans="1:26" x14ac:dyDescent="0.25">
      <c r="A99" s="703"/>
      <c r="B99" s="4"/>
      <c r="C99" s="23"/>
      <c r="D99" s="23"/>
      <c r="E99" s="23"/>
      <c r="F99" s="23"/>
      <c r="G99" s="23"/>
      <c r="H99" s="23"/>
      <c r="I99" s="23"/>
      <c r="J99" s="23"/>
      <c r="K99" s="23"/>
      <c r="L99" s="23"/>
      <c r="M99" s="23"/>
      <c r="N99" s="23"/>
      <c r="O99" s="23"/>
      <c r="P99" s="23"/>
      <c r="Q99" s="23"/>
      <c r="R99" s="4"/>
      <c r="S99" s="23"/>
      <c r="T99" s="23"/>
      <c r="U99" s="23"/>
      <c r="V99" s="23"/>
      <c r="W99" s="4"/>
      <c r="X99" s="4"/>
      <c r="Y99" s="4"/>
      <c r="Z99"/>
    </row>
    <row r="100" spans="1:26" x14ac:dyDescent="0.25">
      <c r="A100" s="703"/>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c r="Z100"/>
    </row>
    <row r="101" spans="1:26" x14ac:dyDescent="0.25">
      <c r="A101" s="703"/>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c r="Z101"/>
    </row>
    <row r="102" spans="1:26" x14ac:dyDescent="0.25">
      <c r="A102" s="703"/>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c r="Z102"/>
    </row>
    <row r="103" spans="1:26" x14ac:dyDescent="0.25">
      <c r="A103" s="703"/>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c r="Z103"/>
    </row>
    <row r="104" spans="1:26" x14ac:dyDescent="0.25">
      <c r="A104" s="703"/>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c r="Z104"/>
    </row>
    <row r="105" spans="1:26" x14ac:dyDescent="0.25">
      <c r="A105" s="703"/>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c r="Z105"/>
    </row>
    <row r="106" spans="1:26" x14ac:dyDescent="0.25">
      <c r="A106" s="703"/>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c r="Z106"/>
    </row>
    <row r="107" spans="1:26" x14ac:dyDescent="0.25">
      <c r="A107" s="703"/>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c r="Z107"/>
    </row>
    <row r="108" spans="1:26" x14ac:dyDescent="0.25">
      <c r="A108" s="703"/>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c r="Z108"/>
    </row>
    <row r="109" spans="1:26" x14ac:dyDescent="0.25">
      <c r="A109" s="703"/>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c r="Z109"/>
    </row>
    <row r="110" spans="1:26" x14ac:dyDescent="0.25">
      <c r="A110" s="703"/>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c r="Z110"/>
    </row>
    <row r="111" spans="1:26" x14ac:dyDescent="0.25">
      <c r="A111" s="703"/>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c r="Z111"/>
    </row>
    <row r="112" spans="1:26" x14ac:dyDescent="0.25">
      <c r="A112" s="703"/>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c r="Z112"/>
    </row>
    <row r="113" spans="1:26" x14ac:dyDescent="0.25">
      <c r="A113" s="703"/>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c r="Z113"/>
    </row>
    <row r="114" spans="1:26" x14ac:dyDescent="0.25">
      <c r="A114" s="703"/>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c r="Z114"/>
    </row>
    <row r="115" spans="1:26" x14ac:dyDescent="0.25">
      <c r="A115" s="703"/>
      <c r="B115" s="4"/>
      <c r="C115" s="23"/>
      <c r="D115" s="23"/>
      <c r="E115" s="23"/>
      <c r="F115" s="23"/>
      <c r="G115" s="23"/>
      <c r="H115" s="23"/>
      <c r="I115" s="23"/>
      <c r="J115" s="23"/>
      <c r="K115" s="23"/>
      <c r="L115" s="23"/>
      <c r="M115" s="23"/>
      <c r="N115" s="23"/>
      <c r="O115" s="23"/>
      <c r="P115" s="23"/>
      <c r="Q115" s="23"/>
      <c r="R115" s="4"/>
      <c r="S115" s="23"/>
      <c r="T115" s="23"/>
      <c r="U115" s="23"/>
      <c r="V115" s="23"/>
      <c r="W115" s="4"/>
      <c r="X115" s="4"/>
      <c r="Y115" s="4"/>
      <c r="Z115"/>
    </row>
    <row r="116" spans="1:26" x14ac:dyDescent="0.25">
      <c r="A116" s="703"/>
      <c r="B116" s="4"/>
      <c r="C116" s="23"/>
      <c r="D116" s="23"/>
      <c r="E116" s="23"/>
      <c r="F116" s="23"/>
      <c r="G116" s="23"/>
      <c r="H116" s="23"/>
      <c r="I116" s="23"/>
      <c r="J116" s="23"/>
      <c r="K116" s="23"/>
      <c r="L116" s="23"/>
      <c r="M116" s="23"/>
      <c r="N116" s="23"/>
      <c r="O116" s="23"/>
      <c r="P116" s="23"/>
      <c r="Q116" s="23"/>
      <c r="R116" s="4"/>
      <c r="S116" s="23"/>
      <c r="T116" s="23"/>
      <c r="U116" s="23"/>
      <c r="V116" s="23"/>
      <c r="W116" s="4"/>
      <c r="X116" s="4"/>
      <c r="Y116" s="4"/>
      <c r="Z116"/>
    </row>
    <row r="117" spans="1:26" x14ac:dyDescent="0.25">
      <c r="A117" s="703"/>
      <c r="B117" s="4"/>
      <c r="C117" s="23"/>
      <c r="D117" s="23"/>
      <c r="E117" s="23"/>
      <c r="F117" s="23"/>
      <c r="G117" s="23"/>
      <c r="H117" s="23"/>
      <c r="I117" s="23"/>
      <c r="J117" s="23"/>
      <c r="K117" s="23"/>
      <c r="L117" s="23"/>
      <c r="M117" s="23"/>
      <c r="N117" s="23"/>
      <c r="O117" s="23"/>
      <c r="P117" s="23"/>
      <c r="Q117" s="23"/>
      <c r="R117" s="4"/>
      <c r="S117" s="23"/>
      <c r="T117" s="23"/>
      <c r="U117" s="23"/>
      <c r="V117" s="23"/>
      <c r="W117" s="4"/>
      <c r="X117" s="4"/>
      <c r="Y117" s="4"/>
      <c r="Z117"/>
    </row>
    <row r="118" spans="1:26" x14ac:dyDescent="0.25">
      <c r="A118" s="703"/>
      <c r="B118" s="4"/>
      <c r="C118" s="23"/>
      <c r="D118" s="23"/>
      <c r="E118" s="23"/>
      <c r="F118" s="23"/>
      <c r="G118" s="23"/>
      <c r="H118" s="23"/>
      <c r="I118" s="23"/>
      <c r="J118" s="23"/>
      <c r="K118" s="23"/>
      <c r="L118" s="23"/>
      <c r="M118" s="23"/>
      <c r="N118" s="23"/>
      <c r="O118" s="23"/>
      <c r="P118" s="23"/>
      <c r="Q118" s="23"/>
      <c r="R118" s="4"/>
      <c r="S118" s="23"/>
      <c r="T118" s="23"/>
      <c r="U118" s="23"/>
      <c r="V118" s="23"/>
      <c r="W118" s="4"/>
      <c r="X118" s="4"/>
      <c r="Y118" s="4"/>
      <c r="Z118"/>
    </row>
    <row r="119" spans="1:26" x14ac:dyDescent="0.25">
      <c r="A119" s="703"/>
      <c r="B119" s="4"/>
      <c r="C119" s="23"/>
      <c r="D119" s="23"/>
      <c r="E119" s="23"/>
      <c r="F119" s="23"/>
      <c r="G119" s="23"/>
      <c r="H119" s="23"/>
      <c r="I119" s="23"/>
      <c r="J119" s="23"/>
      <c r="K119" s="23"/>
      <c r="L119" s="23"/>
      <c r="M119" s="23"/>
      <c r="N119" s="23"/>
      <c r="O119" s="23"/>
      <c r="P119" s="23"/>
      <c r="Q119" s="23"/>
      <c r="R119" s="4"/>
      <c r="S119" s="23"/>
      <c r="T119" s="23"/>
      <c r="U119" s="23"/>
      <c r="V119" s="23"/>
      <c r="W119" s="4"/>
      <c r="X119" s="4"/>
      <c r="Y119" s="4"/>
      <c r="Z119"/>
    </row>
    <row r="120" spans="1:26" x14ac:dyDescent="0.25">
      <c r="C120" s="194"/>
      <c r="D120" s="194"/>
      <c r="E120" s="194"/>
      <c r="F120" s="194"/>
      <c r="G120" s="194"/>
      <c r="H120" s="194"/>
      <c r="I120" s="194"/>
      <c r="J120" s="194"/>
      <c r="K120" s="194"/>
      <c r="L120" s="194"/>
      <c r="M120" s="194"/>
      <c r="N120" s="194"/>
      <c r="O120" s="194"/>
      <c r="P120" s="194"/>
      <c r="Q120" s="194"/>
      <c r="Z120"/>
    </row>
    <row r="121" spans="1:26" x14ac:dyDescent="0.25">
      <c r="C121" s="194"/>
      <c r="D121" s="194"/>
      <c r="E121" s="194"/>
      <c r="F121" s="194"/>
      <c r="G121" s="194"/>
      <c r="H121" s="194"/>
      <c r="I121" s="194"/>
      <c r="J121" s="194"/>
      <c r="K121" s="194"/>
      <c r="L121" s="194"/>
      <c r="M121" s="194"/>
      <c r="N121" s="194"/>
      <c r="O121" s="194"/>
      <c r="P121" s="194"/>
      <c r="Q121" s="194"/>
      <c r="Z121"/>
    </row>
    <row r="122" spans="1:26" x14ac:dyDescent="0.25">
      <c r="C122" s="194"/>
      <c r="D122" s="194"/>
      <c r="E122" s="194"/>
      <c r="F122" s="194"/>
      <c r="G122" s="194"/>
      <c r="H122" s="194"/>
      <c r="I122" s="194"/>
      <c r="J122" s="194"/>
      <c r="K122" s="194"/>
      <c r="L122" s="194"/>
      <c r="M122" s="194"/>
      <c r="N122" s="194"/>
      <c r="O122" s="194"/>
      <c r="P122" s="194"/>
      <c r="Q122" s="194"/>
      <c r="Z122"/>
    </row>
    <row r="123" spans="1:26" x14ac:dyDescent="0.25">
      <c r="C123" s="194"/>
      <c r="D123" s="194"/>
      <c r="E123" s="194"/>
      <c r="F123" s="194"/>
      <c r="G123" s="194"/>
      <c r="H123" s="194"/>
      <c r="I123" s="194"/>
      <c r="J123" s="194"/>
      <c r="K123" s="194"/>
      <c r="L123" s="194"/>
      <c r="M123" s="194"/>
      <c r="N123" s="194"/>
      <c r="O123" s="194"/>
      <c r="P123" s="194"/>
      <c r="Q123" s="194"/>
      <c r="Z123"/>
    </row>
    <row r="124" spans="1:26" x14ac:dyDescent="0.25">
      <c r="C124" s="194"/>
      <c r="D124" s="194"/>
      <c r="E124" s="194"/>
      <c r="F124" s="194"/>
      <c r="G124" s="194"/>
      <c r="H124" s="194"/>
      <c r="I124" s="194"/>
      <c r="J124" s="194"/>
      <c r="K124" s="194"/>
      <c r="L124" s="194"/>
      <c r="M124" s="194"/>
      <c r="N124" s="194"/>
      <c r="O124" s="194"/>
      <c r="P124" s="194"/>
      <c r="Q124" s="194"/>
      <c r="Z124"/>
    </row>
    <row r="125" spans="1:26" x14ac:dyDescent="0.25">
      <c r="C125" s="194"/>
      <c r="D125" s="194"/>
      <c r="E125" s="194"/>
      <c r="F125" s="194"/>
      <c r="G125" s="194"/>
      <c r="H125" s="194"/>
      <c r="I125" s="194"/>
      <c r="J125" s="194"/>
      <c r="K125" s="194"/>
      <c r="L125" s="194"/>
      <c r="M125" s="194"/>
      <c r="N125" s="194"/>
      <c r="O125" s="194"/>
      <c r="P125" s="194"/>
      <c r="Q125" s="194"/>
      <c r="Z125"/>
    </row>
    <row r="126" spans="1:26" x14ac:dyDescent="0.25">
      <c r="C126" s="194"/>
      <c r="D126" s="194"/>
      <c r="E126" s="194"/>
      <c r="F126" s="194"/>
      <c r="G126" s="194"/>
      <c r="H126" s="194"/>
      <c r="I126" s="194"/>
      <c r="J126" s="194"/>
      <c r="K126" s="194"/>
      <c r="L126" s="194"/>
      <c r="M126" s="194"/>
      <c r="N126" s="194"/>
      <c r="O126" s="194"/>
      <c r="P126" s="194"/>
      <c r="Q126" s="194"/>
      <c r="Z126"/>
    </row>
    <row r="127" spans="1:26" x14ac:dyDescent="0.25">
      <c r="C127" s="194"/>
      <c r="D127" s="194"/>
      <c r="E127" s="194"/>
      <c r="F127" s="194"/>
      <c r="G127" s="194"/>
      <c r="H127" s="194"/>
      <c r="I127" s="194"/>
      <c r="J127" s="194"/>
      <c r="K127" s="194"/>
      <c r="L127" s="194"/>
      <c r="M127" s="194"/>
      <c r="N127" s="194"/>
      <c r="O127" s="194"/>
      <c r="P127" s="194"/>
      <c r="Q127" s="194"/>
      <c r="Z127"/>
    </row>
    <row r="128" spans="1:26" x14ac:dyDescent="0.25">
      <c r="C128" s="194"/>
      <c r="D128" s="194"/>
      <c r="E128" s="194"/>
      <c r="F128" s="194"/>
      <c r="G128" s="194"/>
      <c r="H128" s="194"/>
      <c r="I128" s="194"/>
      <c r="J128" s="194"/>
      <c r="K128" s="194"/>
      <c r="L128" s="194"/>
      <c r="M128" s="194"/>
      <c r="N128" s="194"/>
      <c r="O128" s="194"/>
      <c r="P128" s="194"/>
      <c r="Q128" s="194"/>
      <c r="Z128"/>
    </row>
    <row r="129" spans="3:26" x14ac:dyDescent="0.25">
      <c r="C129" s="194"/>
      <c r="D129" s="194"/>
      <c r="E129" s="194"/>
      <c r="F129" s="194"/>
      <c r="G129" s="194"/>
      <c r="H129" s="194"/>
      <c r="I129" s="194"/>
      <c r="J129" s="194"/>
      <c r="K129" s="194"/>
      <c r="L129" s="194"/>
      <c r="M129" s="194"/>
      <c r="N129" s="194"/>
      <c r="O129" s="194"/>
      <c r="P129" s="194"/>
      <c r="Q129" s="194"/>
      <c r="Z129"/>
    </row>
    <row r="130" spans="3:26" x14ac:dyDescent="0.25">
      <c r="C130" s="194"/>
      <c r="D130" s="194"/>
      <c r="E130" s="194"/>
      <c r="F130" s="194"/>
      <c r="G130" s="194"/>
      <c r="H130" s="194"/>
      <c r="I130" s="194"/>
      <c r="J130" s="194"/>
      <c r="K130" s="194"/>
      <c r="L130" s="194"/>
      <c r="M130" s="194"/>
      <c r="N130" s="194"/>
      <c r="O130" s="194"/>
      <c r="P130" s="194"/>
      <c r="Q130" s="194"/>
      <c r="Z130"/>
    </row>
    <row r="131" spans="3:26" x14ac:dyDescent="0.25">
      <c r="C131" s="194"/>
      <c r="D131"/>
      <c r="E131"/>
      <c r="F131"/>
      <c r="G131"/>
      <c r="H131"/>
      <c r="I131"/>
      <c r="J131"/>
      <c r="K131"/>
      <c r="L131"/>
      <c r="M131"/>
      <c r="N131"/>
      <c r="O131"/>
      <c r="P131"/>
      <c r="Q131"/>
      <c r="S131"/>
      <c r="T131"/>
      <c r="U131"/>
      <c r="V131"/>
      <c r="Z131"/>
    </row>
    <row r="132" spans="3:26" x14ac:dyDescent="0.25">
      <c r="C132" s="194"/>
      <c r="D132"/>
      <c r="E132"/>
      <c r="F132"/>
      <c r="G132"/>
      <c r="H132"/>
      <c r="I132"/>
      <c r="J132"/>
      <c r="K132"/>
      <c r="L132"/>
      <c r="M132"/>
      <c r="N132"/>
      <c r="O132"/>
      <c r="P132"/>
      <c r="Q132"/>
      <c r="S132"/>
      <c r="T132"/>
      <c r="U132"/>
      <c r="V132"/>
      <c r="Z132"/>
    </row>
    <row r="133" spans="3:26" x14ac:dyDescent="0.25">
      <c r="C133" s="194"/>
      <c r="D133"/>
      <c r="E133"/>
      <c r="F133"/>
      <c r="G133"/>
      <c r="H133"/>
      <c r="I133"/>
      <c r="J133"/>
      <c r="K133"/>
      <c r="L133"/>
      <c r="M133"/>
      <c r="N133"/>
      <c r="O133"/>
      <c r="P133"/>
      <c r="Q133"/>
      <c r="S133"/>
      <c r="T133"/>
      <c r="U133"/>
      <c r="V133"/>
      <c r="Z133"/>
    </row>
    <row r="134" spans="3:26" x14ac:dyDescent="0.25">
      <c r="C134" s="194"/>
      <c r="D134"/>
      <c r="E134"/>
      <c r="F134"/>
      <c r="G134"/>
      <c r="H134"/>
      <c r="I134"/>
      <c r="J134"/>
      <c r="K134"/>
      <c r="L134"/>
      <c r="M134"/>
      <c r="N134"/>
      <c r="O134"/>
      <c r="P134"/>
      <c r="Q134"/>
      <c r="S134"/>
      <c r="T134"/>
      <c r="U134"/>
      <c r="V134"/>
      <c r="Z134"/>
    </row>
    <row r="135" spans="3:26" x14ac:dyDescent="0.25">
      <c r="C135" s="194"/>
      <c r="D135"/>
      <c r="E135"/>
      <c r="F135"/>
      <c r="G135"/>
      <c r="H135"/>
      <c r="I135"/>
      <c r="J135"/>
      <c r="K135"/>
      <c r="L135"/>
      <c r="M135"/>
      <c r="N135"/>
      <c r="O135"/>
      <c r="P135"/>
      <c r="Q135"/>
      <c r="S135"/>
      <c r="T135"/>
      <c r="U135"/>
      <c r="V135"/>
      <c r="Z135"/>
    </row>
    <row r="136" spans="3:26" x14ac:dyDescent="0.25">
      <c r="C136" s="194"/>
      <c r="D136"/>
      <c r="E136"/>
      <c r="F136"/>
      <c r="G136"/>
      <c r="H136"/>
      <c r="I136"/>
      <c r="J136"/>
      <c r="K136"/>
      <c r="L136"/>
      <c r="M136"/>
      <c r="N136"/>
      <c r="O136"/>
      <c r="P136"/>
      <c r="Q136"/>
      <c r="S136"/>
      <c r="T136"/>
      <c r="U136"/>
      <c r="V136"/>
      <c r="Z136"/>
    </row>
    <row r="137" spans="3:26" x14ac:dyDescent="0.25">
      <c r="C137" s="194"/>
      <c r="D137"/>
      <c r="E137"/>
      <c r="F137"/>
      <c r="G137"/>
      <c r="H137"/>
      <c r="I137"/>
      <c r="J137"/>
      <c r="K137"/>
      <c r="L137"/>
      <c r="M137"/>
      <c r="N137"/>
      <c r="O137"/>
      <c r="P137"/>
      <c r="Q137"/>
      <c r="S137"/>
      <c r="T137"/>
      <c r="U137"/>
      <c r="V137"/>
      <c r="Z137"/>
    </row>
    <row r="138" spans="3:26" x14ac:dyDescent="0.25">
      <c r="C138" s="194"/>
      <c r="D138"/>
      <c r="E138"/>
      <c r="F138"/>
      <c r="G138"/>
      <c r="H138"/>
      <c r="I138"/>
      <c r="J138"/>
      <c r="K138"/>
      <c r="L138"/>
      <c r="M138"/>
      <c r="N138"/>
      <c r="O138"/>
      <c r="P138"/>
      <c r="Q138"/>
      <c r="S138"/>
      <c r="T138"/>
      <c r="U138"/>
      <c r="V138"/>
      <c r="Z138"/>
    </row>
    <row r="139" spans="3:26" x14ac:dyDescent="0.25">
      <c r="C139" s="194"/>
      <c r="D139"/>
      <c r="E139"/>
      <c r="F139"/>
      <c r="G139"/>
      <c r="H139"/>
      <c r="I139"/>
      <c r="J139"/>
      <c r="K139"/>
      <c r="L139"/>
      <c r="M139"/>
      <c r="N139"/>
      <c r="O139"/>
      <c r="P139"/>
      <c r="Q139"/>
      <c r="S139"/>
      <c r="T139"/>
      <c r="U139"/>
      <c r="V139"/>
      <c r="Z139"/>
    </row>
    <row r="140" spans="3:26" x14ac:dyDescent="0.25">
      <c r="C140" s="194"/>
      <c r="D140"/>
      <c r="E140"/>
      <c r="F140"/>
      <c r="G140"/>
      <c r="H140"/>
      <c r="I140"/>
      <c r="J140"/>
      <c r="K140"/>
      <c r="L140"/>
      <c r="M140"/>
      <c r="N140"/>
      <c r="O140"/>
      <c r="P140"/>
      <c r="Q140"/>
      <c r="S140"/>
      <c r="T140"/>
      <c r="U140"/>
      <c r="V140"/>
      <c r="Z140"/>
    </row>
    <row r="141" spans="3:26" x14ac:dyDescent="0.25">
      <c r="C141" s="194"/>
      <c r="D141"/>
      <c r="E141"/>
      <c r="F141"/>
      <c r="G141"/>
      <c r="H141"/>
      <c r="I141"/>
      <c r="J141"/>
      <c r="K141"/>
      <c r="L141"/>
      <c r="M141"/>
      <c r="N141"/>
      <c r="O141"/>
      <c r="P141"/>
      <c r="Q141"/>
      <c r="S141"/>
      <c r="T141"/>
      <c r="U141"/>
      <c r="V141"/>
      <c r="Z141"/>
    </row>
    <row r="142" spans="3:26" x14ac:dyDescent="0.25">
      <c r="C142" s="194"/>
      <c r="D142"/>
      <c r="E142"/>
      <c r="F142"/>
      <c r="G142"/>
      <c r="H142"/>
      <c r="I142"/>
      <c r="J142"/>
      <c r="K142"/>
      <c r="L142"/>
      <c r="M142"/>
      <c r="N142"/>
      <c r="O142"/>
      <c r="P142"/>
      <c r="Q142"/>
      <c r="S142"/>
      <c r="T142"/>
      <c r="U142"/>
      <c r="V142"/>
      <c r="Z142"/>
    </row>
    <row r="143" spans="3:26" x14ac:dyDescent="0.25">
      <c r="C143" s="194"/>
      <c r="D143"/>
      <c r="E143"/>
      <c r="F143"/>
      <c r="G143"/>
      <c r="H143"/>
      <c r="I143"/>
      <c r="J143"/>
      <c r="K143"/>
      <c r="L143"/>
      <c r="M143"/>
      <c r="N143"/>
      <c r="O143"/>
      <c r="P143"/>
      <c r="Q143"/>
      <c r="S143"/>
      <c r="T143"/>
      <c r="U143"/>
      <c r="V143"/>
      <c r="Z143"/>
    </row>
    <row r="144" spans="3:26" x14ac:dyDescent="0.25">
      <c r="C144" s="194"/>
      <c r="D144"/>
      <c r="E144"/>
      <c r="F144"/>
      <c r="G144"/>
      <c r="H144"/>
      <c r="I144"/>
      <c r="J144"/>
      <c r="K144"/>
      <c r="L144"/>
      <c r="M144"/>
      <c r="N144"/>
      <c r="O144"/>
      <c r="P144"/>
      <c r="Q144"/>
      <c r="S144"/>
      <c r="T144"/>
      <c r="U144"/>
      <c r="V144"/>
      <c r="Z144"/>
    </row>
    <row r="145" spans="3:26" x14ac:dyDescent="0.25">
      <c r="C145" s="194"/>
      <c r="D145"/>
      <c r="E145"/>
      <c r="F145"/>
      <c r="G145"/>
      <c r="H145"/>
      <c r="I145"/>
      <c r="J145"/>
      <c r="K145"/>
      <c r="L145"/>
      <c r="M145"/>
      <c r="N145"/>
      <c r="O145"/>
      <c r="P145"/>
      <c r="Q145"/>
      <c r="S145"/>
      <c r="T145"/>
      <c r="U145"/>
      <c r="V145"/>
      <c r="Z145"/>
    </row>
    <row r="146" spans="3:26" x14ac:dyDescent="0.25">
      <c r="C146" s="194"/>
      <c r="D146"/>
      <c r="E146"/>
      <c r="F146"/>
      <c r="G146"/>
      <c r="H146"/>
      <c r="I146"/>
      <c r="J146"/>
      <c r="K146"/>
      <c r="L146"/>
      <c r="M146"/>
      <c r="N146"/>
      <c r="O146"/>
      <c r="P146"/>
      <c r="Q146"/>
      <c r="S146"/>
      <c r="T146"/>
      <c r="U146"/>
      <c r="V146"/>
      <c r="Z146"/>
    </row>
    <row r="147" spans="3:26" x14ac:dyDescent="0.25">
      <c r="C147" s="194"/>
      <c r="D147"/>
      <c r="E147"/>
      <c r="F147"/>
      <c r="G147"/>
      <c r="H147"/>
      <c r="I147"/>
      <c r="J147"/>
      <c r="K147"/>
      <c r="L147"/>
      <c r="M147"/>
      <c r="N147"/>
      <c r="O147"/>
      <c r="P147"/>
      <c r="Q147"/>
      <c r="S147"/>
      <c r="T147"/>
      <c r="U147"/>
      <c r="V147"/>
      <c r="Z147"/>
    </row>
    <row r="148" spans="3:26" x14ac:dyDescent="0.25">
      <c r="C148" s="194"/>
      <c r="D148"/>
      <c r="E148"/>
      <c r="F148"/>
      <c r="G148"/>
      <c r="H148"/>
      <c r="I148"/>
      <c r="J148"/>
      <c r="K148"/>
      <c r="L148"/>
      <c r="M148"/>
      <c r="N148"/>
      <c r="O148"/>
      <c r="P148"/>
      <c r="Q148"/>
      <c r="S148"/>
      <c r="T148"/>
      <c r="U148"/>
      <c r="V148"/>
      <c r="Z148"/>
    </row>
    <row r="149" spans="3:26" x14ac:dyDescent="0.25">
      <c r="C149" s="194"/>
      <c r="D149"/>
      <c r="E149"/>
      <c r="F149"/>
      <c r="G149"/>
      <c r="H149"/>
      <c r="I149"/>
      <c r="J149"/>
      <c r="K149"/>
      <c r="L149"/>
      <c r="M149"/>
      <c r="N149"/>
      <c r="O149"/>
      <c r="P149"/>
      <c r="Q149"/>
      <c r="S149"/>
      <c r="T149"/>
      <c r="U149"/>
      <c r="V149"/>
      <c r="Z149"/>
    </row>
    <row r="150" spans="3:26" x14ac:dyDescent="0.25">
      <c r="C150" s="194"/>
      <c r="D150"/>
      <c r="E150"/>
      <c r="F150"/>
      <c r="G150"/>
      <c r="H150"/>
      <c r="I150"/>
      <c r="J150"/>
      <c r="K150"/>
      <c r="L150"/>
      <c r="M150"/>
      <c r="N150"/>
      <c r="O150"/>
      <c r="P150"/>
      <c r="Q150"/>
      <c r="S150"/>
      <c r="T150"/>
      <c r="U150"/>
      <c r="V150"/>
      <c r="Z150"/>
    </row>
    <row r="151" spans="3:26" x14ac:dyDescent="0.25">
      <c r="C151" s="194"/>
      <c r="D151"/>
      <c r="E151"/>
      <c r="F151"/>
      <c r="G151"/>
      <c r="H151"/>
      <c r="I151"/>
      <c r="J151"/>
      <c r="K151"/>
      <c r="L151"/>
      <c r="M151"/>
      <c r="N151"/>
      <c r="O151"/>
      <c r="P151"/>
      <c r="Q151"/>
      <c r="S151"/>
      <c r="T151"/>
      <c r="U151"/>
      <c r="V151"/>
      <c r="Z151"/>
    </row>
    <row r="152" spans="3:26" x14ac:dyDescent="0.25">
      <c r="C152" s="194"/>
      <c r="D152"/>
      <c r="E152"/>
      <c r="F152"/>
      <c r="G152"/>
      <c r="H152"/>
      <c r="I152"/>
      <c r="J152"/>
      <c r="K152"/>
      <c r="L152"/>
      <c r="M152"/>
      <c r="N152"/>
      <c r="O152"/>
      <c r="P152"/>
      <c r="Q152"/>
      <c r="S152"/>
      <c r="T152"/>
      <c r="U152"/>
      <c r="V152"/>
      <c r="Z152"/>
    </row>
    <row r="153" spans="3:26" x14ac:dyDescent="0.25">
      <c r="C153" s="194"/>
      <c r="D153"/>
      <c r="E153"/>
      <c r="F153"/>
      <c r="G153"/>
      <c r="H153"/>
      <c r="I153"/>
      <c r="J153"/>
      <c r="K153"/>
      <c r="L153"/>
      <c r="M153"/>
      <c r="N153"/>
      <c r="O153"/>
      <c r="P153"/>
      <c r="Q153"/>
      <c r="S153"/>
      <c r="T153"/>
      <c r="U153"/>
      <c r="V153"/>
      <c r="Z153"/>
    </row>
    <row r="154" spans="3:26" x14ac:dyDescent="0.25">
      <c r="C154" s="194"/>
      <c r="D154"/>
      <c r="E154"/>
      <c r="F154"/>
      <c r="G154"/>
      <c r="H154"/>
      <c r="I154"/>
      <c r="J154"/>
      <c r="K154"/>
      <c r="L154"/>
      <c r="M154"/>
      <c r="N154"/>
      <c r="O154"/>
      <c r="P154"/>
      <c r="Q154"/>
      <c r="S154"/>
      <c r="T154"/>
      <c r="U154"/>
      <c r="V154"/>
      <c r="Z154"/>
    </row>
    <row r="155" spans="3:26" x14ac:dyDescent="0.25">
      <c r="C155" s="194"/>
      <c r="D155"/>
      <c r="E155"/>
      <c r="F155"/>
      <c r="G155"/>
      <c r="H155"/>
      <c r="I155"/>
      <c r="J155"/>
      <c r="K155"/>
      <c r="L155"/>
      <c r="M155"/>
      <c r="N155"/>
      <c r="O155"/>
      <c r="P155"/>
      <c r="Q155"/>
      <c r="S155"/>
      <c r="T155"/>
      <c r="U155"/>
      <c r="V155"/>
      <c r="Z155"/>
    </row>
    <row r="156" spans="3:26" x14ac:dyDescent="0.25">
      <c r="C156" s="194"/>
      <c r="D156"/>
      <c r="E156"/>
      <c r="F156"/>
      <c r="G156"/>
      <c r="H156"/>
      <c r="I156"/>
      <c r="J156"/>
      <c r="K156"/>
      <c r="L156"/>
      <c r="M156"/>
      <c r="N156"/>
      <c r="O156"/>
      <c r="P156"/>
      <c r="Q156"/>
      <c r="S156"/>
      <c r="T156"/>
      <c r="U156"/>
      <c r="V156"/>
      <c r="Z156"/>
    </row>
    <row r="157" spans="3:26" x14ac:dyDescent="0.25">
      <c r="C157" s="194"/>
      <c r="D157"/>
      <c r="E157"/>
      <c r="F157"/>
      <c r="G157"/>
      <c r="H157"/>
      <c r="I157"/>
      <c r="J157"/>
      <c r="K157"/>
      <c r="L157"/>
      <c r="M157"/>
      <c r="N157"/>
      <c r="O157"/>
      <c r="P157"/>
      <c r="Q157"/>
      <c r="S157"/>
      <c r="T157"/>
      <c r="U157"/>
      <c r="V157"/>
      <c r="Z157"/>
    </row>
    <row r="158" spans="3:26" x14ac:dyDescent="0.25">
      <c r="C158" s="194"/>
      <c r="D158"/>
      <c r="E158"/>
      <c r="F158"/>
      <c r="G158"/>
      <c r="H158"/>
      <c r="I158"/>
      <c r="J158"/>
      <c r="K158"/>
      <c r="L158"/>
      <c r="M158"/>
      <c r="N158"/>
      <c r="O158"/>
      <c r="P158"/>
      <c r="Q158"/>
      <c r="S158"/>
      <c r="T158"/>
      <c r="U158"/>
      <c r="V158"/>
      <c r="Z158"/>
    </row>
    <row r="159" spans="3:26" x14ac:dyDescent="0.25">
      <c r="C159" s="194"/>
      <c r="D159"/>
      <c r="E159"/>
      <c r="F159"/>
      <c r="G159"/>
      <c r="H159"/>
      <c r="I159"/>
      <c r="J159"/>
      <c r="K159"/>
      <c r="L159"/>
      <c r="M159"/>
      <c r="N159"/>
      <c r="O159"/>
      <c r="P159"/>
      <c r="Q159"/>
      <c r="S159"/>
      <c r="T159"/>
      <c r="U159"/>
      <c r="V159"/>
      <c r="Z159"/>
    </row>
    <row r="160" spans="3:26" x14ac:dyDescent="0.25">
      <c r="C160" s="194"/>
      <c r="D160"/>
      <c r="E160"/>
      <c r="F160"/>
      <c r="G160"/>
      <c r="H160"/>
      <c r="I160"/>
      <c r="J160"/>
      <c r="K160"/>
      <c r="L160"/>
      <c r="M160"/>
      <c r="N160"/>
      <c r="O160"/>
      <c r="P160"/>
      <c r="Q160"/>
      <c r="S160"/>
      <c r="T160"/>
      <c r="U160"/>
      <c r="V160"/>
      <c r="Z160"/>
    </row>
    <row r="161" spans="3:26" x14ac:dyDescent="0.25">
      <c r="C161" s="194"/>
      <c r="D161"/>
      <c r="E161"/>
      <c r="F161"/>
      <c r="G161"/>
      <c r="H161"/>
      <c r="I161"/>
      <c r="J161"/>
      <c r="K161"/>
      <c r="L161"/>
      <c r="M161"/>
      <c r="N161"/>
      <c r="O161"/>
      <c r="P161"/>
      <c r="Q161"/>
      <c r="S161"/>
      <c r="T161"/>
      <c r="U161"/>
      <c r="V161"/>
      <c r="Z161"/>
    </row>
    <row r="162" spans="3:26" x14ac:dyDescent="0.25">
      <c r="C162" s="194"/>
      <c r="D162"/>
      <c r="E162"/>
      <c r="F162"/>
      <c r="G162"/>
      <c r="H162"/>
      <c r="I162"/>
      <c r="J162"/>
      <c r="K162"/>
      <c r="L162"/>
      <c r="M162"/>
      <c r="N162"/>
      <c r="O162"/>
      <c r="P162"/>
      <c r="Q162"/>
      <c r="S162"/>
      <c r="T162"/>
      <c r="U162"/>
      <c r="V162"/>
      <c r="Z162"/>
    </row>
    <row r="163" spans="3:26" x14ac:dyDescent="0.25">
      <c r="C163" s="194"/>
      <c r="D163"/>
      <c r="E163"/>
      <c r="F163"/>
      <c r="G163"/>
      <c r="H163"/>
      <c r="I163"/>
      <c r="J163"/>
      <c r="K163"/>
      <c r="L163"/>
      <c r="M163"/>
      <c r="N163"/>
      <c r="O163"/>
      <c r="P163"/>
      <c r="Q163"/>
      <c r="S163"/>
      <c r="T163"/>
      <c r="U163"/>
      <c r="V163"/>
      <c r="Z163"/>
    </row>
    <row r="164" spans="3:26" x14ac:dyDescent="0.25">
      <c r="C164" s="194"/>
      <c r="D164"/>
      <c r="E164"/>
      <c r="F164"/>
      <c r="G164"/>
      <c r="H164"/>
      <c r="I164"/>
      <c r="J164"/>
      <c r="K164"/>
      <c r="L164"/>
      <c r="M164"/>
      <c r="N164"/>
      <c r="O164"/>
      <c r="P164"/>
      <c r="Q164"/>
      <c r="S164"/>
      <c r="T164"/>
      <c r="U164"/>
      <c r="V164"/>
      <c r="Z164"/>
    </row>
    <row r="165" spans="3:26" x14ac:dyDescent="0.25">
      <c r="C165" s="194"/>
      <c r="D165"/>
      <c r="E165"/>
      <c r="F165"/>
      <c r="G165"/>
      <c r="H165"/>
      <c r="I165"/>
      <c r="J165"/>
      <c r="K165"/>
      <c r="L165"/>
      <c r="M165"/>
      <c r="N165"/>
      <c r="O165"/>
      <c r="P165"/>
      <c r="Q165"/>
      <c r="S165"/>
      <c r="T165"/>
      <c r="U165"/>
      <c r="V165"/>
      <c r="Z165"/>
    </row>
    <row r="166" spans="3:26" x14ac:dyDescent="0.25">
      <c r="C166" s="194"/>
      <c r="D166"/>
      <c r="E166"/>
      <c r="F166"/>
      <c r="G166"/>
      <c r="H166"/>
      <c r="I166"/>
      <c r="J166"/>
      <c r="K166"/>
      <c r="L166"/>
      <c r="M166"/>
      <c r="N166"/>
      <c r="O166"/>
      <c r="P166"/>
      <c r="Q166"/>
      <c r="S166"/>
      <c r="T166"/>
      <c r="U166"/>
      <c r="V166"/>
      <c r="Z166"/>
    </row>
    <row r="167" spans="3:26" x14ac:dyDescent="0.25">
      <c r="C167" s="194"/>
      <c r="D167"/>
      <c r="E167"/>
      <c r="F167"/>
      <c r="G167"/>
      <c r="H167"/>
      <c r="I167"/>
      <c r="J167"/>
      <c r="K167"/>
      <c r="L167"/>
      <c r="M167"/>
      <c r="N167"/>
      <c r="O167"/>
      <c r="P167"/>
      <c r="Q167"/>
      <c r="S167"/>
      <c r="T167"/>
      <c r="U167"/>
      <c r="V167"/>
      <c r="Z167"/>
    </row>
    <row r="168" spans="3:26" x14ac:dyDescent="0.25">
      <c r="C168" s="194"/>
      <c r="D168"/>
      <c r="E168"/>
      <c r="F168"/>
      <c r="G168"/>
      <c r="H168"/>
      <c r="I168"/>
      <c r="J168"/>
      <c r="K168"/>
      <c r="L168"/>
      <c r="M168"/>
      <c r="N168"/>
      <c r="O168"/>
      <c r="P168"/>
      <c r="Q168"/>
      <c r="S168"/>
      <c r="T168"/>
      <c r="U168"/>
      <c r="V168"/>
      <c r="Z168"/>
    </row>
    <row r="169" spans="3:26" x14ac:dyDescent="0.25">
      <c r="C169" s="194"/>
      <c r="D169"/>
      <c r="E169"/>
      <c r="F169"/>
      <c r="G169"/>
      <c r="H169"/>
      <c r="I169"/>
      <c r="J169"/>
      <c r="K169"/>
      <c r="L169"/>
      <c r="M169"/>
      <c r="N169"/>
      <c r="O169"/>
      <c r="P169"/>
      <c r="Q169"/>
      <c r="S169"/>
      <c r="T169"/>
      <c r="U169"/>
      <c r="V169"/>
      <c r="Z169"/>
    </row>
    <row r="170" spans="3:26" x14ac:dyDescent="0.25">
      <c r="C170" s="194"/>
      <c r="D170"/>
      <c r="E170"/>
      <c r="F170"/>
      <c r="G170"/>
      <c r="H170"/>
      <c r="I170"/>
      <c r="J170"/>
      <c r="K170"/>
      <c r="L170"/>
      <c r="M170"/>
      <c r="N170"/>
      <c r="O170"/>
      <c r="P170"/>
      <c r="Q170"/>
      <c r="S170"/>
      <c r="T170"/>
      <c r="U170"/>
      <c r="V170"/>
      <c r="Z170"/>
    </row>
  </sheetData>
  <phoneticPr fontId="0" type="noConversion"/>
  <hyperlinks>
    <hyperlink ref="A1" location="'Working Budget with funding det'!A1" display="Main " xr:uid="{00000000-0004-0000-2E00-000000000000}"/>
    <hyperlink ref="B1" location="'Table of Contents'!A1" display="TOC" xr:uid="{00000000-0004-0000-2E00-000001000000}"/>
  </hyperlinks>
  <pageMargins left="0.75" right="0.75" top="1" bottom="1" header="0.5" footer="0.5"/>
  <pageSetup scale="91" fitToHeight="2" orientation="landscape" horizontalDpi="300" verticalDpi="300" r:id="rId1"/>
  <headerFooter alignWithMargins="0">
    <oddFooter>&amp;L&amp;D     &amp;T&amp;C&amp;F&amp;R&amp;A</oddFooter>
  </headerFooter>
  <rowBreaks count="1" manualBreakCount="1">
    <brk id="33"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pageSetUpPr fitToPage="1"/>
  </sheetPr>
  <dimension ref="A1:U30"/>
  <sheetViews>
    <sheetView topLeftCell="A5" workbookViewId="0">
      <selection activeCell="S36" sqref="S36"/>
    </sheetView>
  </sheetViews>
  <sheetFormatPr defaultRowHeight="13.2" x14ac:dyDescent="0.25"/>
  <cols>
    <col min="1" max="1" width="8.77734375" style="712"/>
    <col min="2" max="2" width="35.77734375" customWidth="1"/>
    <col min="3" max="8" width="14.77734375" style="1" hidden="1" customWidth="1"/>
    <col min="9" max="14" width="14.77734375" hidden="1" customWidth="1"/>
    <col min="15" max="21" width="14.77734375" customWidth="1"/>
  </cols>
  <sheetData>
    <row r="1" spans="1:21" x14ac:dyDescent="0.25">
      <c r="A1" s="701" t="s">
        <v>736</v>
      </c>
      <c r="B1" s="290" t="s">
        <v>194</v>
      </c>
      <c r="D1" s="194"/>
      <c r="E1" s="194"/>
      <c r="F1" s="194"/>
      <c r="G1" s="194"/>
      <c r="H1" s="194"/>
      <c r="I1" s="194"/>
      <c r="J1" s="194"/>
      <c r="K1" s="194"/>
      <c r="L1" s="194"/>
      <c r="M1" s="194"/>
      <c r="N1" s="194"/>
      <c r="O1" s="194"/>
      <c r="P1" s="194"/>
      <c r="Q1" s="194"/>
      <c r="S1" s="1"/>
      <c r="T1" s="1"/>
    </row>
    <row r="2" spans="1:21" ht="13.8" x14ac:dyDescent="0.25">
      <c r="A2" s="702" t="s">
        <v>1299</v>
      </c>
      <c r="B2" s="43"/>
      <c r="E2" s="125"/>
      <c r="I2" s="125" t="s">
        <v>706</v>
      </c>
      <c r="J2" s="125"/>
      <c r="K2" s="125"/>
      <c r="L2" s="125"/>
      <c r="M2" s="125"/>
      <c r="N2" s="125"/>
      <c r="O2" s="125"/>
      <c r="P2" s="125"/>
      <c r="Q2" s="125"/>
      <c r="R2" s="58" t="s">
        <v>1336</v>
      </c>
      <c r="S2" s="1"/>
      <c r="T2" s="1"/>
      <c r="U2" s="44" t="s">
        <v>1337</v>
      </c>
    </row>
    <row r="3" spans="1:21" ht="13.8" thickBot="1" x14ac:dyDescent="0.3">
      <c r="A3" s="703"/>
      <c r="B3" s="4"/>
      <c r="C3" s="23"/>
      <c r="D3" s="23"/>
      <c r="E3" s="23"/>
      <c r="F3" s="23"/>
      <c r="G3" s="23"/>
      <c r="H3" s="23"/>
      <c r="I3" s="23"/>
      <c r="J3" s="23"/>
      <c r="K3" s="23"/>
      <c r="L3" s="23"/>
      <c r="M3" s="23"/>
      <c r="N3" s="23"/>
      <c r="O3" s="23"/>
      <c r="P3" s="23"/>
      <c r="Q3" s="23"/>
      <c r="R3" s="4"/>
      <c r="S3" s="23"/>
      <c r="T3" s="23"/>
      <c r="U3" s="4"/>
    </row>
    <row r="4" spans="1:21"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1"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1"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1"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1" ht="13.8" thickTop="1" x14ac:dyDescent="0.25">
      <c r="A8" s="725"/>
      <c r="B8" s="185"/>
      <c r="C8" s="117"/>
      <c r="D8" s="18"/>
      <c r="E8" s="18"/>
      <c r="F8" s="18"/>
      <c r="G8" s="18"/>
      <c r="H8" s="18"/>
      <c r="I8" s="19"/>
      <c r="J8" s="19"/>
      <c r="K8" s="19"/>
      <c r="L8" s="19"/>
      <c r="M8" s="19"/>
      <c r="N8" s="19"/>
      <c r="O8" s="19"/>
      <c r="P8" s="19"/>
      <c r="Q8" s="19"/>
      <c r="R8" s="18"/>
      <c r="S8" s="19"/>
      <c r="T8" s="19"/>
      <c r="U8" s="19"/>
    </row>
    <row r="9" spans="1:21" x14ac:dyDescent="0.25">
      <c r="A9" s="725"/>
      <c r="B9" s="101"/>
      <c r="C9" s="117"/>
      <c r="D9" s="18"/>
      <c r="E9" s="18"/>
      <c r="F9" s="18"/>
      <c r="G9" s="18"/>
      <c r="H9" s="18"/>
      <c r="I9" s="18"/>
      <c r="J9" s="18"/>
      <c r="K9" s="19"/>
      <c r="L9" s="19"/>
      <c r="M9" s="19"/>
      <c r="N9" s="19"/>
      <c r="O9" s="19"/>
      <c r="P9" s="19"/>
      <c r="Q9" s="19"/>
      <c r="R9" s="18"/>
      <c r="S9" s="19"/>
      <c r="T9" s="19"/>
      <c r="U9" s="19"/>
    </row>
    <row r="10" spans="1:21" x14ac:dyDescent="0.25">
      <c r="A10" s="708">
        <v>5700</v>
      </c>
      <c r="B10" s="60" t="s">
        <v>1338</v>
      </c>
      <c r="C10" s="115">
        <v>253.28</v>
      </c>
      <c r="D10" s="13">
        <v>0</v>
      </c>
      <c r="E10" s="13">
        <v>434.33</v>
      </c>
      <c r="F10" s="13">
        <v>0</v>
      </c>
      <c r="G10" s="13">
        <v>0</v>
      </c>
      <c r="H10" s="13">
        <v>253.19</v>
      </c>
      <c r="I10" s="13"/>
      <c r="J10" s="13"/>
      <c r="K10" s="14">
        <v>500</v>
      </c>
      <c r="L10" s="13">
        <v>500</v>
      </c>
      <c r="M10" s="14">
        <v>500</v>
      </c>
      <c r="N10" s="13"/>
      <c r="O10" s="14">
        <v>500</v>
      </c>
      <c r="P10" s="13"/>
      <c r="Q10" s="14">
        <v>500</v>
      </c>
      <c r="R10" s="13"/>
      <c r="S10" s="14">
        <v>500</v>
      </c>
      <c r="T10" s="14"/>
      <c r="U10" s="14"/>
    </row>
    <row r="11" spans="1:21" ht="13.8" thickBot="1" x14ac:dyDescent="0.3">
      <c r="A11" s="708"/>
      <c r="B11" s="584"/>
      <c r="C11" s="116"/>
      <c r="D11" s="15"/>
      <c r="E11" s="15"/>
      <c r="F11" s="15"/>
      <c r="G11" s="15"/>
      <c r="H11" s="15"/>
      <c r="I11" s="15"/>
      <c r="J11" s="15"/>
      <c r="K11" s="16"/>
      <c r="L11" s="15"/>
      <c r="M11" s="16"/>
      <c r="N11" s="15"/>
      <c r="O11" s="16"/>
      <c r="P11" s="15"/>
      <c r="Q11" s="16"/>
      <c r="R11" s="15"/>
      <c r="S11" s="16"/>
      <c r="T11" s="16"/>
      <c r="U11" s="16"/>
    </row>
    <row r="12" spans="1:21" x14ac:dyDescent="0.25">
      <c r="A12" s="708"/>
      <c r="B12" s="61" t="s">
        <v>728</v>
      </c>
      <c r="C12" s="117">
        <f t="shared" ref="C12:S12" si="0">SUM(C9:C11)</f>
        <v>253.28</v>
      </c>
      <c r="D12" s="18">
        <f t="shared" si="0"/>
        <v>0</v>
      </c>
      <c r="E12" s="18">
        <f t="shared" si="0"/>
        <v>434.33</v>
      </c>
      <c r="F12" s="18">
        <f>+F10</f>
        <v>0</v>
      </c>
      <c r="G12" s="18">
        <f>+G10</f>
        <v>0</v>
      </c>
      <c r="H12" s="18">
        <f>+H10</f>
        <v>253.19</v>
      </c>
      <c r="I12" s="18">
        <f t="shared" si="0"/>
        <v>0</v>
      </c>
      <c r="J12" s="18">
        <f t="shared" ref="J12" si="1">SUM(J9:J11)</f>
        <v>0</v>
      </c>
      <c r="K12" s="34">
        <f t="shared" ref="K12:P12" si="2">SUM(K9:K11)</f>
        <v>500</v>
      </c>
      <c r="L12" s="18">
        <f t="shared" si="2"/>
        <v>500</v>
      </c>
      <c r="M12" s="34">
        <f t="shared" si="2"/>
        <v>500</v>
      </c>
      <c r="N12" s="18">
        <f t="shared" ref="N12" si="3">SUM(N9:N11)</f>
        <v>0</v>
      </c>
      <c r="O12" s="34">
        <f t="shared" si="2"/>
        <v>500</v>
      </c>
      <c r="P12" s="18">
        <f t="shared" si="2"/>
        <v>0</v>
      </c>
      <c r="Q12" s="34">
        <f t="shared" ref="Q12" si="4">SUM(Q9:Q11)</f>
        <v>500</v>
      </c>
      <c r="R12" s="18">
        <f t="shared" si="0"/>
        <v>0</v>
      </c>
      <c r="S12" s="34">
        <f t="shared" si="0"/>
        <v>500</v>
      </c>
      <c r="T12" s="34"/>
      <c r="U12" s="34">
        <f>SUM(U9:U11)</f>
        <v>0</v>
      </c>
    </row>
    <row r="13" spans="1:21" x14ac:dyDescent="0.25">
      <c r="A13" s="708"/>
      <c r="B13" s="60"/>
      <c r="C13" s="115"/>
      <c r="D13" s="13"/>
      <c r="E13" s="13"/>
      <c r="F13" s="13"/>
      <c r="G13" s="13"/>
      <c r="H13" s="13"/>
      <c r="I13" s="13"/>
      <c r="J13" s="13"/>
      <c r="K13" s="14"/>
      <c r="L13" s="13"/>
      <c r="M13" s="14"/>
      <c r="N13" s="13"/>
      <c r="O13" s="14"/>
      <c r="P13" s="13"/>
      <c r="Q13" s="14"/>
      <c r="R13" s="13"/>
      <c r="S13" s="14"/>
      <c r="T13" s="14"/>
      <c r="U13" s="14"/>
    </row>
    <row r="14" spans="1:21" x14ac:dyDescent="0.25">
      <c r="A14" s="708"/>
      <c r="B14" s="60"/>
      <c r="C14" s="115"/>
      <c r="D14" s="13"/>
      <c r="E14" s="13"/>
      <c r="F14" s="13"/>
      <c r="G14" s="13"/>
      <c r="H14" s="13"/>
      <c r="I14" s="13"/>
      <c r="J14" s="13"/>
      <c r="K14" s="14"/>
      <c r="L14" s="13"/>
      <c r="M14" s="14"/>
      <c r="N14" s="13"/>
      <c r="O14" s="14"/>
      <c r="P14" s="13"/>
      <c r="Q14" s="14"/>
      <c r="R14" s="13"/>
      <c r="S14" s="14"/>
      <c r="T14" s="14"/>
      <c r="U14" s="14"/>
    </row>
    <row r="15" spans="1:21" ht="13.8" thickBot="1" x14ac:dyDescent="0.3">
      <c r="A15" s="709"/>
      <c r="B15" s="583" t="s">
        <v>1339</v>
      </c>
      <c r="C15" s="577">
        <f t="shared" ref="C15:S15" si="5">+C12</f>
        <v>253.28</v>
      </c>
      <c r="D15" s="21">
        <f t="shared" si="5"/>
        <v>0</v>
      </c>
      <c r="E15" s="21">
        <f>+E12</f>
        <v>434.33</v>
      </c>
      <c r="F15" s="21">
        <f>+F12</f>
        <v>0</v>
      </c>
      <c r="G15" s="21">
        <f>+G12</f>
        <v>0</v>
      </c>
      <c r="H15" s="21">
        <f>+H12</f>
        <v>253.19</v>
      </c>
      <c r="I15" s="21">
        <f t="shared" si="5"/>
        <v>0</v>
      </c>
      <c r="J15" s="21">
        <f t="shared" ref="J15" si="6">+J12</f>
        <v>0</v>
      </c>
      <c r="K15" s="39">
        <f t="shared" ref="K15:R15" si="7">+K12</f>
        <v>500</v>
      </c>
      <c r="L15" s="21">
        <f t="shared" ref="L15:P15" si="8">+L12</f>
        <v>500</v>
      </c>
      <c r="M15" s="39">
        <f t="shared" si="8"/>
        <v>500</v>
      </c>
      <c r="N15" s="21">
        <f t="shared" ref="N15" si="9">+N12</f>
        <v>0</v>
      </c>
      <c r="O15" s="39">
        <f t="shared" si="8"/>
        <v>500</v>
      </c>
      <c r="P15" s="39">
        <f t="shared" si="8"/>
        <v>0</v>
      </c>
      <c r="Q15" s="39">
        <f t="shared" ref="Q15" si="10">+Q12</f>
        <v>500</v>
      </c>
      <c r="R15" s="39">
        <f t="shared" si="7"/>
        <v>0</v>
      </c>
      <c r="S15" s="39">
        <f t="shared" si="5"/>
        <v>500</v>
      </c>
      <c r="T15" s="39">
        <f>+S15</f>
        <v>500</v>
      </c>
      <c r="U15" s="39">
        <v>500</v>
      </c>
    </row>
    <row r="16" spans="1:21" ht="13.8" thickTop="1" x14ac:dyDescent="0.25">
      <c r="A16" s="703"/>
      <c r="B16" s="584"/>
      <c r="C16" s="24"/>
      <c r="D16" s="24"/>
      <c r="E16" s="24"/>
      <c r="F16" s="24"/>
      <c r="G16" s="24"/>
      <c r="H16" s="24"/>
      <c r="I16" s="24"/>
      <c r="J16" s="24"/>
      <c r="K16" s="24"/>
      <c r="L16" s="24"/>
      <c r="M16" s="24"/>
      <c r="N16" s="24"/>
      <c r="O16" s="24"/>
      <c r="P16" s="24"/>
      <c r="Q16" s="24"/>
      <c r="R16" s="181" t="s">
        <v>732</v>
      </c>
      <c r="S16" s="1001">
        <f>+S15-Q15</f>
        <v>0</v>
      </c>
      <c r="T16" s="1002">
        <f>ROUND((+S16/Q15),4)</f>
        <v>0</v>
      </c>
      <c r="U16" s="23"/>
    </row>
    <row r="17" spans="1:21" ht="13.8" thickBot="1" x14ac:dyDescent="0.3">
      <c r="A17" s="703"/>
      <c r="B17" s="584"/>
      <c r="C17" s="23"/>
      <c r="D17" s="23"/>
      <c r="E17" s="23"/>
      <c r="F17" s="23"/>
      <c r="G17" s="23"/>
      <c r="H17" s="23"/>
      <c r="I17" s="23"/>
      <c r="J17" s="23"/>
      <c r="K17" s="23"/>
      <c r="L17" s="23"/>
      <c r="M17" s="23"/>
      <c r="N17" s="23"/>
      <c r="O17" s="23"/>
      <c r="P17" s="23"/>
      <c r="Q17" s="23"/>
      <c r="R17" s="25"/>
      <c r="S17" s="23"/>
      <c r="T17" s="23"/>
      <c r="U17" s="25"/>
    </row>
    <row r="18" spans="1:21" ht="13.8" thickTop="1" x14ac:dyDescent="0.25">
      <c r="A18" s="718"/>
      <c r="B18" s="585"/>
      <c r="C18" s="578" t="s">
        <v>256</v>
      </c>
      <c r="D18" s="351" t="s">
        <v>256</v>
      </c>
      <c r="E18" s="351" t="s">
        <v>256</v>
      </c>
      <c r="O18" s="352" t="s">
        <v>255</v>
      </c>
      <c r="P18" s="353" t="s">
        <v>716</v>
      </c>
      <c r="Q18" s="354" t="s">
        <v>730</v>
      </c>
      <c r="R18" s="353" t="s">
        <v>731</v>
      </c>
      <c r="S18" s="355"/>
      <c r="T18" s="550"/>
      <c r="U18" s="354"/>
    </row>
    <row r="19" spans="1:21" ht="13.8" thickBot="1" x14ac:dyDescent="0.3">
      <c r="A19" s="719" t="s">
        <v>715</v>
      </c>
      <c r="B19" s="356"/>
      <c r="C19" s="357" t="s">
        <v>243</v>
      </c>
      <c r="D19" s="357" t="s">
        <v>244</v>
      </c>
      <c r="E19" s="358" t="s">
        <v>245</v>
      </c>
      <c r="O19" s="359" t="s">
        <v>469</v>
      </c>
      <c r="P19" s="359" t="s">
        <v>1345</v>
      </c>
      <c r="Q19" s="358" t="s">
        <v>732</v>
      </c>
      <c r="R19" s="360" t="s">
        <v>732</v>
      </c>
      <c r="S19" s="361" t="s">
        <v>733</v>
      </c>
      <c r="T19" s="551"/>
      <c r="U19" s="359"/>
    </row>
    <row r="20" spans="1:21" ht="13.8" thickTop="1" x14ac:dyDescent="0.25">
      <c r="A20" s="726"/>
      <c r="B20" s="376"/>
      <c r="C20" s="365"/>
      <c r="D20" s="365"/>
      <c r="E20" s="365"/>
      <c r="O20" s="365"/>
      <c r="P20" s="365"/>
      <c r="Q20" s="366"/>
      <c r="R20" s="365"/>
      <c r="S20" s="366"/>
      <c r="T20" s="366"/>
      <c r="U20" s="366"/>
    </row>
    <row r="21" spans="1:21" x14ac:dyDescent="0.25">
      <c r="A21" s="724">
        <v>5700</v>
      </c>
      <c r="B21" s="369" t="s">
        <v>1338</v>
      </c>
      <c r="C21" s="373">
        <v>253.28</v>
      </c>
      <c r="D21" s="373">
        <v>0</v>
      </c>
      <c r="E21" s="373">
        <v>434.33</v>
      </c>
      <c r="O21" s="372">
        <f>+Q10</f>
        <v>500</v>
      </c>
      <c r="P21" s="393">
        <f>+S10</f>
        <v>500</v>
      </c>
      <c r="Q21" s="396">
        <f>+P21-O21</f>
        <v>0</v>
      </c>
      <c r="R21" s="374" t="str">
        <f>IF(O21+P21&lt;&gt;0,IF(O21&lt;&gt;0,IF(Q21&lt;&gt;0,ROUND((+Q21/O21),4),""),1),"")</f>
        <v/>
      </c>
      <c r="S21" s="367"/>
      <c r="T21" s="553"/>
      <c r="U21" s="368"/>
    </row>
    <row r="22" spans="1:21" x14ac:dyDescent="0.25">
      <c r="A22" s="703"/>
      <c r="B22" s="4"/>
      <c r="C22" s="23"/>
      <c r="D22" s="23"/>
      <c r="E22" s="23"/>
      <c r="F22" s="23"/>
      <c r="G22" s="23"/>
      <c r="O22" s="23"/>
      <c r="P22" s="23"/>
      <c r="Q22" s="23"/>
      <c r="R22" s="25"/>
      <c r="S22" s="23"/>
      <c r="T22" s="23"/>
      <c r="U22" s="23"/>
    </row>
    <row r="23" spans="1:21" x14ac:dyDescent="0.25">
      <c r="A23" s="703"/>
      <c r="B23" s="4" t="s">
        <v>735</v>
      </c>
      <c r="C23" s="23"/>
      <c r="D23" s="23"/>
      <c r="E23" s="23"/>
      <c r="F23" s="23"/>
      <c r="G23" s="23"/>
      <c r="O23" s="597">
        <f>SUM(O21:O22)</f>
        <v>500</v>
      </c>
      <c r="P23" s="597">
        <f>SUM(P21:P22)</f>
        <v>500</v>
      </c>
      <c r="Q23" s="25">
        <f>+P23-O23</f>
        <v>0</v>
      </c>
      <c r="R23" s="598" t="str">
        <f>IF(O23+P23&lt;&gt;0,IF(O23&lt;&gt;0,IF(Q23&lt;&gt;0,ROUND((+Q23/O23),4),""),1),"")</f>
        <v/>
      </c>
      <c r="S23" s="23"/>
      <c r="T23" s="23"/>
      <c r="U23" s="23"/>
    </row>
    <row r="24" spans="1:21" x14ac:dyDescent="0.25">
      <c r="A24" s="703"/>
      <c r="B24" s="4"/>
      <c r="C24" s="23"/>
      <c r="D24" s="23"/>
      <c r="E24" s="23"/>
      <c r="F24" s="23"/>
      <c r="G24" s="23"/>
      <c r="H24" s="23"/>
      <c r="I24" s="23"/>
      <c r="J24" s="23"/>
      <c r="K24" s="23"/>
      <c r="L24" s="23"/>
      <c r="M24" s="23"/>
      <c r="N24" s="23"/>
      <c r="O24" s="23"/>
      <c r="P24" s="23"/>
      <c r="Q24" s="23"/>
      <c r="R24" s="25"/>
      <c r="S24" s="23"/>
      <c r="T24" s="23"/>
      <c r="U24" s="23"/>
    </row>
    <row r="25" spans="1:21" x14ac:dyDescent="0.25">
      <c r="A25" s="703"/>
      <c r="B25" s="4"/>
      <c r="C25" s="23"/>
      <c r="D25" s="23"/>
      <c r="E25" s="23"/>
      <c r="F25" s="23"/>
      <c r="G25" s="23"/>
      <c r="H25" s="23"/>
      <c r="I25" s="23"/>
      <c r="J25" s="23"/>
      <c r="K25" s="23"/>
      <c r="L25" s="23"/>
      <c r="M25" s="23"/>
      <c r="N25" s="23"/>
      <c r="O25" s="23"/>
      <c r="P25" s="23"/>
      <c r="Q25" s="23"/>
      <c r="R25" s="25"/>
      <c r="S25" s="23"/>
      <c r="T25" s="23"/>
      <c r="U25" s="23"/>
    </row>
    <row r="26" spans="1:21" x14ac:dyDescent="0.25">
      <c r="A26" s="703"/>
      <c r="B26" s="4"/>
      <c r="C26" s="23"/>
      <c r="D26" s="23"/>
      <c r="E26" s="23"/>
      <c r="F26" s="23"/>
      <c r="G26" s="23"/>
      <c r="H26" s="23"/>
      <c r="I26" s="23"/>
      <c r="J26" s="23"/>
      <c r="K26" s="23"/>
      <c r="L26" s="23"/>
      <c r="M26" s="23"/>
      <c r="N26" s="23"/>
      <c r="O26" s="23"/>
      <c r="P26" s="23"/>
      <c r="Q26" s="23"/>
      <c r="R26" s="25"/>
      <c r="S26" s="23"/>
      <c r="T26" s="23"/>
      <c r="U26" s="23"/>
    </row>
    <row r="27" spans="1:21" x14ac:dyDescent="0.25">
      <c r="A27" s="703"/>
      <c r="B27" s="4"/>
      <c r="C27" s="23"/>
      <c r="D27" s="23"/>
      <c r="E27" s="23"/>
      <c r="F27" s="23"/>
      <c r="G27" s="23"/>
      <c r="H27" s="23"/>
      <c r="I27" s="23"/>
      <c r="J27" s="23"/>
      <c r="K27" s="23"/>
      <c r="L27" s="23"/>
      <c r="M27" s="23"/>
      <c r="N27" s="23"/>
      <c r="O27" s="23"/>
      <c r="P27" s="23"/>
      <c r="Q27" s="23"/>
      <c r="R27" s="25"/>
      <c r="S27" s="23"/>
      <c r="T27" s="23"/>
      <c r="U27" s="23"/>
    </row>
    <row r="28" spans="1:21" x14ac:dyDescent="0.25">
      <c r="A28" s="703"/>
      <c r="B28" s="4"/>
      <c r="C28" s="23"/>
      <c r="D28" s="23"/>
      <c r="E28" s="23"/>
      <c r="F28" s="23"/>
      <c r="G28" s="23"/>
      <c r="H28" s="23"/>
      <c r="I28" s="23"/>
      <c r="J28" s="23"/>
      <c r="K28" s="23"/>
      <c r="L28" s="23"/>
      <c r="M28" s="23"/>
      <c r="N28" s="23"/>
      <c r="O28" s="23"/>
      <c r="P28" s="23"/>
      <c r="Q28" s="23"/>
      <c r="R28" s="25"/>
      <c r="S28" s="23"/>
      <c r="T28" s="23"/>
      <c r="U28" s="23"/>
    </row>
    <row r="29" spans="1:21" x14ac:dyDescent="0.25">
      <c r="A29" s="703"/>
      <c r="B29" s="4"/>
      <c r="C29" s="23"/>
      <c r="D29" s="23"/>
      <c r="E29" s="23"/>
      <c r="F29" s="23"/>
      <c r="G29" s="23"/>
      <c r="H29" s="23"/>
      <c r="I29" s="23"/>
      <c r="J29" s="23"/>
      <c r="K29" s="23"/>
      <c r="L29" s="23"/>
      <c r="M29" s="23"/>
      <c r="N29" s="23"/>
      <c r="O29" s="23"/>
      <c r="P29" s="23"/>
      <c r="Q29" s="23"/>
      <c r="R29" s="25"/>
      <c r="S29" s="23"/>
      <c r="T29" s="23"/>
      <c r="U29" s="23"/>
    </row>
    <row r="30" spans="1:21" x14ac:dyDescent="0.25">
      <c r="A30" s="703"/>
      <c r="B30" s="4"/>
      <c r="C30" s="23"/>
      <c r="D30" s="23"/>
      <c r="E30" s="23"/>
      <c r="F30" s="23"/>
      <c r="G30" s="23"/>
      <c r="H30" s="23"/>
      <c r="I30" s="23"/>
      <c r="J30" s="23"/>
      <c r="K30" s="23"/>
      <c r="L30" s="23"/>
      <c r="M30" s="23"/>
      <c r="N30" s="23"/>
      <c r="O30" s="23"/>
      <c r="P30" s="23"/>
      <c r="Q30" s="23"/>
      <c r="R30" s="25"/>
      <c r="S30" s="23"/>
      <c r="T30" s="23"/>
      <c r="U30" s="23"/>
    </row>
  </sheetData>
  <phoneticPr fontId="15" type="noConversion"/>
  <hyperlinks>
    <hyperlink ref="A1" location="'Working Budget with funding det'!A1" display="Main " xr:uid="{00000000-0004-0000-2F00-000000000000}"/>
    <hyperlink ref="B1" location="'Table of Contents'!A1" display="TOC" xr:uid="{00000000-0004-0000-2F00-000001000000}"/>
  </hyperlinks>
  <pageMargins left="0.75" right="0.75" top="1" bottom="1" header="0.5" footer="0.5"/>
  <pageSetup scale="91" orientation="landscape" r:id="rId1"/>
  <headerFooter alignWithMargins="0">
    <oddFooter>&amp;L&amp;D &amp;T&amp;C&amp;F&amp;R&amp;A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pageSetUpPr fitToPage="1"/>
  </sheetPr>
  <dimension ref="A1:Y186"/>
  <sheetViews>
    <sheetView workbookViewId="0">
      <selection activeCell="R10" sqref="R10"/>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0" width="14.33203125" style="1" customWidth="1"/>
    <col min="21" max="21" width="14.44140625" style="1" customWidth="1"/>
    <col min="22" max="24" width="14.44140625" customWidth="1"/>
    <col min="25" max="25" width="14.6640625" style="2"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1299</v>
      </c>
      <c r="B2" s="43"/>
      <c r="D2" s="194"/>
      <c r="E2" s="194"/>
      <c r="F2" s="194"/>
      <c r="G2" s="194"/>
      <c r="H2" s="194"/>
      <c r="I2" s="125" t="s">
        <v>706</v>
      </c>
      <c r="J2" s="125"/>
      <c r="K2" s="125"/>
      <c r="L2" s="125"/>
      <c r="M2" s="125"/>
      <c r="N2" s="125"/>
      <c r="O2" s="125"/>
      <c r="P2" s="125"/>
      <c r="Q2" s="125"/>
      <c r="R2" s="58" t="s">
        <v>558</v>
      </c>
      <c r="U2" s="336" t="s">
        <v>1340</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9"/>
      <c r="J8" s="19"/>
      <c r="K8" s="19"/>
      <c r="L8" s="19"/>
      <c r="M8" s="19"/>
      <c r="N8" s="19"/>
      <c r="O8" s="19"/>
      <c r="P8" s="19"/>
      <c r="Q8" s="19"/>
      <c r="R8" s="18"/>
      <c r="S8" s="19"/>
      <c r="T8" s="19"/>
      <c r="U8" s="19"/>
    </row>
    <row r="9" spans="1:24" x14ac:dyDescent="0.25">
      <c r="A9" s="725">
        <v>5211</v>
      </c>
      <c r="B9" s="101" t="s">
        <v>1252</v>
      </c>
      <c r="C9" s="117">
        <v>425.76</v>
      </c>
      <c r="D9" s="18">
        <v>393.01</v>
      </c>
      <c r="E9" s="18">
        <v>453.98</v>
      </c>
      <c r="F9" s="18">
        <v>478.7</v>
      </c>
      <c r="G9" s="18">
        <v>443.64</v>
      </c>
      <c r="H9" s="18">
        <v>430.41</v>
      </c>
      <c r="I9" s="18">
        <v>412.06</v>
      </c>
      <c r="J9" s="18">
        <v>426.87</v>
      </c>
      <c r="K9" s="19">
        <v>500</v>
      </c>
      <c r="L9" s="18">
        <v>432.19</v>
      </c>
      <c r="M9" s="19">
        <v>500</v>
      </c>
      <c r="N9" s="18">
        <v>459.32</v>
      </c>
      <c r="O9" s="19">
        <f>100+500</f>
        <v>600</v>
      </c>
      <c r="P9" s="18">
        <v>543.16</v>
      </c>
      <c r="Q9" s="19">
        <v>800</v>
      </c>
      <c r="R9" s="18">
        <v>193.03</v>
      </c>
      <c r="S9" s="19">
        <v>800</v>
      </c>
      <c r="T9" s="19"/>
      <c r="U9" s="19"/>
    </row>
    <row r="10" spans="1:24" ht="13.8" thickBot="1" x14ac:dyDescent="0.3">
      <c r="A10" s="708">
        <v>5700</v>
      </c>
      <c r="B10" s="60" t="s">
        <v>1338</v>
      </c>
      <c r="C10" s="116">
        <v>804.49</v>
      </c>
      <c r="D10" s="15">
        <v>426.4</v>
      </c>
      <c r="E10" s="15">
        <v>595.45000000000005</v>
      </c>
      <c r="F10" s="15">
        <v>710.92</v>
      </c>
      <c r="G10" s="15">
        <v>745.32</v>
      </c>
      <c r="H10" s="15">
        <v>769.59</v>
      </c>
      <c r="I10" s="15">
        <v>388.71</v>
      </c>
      <c r="J10" s="15">
        <v>510.75</v>
      </c>
      <c r="K10" s="16">
        <v>800</v>
      </c>
      <c r="L10" s="15">
        <v>359.7</v>
      </c>
      <c r="M10" s="16">
        <v>800</v>
      </c>
      <c r="N10" s="15">
        <v>732.89</v>
      </c>
      <c r="O10" s="16">
        <v>800</v>
      </c>
      <c r="P10" s="15">
        <v>799.79</v>
      </c>
      <c r="Q10" s="16">
        <v>800</v>
      </c>
      <c r="R10" s="15"/>
      <c r="S10" s="16">
        <v>800</v>
      </c>
      <c r="T10" s="16"/>
      <c r="U10" s="16"/>
    </row>
    <row r="11" spans="1:24" x14ac:dyDescent="0.25">
      <c r="A11" s="708"/>
      <c r="B11" s="61" t="s">
        <v>728</v>
      </c>
      <c r="C11" s="117">
        <f t="shared" ref="C11:U11" si="0">SUM(C9:C10)</f>
        <v>1230.25</v>
      </c>
      <c r="D11" s="18">
        <f t="shared" si="0"/>
        <v>819.41</v>
      </c>
      <c r="E11" s="18">
        <f t="shared" si="0"/>
        <v>1049.43</v>
      </c>
      <c r="F11" s="18">
        <f t="shared" si="0"/>
        <v>1189.6199999999999</v>
      </c>
      <c r="G11" s="18">
        <f t="shared" si="0"/>
        <v>1188.96</v>
      </c>
      <c r="H11" s="18">
        <f t="shared" si="0"/>
        <v>1200</v>
      </c>
      <c r="I11" s="18">
        <f t="shared" si="0"/>
        <v>800.77</v>
      </c>
      <c r="J11" s="18">
        <f t="shared" si="0"/>
        <v>937.62</v>
      </c>
      <c r="K11" s="34">
        <f t="shared" si="0"/>
        <v>1300</v>
      </c>
      <c r="L11" s="18">
        <f t="shared" ref="L11:O11" si="1">SUM(L9:L10)</f>
        <v>791.89</v>
      </c>
      <c r="M11" s="34">
        <f t="shared" si="1"/>
        <v>1300</v>
      </c>
      <c r="N11" s="18">
        <f t="shared" ref="N11" si="2">SUM(N9:N10)</f>
        <v>1192.21</v>
      </c>
      <c r="O11" s="34">
        <f t="shared" si="1"/>
        <v>1400</v>
      </c>
      <c r="P11" s="18">
        <f t="shared" ref="P11" si="3">SUM(P9:P10)</f>
        <v>1342.9499999999998</v>
      </c>
      <c r="Q11" s="34">
        <f t="shared" ref="Q11" si="4">SUM(Q9:Q10)</f>
        <v>1600</v>
      </c>
      <c r="R11" s="18">
        <f t="shared" si="0"/>
        <v>193.03</v>
      </c>
      <c r="S11" s="34">
        <f t="shared" si="0"/>
        <v>1600</v>
      </c>
      <c r="T11" s="34"/>
      <c r="U11" s="34">
        <f t="shared" si="0"/>
        <v>0</v>
      </c>
    </row>
    <row r="12" spans="1:24" x14ac:dyDescent="0.25">
      <c r="A12" s="708"/>
      <c r="B12" s="60"/>
      <c r="C12" s="115"/>
      <c r="D12" s="13"/>
      <c r="E12" s="13"/>
      <c r="F12" s="13"/>
      <c r="G12" s="13"/>
      <c r="H12" s="13"/>
      <c r="I12" s="13"/>
      <c r="J12" s="13"/>
      <c r="K12" s="14"/>
      <c r="L12" s="13"/>
      <c r="M12" s="14"/>
      <c r="N12" s="13"/>
      <c r="O12" s="14"/>
      <c r="P12" s="13"/>
      <c r="Q12" s="14"/>
      <c r="R12" s="13"/>
      <c r="S12" s="14"/>
      <c r="T12" s="14"/>
      <c r="U12" s="14"/>
    </row>
    <row r="13" spans="1:24" x14ac:dyDescent="0.25">
      <c r="A13" s="708"/>
      <c r="B13" s="60"/>
      <c r="C13" s="115"/>
      <c r="D13" s="13"/>
      <c r="E13" s="13"/>
      <c r="F13" s="13"/>
      <c r="G13" s="13"/>
      <c r="H13" s="13"/>
      <c r="I13" s="13"/>
      <c r="J13" s="13"/>
      <c r="K13" s="14"/>
      <c r="L13" s="13"/>
      <c r="M13" s="14"/>
      <c r="N13" s="13"/>
      <c r="O13" s="14"/>
      <c r="P13" s="13"/>
      <c r="Q13" s="14"/>
      <c r="R13" s="13"/>
      <c r="S13" s="14"/>
      <c r="T13" s="14"/>
      <c r="U13" s="14"/>
    </row>
    <row r="14" spans="1:24" ht="13.8" thickBot="1" x14ac:dyDescent="0.3">
      <c r="A14" s="709"/>
      <c r="B14" s="583" t="s">
        <v>1341</v>
      </c>
      <c r="C14" s="577">
        <f t="shared" ref="C14:S14" si="5">+C11</f>
        <v>1230.25</v>
      </c>
      <c r="D14" s="21">
        <f t="shared" si="5"/>
        <v>819.41</v>
      </c>
      <c r="E14" s="21">
        <f>+E11</f>
        <v>1049.43</v>
      </c>
      <c r="F14" s="21">
        <f>+F11</f>
        <v>1189.6199999999999</v>
      </c>
      <c r="G14" s="21">
        <f>+G11</f>
        <v>1188.96</v>
      </c>
      <c r="H14" s="21">
        <f>+H11</f>
        <v>1200</v>
      </c>
      <c r="I14" s="21">
        <f t="shared" si="5"/>
        <v>800.77</v>
      </c>
      <c r="J14" s="21">
        <f t="shared" ref="J14" si="6">+J11</f>
        <v>937.62</v>
      </c>
      <c r="K14" s="39">
        <f t="shared" ref="K14:O14" si="7">+K11</f>
        <v>1300</v>
      </c>
      <c r="L14" s="21">
        <f t="shared" si="7"/>
        <v>791.89</v>
      </c>
      <c r="M14" s="39">
        <f t="shared" si="7"/>
        <v>1300</v>
      </c>
      <c r="N14" s="21">
        <f t="shared" ref="N14" si="8">+N11</f>
        <v>1192.21</v>
      </c>
      <c r="O14" s="39">
        <f t="shared" si="7"/>
        <v>1400</v>
      </c>
      <c r="P14" s="21">
        <f t="shared" ref="P14" si="9">+P11</f>
        <v>1342.9499999999998</v>
      </c>
      <c r="Q14" s="39">
        <f t="shared" ref="Q14" si="10">+Q11</f>
        <v>1600</v>
      </c>
      <c r="R14" s="21">
        <f t="shared" si="5"/>
        <v>193.03</v>
      </c>
      <c r="S14" s="39">
        <f t="shared" si="5"/>
        <v>1600</v>
      </c>
      <c r="T14" s="39">
        <f>+S14</f>
        <v>1600</v>
      </c>
      <c r="U14" s="39">
        <f>+S14</f>
        <v>1600</v>
      </c>
    </row>
    <row r="15" spans="1:24" ht="13.8" thickTop="1" x14ac:dyDescent="0.25">
      <c r="A15" s="703"/>
      <c r="B15" s="584"/>
      <c r="C15" s="24"/>
      <c r="D15" s="24"/>
      <c r="E15" s="24"/>
      <c r="F15" s="24"/>
      <c r="G15" s="24"/>
      <c r="H15" s="24"/>
      <c r="I15" s="24"/>
      <c r="J15" s="24"/>
      <c r="K15" s="24"/>
      <c r="L15" s="24"/>
      <c r="M15" s="24"/>
      <c r="N15" s="24"/>
      <c r="O15" s="24"/>
      <c r="P15" s="24"/>
      <c r="Q15" s="24"/>
      <c r="R15" s="181" t="s">
        <v>732</v>
      </c>
      <c r="S15" s="1001">
        <f>+S14-Q14</f>
        <v>0</v>
      </c>
      <c r="T15" s="1002">
        <f>ROUND((+S15/Q14),4)</f>
        <v>0</v>
      </c>
      <c r="U15" s="23"/>
      <c r="V15" s="25"/>
      <c r="W15" s="25"/>
      <c r="X15" s="25"/>
    </row>
    <row r="16" spans="1:24" ht="13.8" thickBot="1" x14ac:dyDescent="0.3">
      <c r="A16" s="703"/>
      <c r="B16" s="584"/>
      <c r="C16" s="23"/>
      <c r="D16" s="23"/>
      <c r="E16" s="23"/>
      <c r="F16" s="23"/>
      <c r="G16" s="23"/>
      <c r="H16" s="23"/>
      <c r="I16" s="23"/>
      <c r="J16" s="23"/>
      <c r="K16" s="23"/>
      <c r="L16" s="23"/>
      <c r="M16" s="23"/>
      <c r="N16" s="23"/>
      <c r="O16" s="23"/>
      <c r="P16" s="23"/>
      <c r="Q16" s="23"/>
      <c r="R16" s="25"/>
      <c r="S16" s="23"/>
      <c r="T16" s="23"/>
      <c r="U16" s="25"/>
      <c r="V16" s="25"/>
      <c r="W16" s="25"/>
      <c r="X16" s="25"/>
    </row>
    <row r="17" spans="1:24" ht="13.8" thickTop="1" x14ac:dyDescent="0.25">
      <c r="A17" s="718"/>
      <c r="B17" s="585"/>
      <c r="C17" s="578" t="s">
        <v>256</v>
      </c>
      <c r="D17" s="351" t="s">
        <v>256</v>
      </c>
      <c r="E17" s="351"/>
      <c r="F17" s="194"/>
      <c r="G17" s="194"/>
      <c r="H17" s="194"/>
      <c r="I17" s="194"/>
      <c r="J17" s="194"/>
      <c r="K17" s="194"/>
      <c r="L17" s="194"/>
      <c r="O17" s="352" t="s">
        <v>255</v>
      </c>
      <c r="P17" s="353" t="s">
        <v>716</v>
      </c>
      <c r="Q17" s="354" t="s">
        <v>730</v>
      </c>
      <c r="R17" s="353" t="s">
        <v>731</v>
      </c>
      <c r="S17" s="355"/>
      <c r="T17" s="550"/>
      <c r="U17" s="354"/>
      <c r="V17" s="25"/>
      <c r="W17" s="25"/>
      <c r="X17" s="25"/>
    </row>
    <row r="18" spans="1:24" ht="13.8" thickBot="1" x14ac:dyDescent="0.3">
      <c r="A18" s="719" t="s">
        <v>715</v>
      </c>
      <c r="B18" s="356"/>
      <c r="C18" s="403" t="s">
        <v>243</v>
      </c>
      <c r="D18" s="357" t="s">
        <v>244</v>
      </c>
      <c r="E18" s="403"/>
      <c r="F18" s="194"/>
      <c r="G18" s="194"/>
      <c r="H18" s="194"/>
      <c r="I18" s="194"/>
      <c r="J18" s="194"/>
      <c r="K18" s="194"/>
      <c r="L18" s="194"/>
      <c r="O18" s="359" t="s">
        <v>469</v>
      </c>
      <c r="P18" s="359" t="s">
        <v>1345</v>
      </c>
      <c r="Q18" s="358" t="s">
        <v>732</v>
      </c>
      <c r="R18" s="360" t="s">
        <v>732</v>
      </c>
      <c r="S18" s="361" t="s">
        <v>733</v>
      </c>
      <c r="T18" s="551"/>
      <c r="U18" s="359"/>
      <c r="V18" s="25"/>
      <c r="W18" s="25"/>
      <c r="X18" s="25"/>
    </row>
    <row r="19" spans="1:24" ht="13.8" thickTop="1" x14ac:dyDescent="0.25">
      <c r="A19" s="726"/>
      <c r="B19" s="376"/>
      <c r="C19" s="365"/>
      <c r="D19" s="365"/>
      <c r="E19" s="365"/>
      <c r="F19" s="194"/>
      <c r="G19" s="194"/>
      <c r="H19" s="194"/>
      <c r="I19" s="194"/>
      <c r="J19" s="194"/>
      <c r="K19" s="194"/>
      <c r="L19" s="194"/>
      <c r="O19" s="366"/>
      <c r="P19" s="365"/>
      <c r="Q19" s="366"/>
      <c r="R19" s="365"/>
      <c r="S19" s="367"/>
      <c r="T19" s="553"/>
      <c r="U19" s="368"/>
      <c r="V19" s="25"/>
      <c r="W19" s="25"/>
      <c r="X19" s="25"/>
    </row>
    <row r="20" spans="1:24" x14ac:dyDescent="0.25">
      <c r="A20" s="726">
        <v>5211</v>
      </c>
      <c r="B20" s="376" t="s">
        <v>1252</v>
      </c>
      <c r="C20" s="365">
        <v>425.76</v>
      </c>
      <c r="D20" s="365">
        <v>393.01</v>
      </c>
      <c r="E20" s="365"/>
      <c r="F20" s="194"/>
      <c r="G20" s="194"/>
      <c r="H20" s="194"/>
      <c r="I20" s="194"/>
      <c r="J20" s="194"/>
      <c r="K20" s="194"/>
      <c r="L20" s="194"/>
      <c r="O20" s="366">
        <f>+Q9</f>
        <v>800</v>
      </c>
      <c r="P20" s="392">
        <f>+S9</f>
        <v>800</v>
      </c>
      <c r="Q20" s="396">
        <f>+P20-O20</f>
        <v>0</v>
      </c>
      <c r="R20" s="374" t="str">
        <f>IF(O20+P20&lt;&gt;0,IF(O20&lt;&gt;0,IF(Q20&lt;&gt;0,ROUND((+Q20/O20),4),""),1),"")</f>
        <v/>
      </c>
      <c r="S20" s="367"/>
      <c r="T20" s="553"/>
      <c r="U20" s="368"/>
      <c r="V20" s="25"/>
      <c r="W20" s="25"/>
      <c r="X20" s="25"/>
    </row>
    <row r="21" spans="1:24" ht="13.8" thickBot="1" x14ac:dyDescent="0.3">
      <c r="A21" s="724">
        <v>5700</v>
      </c>
      <c r="B21" s="369" t="s">
        <v>1338</v>
      </c>
      <c r="C21" s="371">
        <v>804.49</v>
      </c>
      <c r="D21" s="371">
        <v>426.4</v>
      </c>
      <c r="E21" s="371"/>
      <c r="F21" s="194"/>
      <c r="G21" s="194"/>
      <c r="H21" s="194"/>
      <c r="I21" s="194"/>
      <c r="J21" s="194"/>
      <c r="K21" s="194"/>
      <c r="L21" s="194"/>
      <c r="O21" s="381">
        <f>+Q10</f>
        <v>800</v>
      </c>
      <c r="P21" s="526">
        <f>+S10</f>
        <v>800</v>
      </c>
      <c r="Q21" s="396">
        <f>+P21-O21</f>
        <v>0</v>
      </c>
      <c r="R21" s="374" t="str">
        <f>IF(O21+P21&lt;&gt;0,IF(O21&lt;&gt;0,IF(Q21&lt;&gt;0,ROUND((+Q21/O21),4),""),1),"")</f>
        <v/>
      </c>
      <c r="S21" s="367"/>
      <c r="T21" s="553"/>
      <c r="U21" s="368"/>
      <c r="V21" s="25"/>
      <c r="W21" s="25"/>
      <c r="X21" s="25"/>
    </row>
    <row r="22" spans="1:24" x14ac:dyDescent="0.25">
      <c r="A22" s="703"/>
      <c r="B22" s="4"/>
      <c r="C22" s="23"/>
      <c r="D22" s="23"/>
      <c r="E22" s="23"/>
      <c r="F22" s="23"/>
      <c r="G22" s="23"/>
      <c r="H22" s="194"/>
      <c r="I22" s="194"/>
      <c r="J22" s="194"/>
      <c r="K22" s="194"/>
      <c r="L22" s="194"/>
      <c r="O22" s="23"/>
      <c r="P22" s="23"/>
      <c r="Q22" s="23"/>
      <c r="R22" s="25"/>
      <c r="S22" s="23"/>
      <c r="T22" s="23"/>
      <c r="U22" s="23"/>
      <c r="V22" s="25"/>
      <c r="W22" s="25"/>
      <c r="X22" s="25"/>
    </row>
    <row r="23" spans="1:24" x14ac:dyDescent="0.25">
      <c r="A23" s="703"/>
      <c r="B23" s="4" t="s">
        <v>735</v>
      </c>
      <c r="C23" s="23"/>
      <c r="D23" s="23"/>
      <c r="E23" s="23"/>
      <c r="F23" s="23"/>
      <c r="G23" s="23"/>
      <c r="H23" s="194"/>
      <c r="I23" s="194"/>
      <c r="J23" s="194"/>
      <c r="K23" s="194"/>
      <c r="L23" s="194"/>
      <c r="O23" s="597">
        <f>SUM(O20:O22)</f>
        <v>1600</v>
      </c>
      <c r="P23" s="597">
        <f>SUM(P20:P22)</f>
        <v>1600</v>
      </c>
      <c r="Q23" s="25">
        <f>+P23-O23</f>
        <v>0</v>
      </c>
      <c r="R23" s="598" t="str">
        <f>IF(O23+P23&lt;&gt;0,IF(O23&lt;&gt;0,IF(Q23&lt;&gt;0,ROUND((+Q23/O23),4),""),1),"")</f>
        <v/>
      </c>
      <c r="S23" s="23"/>
      <c r="T23" s="23"/>
      <c r="U23" s="23"/>
      <c r="V23" s="25"/>
      <c r="W23" s="25"/>
      <c r="X23" s="25"/>
    </row>
    <row r="24" spans="1:24" x14ac:dyDescent="0.25">
      <c r="A24" s="703"/>
      <c r="B24" s="4"/>
      <c r="C24" s="23"/>
      <c r="D24" s="23"/>
      <c r="E24" s="23"/>
      <c r="F24" s="23"/>
      <c r="G24" s="23"/>
      <c r="H24" s="23"/>
      <c r="I24" s="23"/>
      <c r="J24" s="23"/>
      <c r="K24" s="23"/>
      <c r="L24" s="23"/>
      <c r="M24" s="23"/>
      <c r="N24" s="23"/>
      <c r="O24" s="23"/>
      <c r="P24" s="23"/>
      <c r="Q24" s="23"/>
      <c r="R24" s="25"/>
      <c r="S24" s="23"/>
      <c r="T24" s="23"/>
      <c r="U24" s="23"/>
      <c r="V24" s="25"/>
      <c r="W24" s="25"/>
      <c r="X24" s="25"/>
    </row>
    <row r="25" spans="1:24" x14ac:dyDescent="0.25">
      <c r="A25" s="703"/>
      <c r="B25" s="4"/>
      <c r="C25" s="23"/>
      <c r="D25" s="23"/>
      <c r="E25" s="23"/>
      <c r="F25" s="23"/>
      <c r="G25" s="23"/>
      <c r="H25" s="23"/>
      <c r="I25" s="23"/>
      <c r="J25" s="23"/>
      <c r="K25" s="23"/>
      <c r="L25" s="23"/>
      <c r="M25" s="23"/>
      <c r="N25" s="23"/>
      <c r="O25" s="23"/>
      <c r="P25" s="23"/>
      <c r="Q25" s="23"/>
      <c r="R25" s="25"/>
      <c r="S25" s="23"/>
      <c r="T25" s="23"/>
      <c r="U25" s="23"/>
      <c r="V25" s="25"/>
      <c r="W25" s="25"/>
      <c r="X25" s="25"/>
    </row>
    <row r="26" spans="1:24" x14ac:dyDescent="0.25">
      <c r="A26" s="703"/>
      <c r="B26" s="4"/>
      <c r="C26" s="23"/>
      <c r="D26" s="23"/>
      <c r="E26" s="23"/>
      <c r="F26" s="23"/>
      <c r="G26" s="23"/>
      <c r="H26" s="23"/>
      <c r="I26" s="23"/>
      <c r="J26" s="23"/>
      <c r="K26" s="23"/>
      <c r="L26" s="23"/>
      <c r="M26" s="23"/>
      <c r="N26" s="23"/>
      <c r="O26" s="23"/>
      <c r="P26" s="23"/>
      <c r="Q26" s="23"/>
      <c r="R26" s="25"/>
      <c r="S26" s="23"/>
      <c r="T26" s="23"/>
      <c r="U26" s="23"/>
      <c r="V26" s="25"/>
      <c r="W26" s="25"/>
      <c r="X26" s="25"/>
    </row>
    <row r="27" spans="1:24" x14ac:dyDescent="0.25">
      <c r="A27" s="703"/>
      <c r="B27" s="4"/>
      <c r="C27" s="23"/>
      <c r="D27" s="23"/>
      <c r="E27" s="23"/>
      <c r="F27" s="23"/>
      <c r="G27" s="23"/>
      <c r="H27" s="23"/>
      <c r="I27" s="23"/>
      <c r="J27" s="23"/>
      <c r="K27" s="23"/>
      <c r="L27" s="23"/>
      <c r="M27" s="23"/>
      <c r="N27" s="23"/>
      <c r="O27" s="23"/>
      <c r="P27" s="23"/>
      <c r="Q27" s="23"/>
      <c r="R27" s="25"/>
      <c r="S27" s="23"/>
      <c r="T27" s="23"/>
      <c r="U27" s="23"/>
      <c r="V27" s="25"/>
      <c r="W27" s="25"/>
      <c r="X27" s="25"/>
    </row>
    <row r="28" spans="1:24" x14ac:dyDescent="0.25">
      <c r="A28" s="703"/>
      <c r="B28" s="4"/>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5">
      <c r="A29" s="703"/>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5">
      <c r="A30" s="703"/>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5">
      <c r="A31" s="703"/>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5">
      <c r="A32" s="703"/>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5">
      <c r="A33" s="703"/>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5">
      <c r="A34" s="703"/>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5">
      <c r="A35" s="703"/>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5">
      <c r="A36" s="703"/>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5">
      <c r="A37" s="703"/>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5">
      <c r="A38" s="703"/>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5">
      <c r="A39" s="703"/>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5">
      <c r="A40" s="703"/>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5">
      <c r="A41" s="703"/>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5">
      <c r="A44" s="703"/>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5">
      <c r="A45" s="703"/>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5">
      <c r="A46" s="703"/>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5">
      <c r="A47" s="703"/>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5">
      <c r="A48" s="703"/>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5">
      <c r="A49" s="703"/>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5">
      <c r="A50" s="703"/>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5">
      <c r="A51" s="703"/>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5">
      <c r="A52" s="703"/>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5">
      <c r="A53" s="703"/>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5">
      <c r="A54" s="703"/>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5">
      <c r="A55" s="703"/>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5">
      <c r="A56" s="703"/>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5">
      <c r="A57" s="703"/>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5">
      <c r="A58" s="703"/>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5">
      <c r="A59" s="703"/>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5">
      <c r="A60" s="703"/>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5">
      <c r="A61" s="703"/>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5">
      <c r="A62" s="703"/>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5">
      <c r="A63" s="703"/>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5">
      <c r="A64" s="703"/>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5">
      <c r="A65" s="703"/>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5">
      <c r="A66" s="703"/>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5">
      <c r="A67" s="703"/>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5">
      <c r="A68" s="703"/>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5">
      <c r="A69" s="703"/>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5">
      <c r="A70" s="703"/>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5">
      <c r="A71" s="703"/>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5">
      <c r="A72" s="703"/>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5">
      <c r="A73" s="703"/>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5">
      <c r="A124" s="703"/>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5">
      <c r="A125" s="703"/>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5">
      <c r="A126" s="703"/>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5">
      <c r="A127" s="703"/>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5">
      <c r="A128" s="703"/>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5">
      <c r="A129" s="703"/>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5">
      <c r="A130" s="703"/>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5">
      <c r="A131" s="703"/>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5">
      <c r="A132" s="703"/>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5">
      <c r="A133" s="703"/>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5">
      <c r="A134" s="703"/>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5">
      <c r="A135" s="703"/>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5">
      <c r="A136" s="703"/>
      <c r="B136" s="4"/>
      <c r="C136" s="23"/>
      <c r="D136" s="23"/>
      <c r="E136" s="23"/>
      <c r="F136" s="23"/>
      <c r="G136" s="23"/>
      <c r="H136" s="23"/>
      <c r="I136" s="23"/>
      <c r="J136" s="23"/>
      <c r="K136" s="23"/>
      <c r="L136" s="23"/>
      <c r="M136" s="23"/>
      <c r="N136" s="23"/>
      <c r="O136" s="23"/>
      <c r="P136" s="23"/>
      <c r="Q136" s="23"/>
      <c r="R136" s="4"/>
      <c r="S136" s="23"/>
      <c r="T136" s="23"/>
      <c r="U136" s="23"/>
      <c r="V136" s="4"/>
      <c r="W136" s="4"/>
      <c r="X136" s="4"/>
    </row>
    <row r="137" spans="1:24" x14ac:dyDescent="0.25">
      <c r="C137" s="194"/>
      <c r="D137" s="194"/>
      <c r="E137" s="194"/>
      <c r="F137" s="194"/>
      <c r="G137" s="194"/>
      <c r="H137" s="194"/>
      <c r="I137" s="194"/>
      <c r="J137" s="194"/>
      <c r="K137" s="194"/>
      <c r="L137" s="194"/>
      <c r="M137" s="194"/>
      <c r="N137" s="194"/>
      <c r="O137" s="194"/>
      <c r="P137" s="194"/>
      <c r="Q137" s="194"/>
    </row>
    <row r="138" spans="1:24" x14ac:dyDescent="0.25">
      <c r="C138" s="194"/>
      <c r="D138" s="194"/>
      <c r="E138" s="194"/>
      <c r="F138" s="194"/>
      <c r="G138" s="194"/>
      <c r="H138" s="194"/>
      <c r="I138" s="194"/>
      <c r="J138" s="194"/>
      <c r="K138" s="194"/>
      <c r="L138" s="194"/>
      <c r="M138" s="194"/>
      <c r="N138" s="194"/>
      <c r="O138" s="194"/>
      <c r="P138" s="194"/>
      <c r="Q138" s="194"/>
    </row>
    <row r="139" spans="1:24" x14ac:dyDescent="0.25">
      <c r="C139" s="194"/>
      <c r="D139" s="194"/>
      <c r="E139" s="194"/>
      <c r="F139" s="194"/>
      <c r="G139" s="194"/>
      <c r="H139" s="194"/>
      <c r="I139" s="194"/>
      <c r="J139" s="194"/>
      <c r="K139" s="194"/>
      <c r="L139" s="194"/>
      <c r="M139" s="194"/>
      <c r="N139" s="194"/>
      <c r="O139" s="194"/>
      <c r="P139" s="194"/>
      <c r="Q139" s="194"/>
    </row>
    <row r="140" spans="1:24" x14ac:dyDescent="0.25">
      <c r="C140" s="194"/>
      <c r="D140" s="194"/>
      <c r="E140" s="194"/>
      <c r="F140" s="194"/>
      <c r="G140" s="194"/>
      <c r="H140" s="194"/>
      <c r="I140" s="194"/>
      <c r="J140" s="194"/>
      <c r="K140" s="194"/>
      <c r="L140" s="194"/>
      <c r="M140" s="194"/>
      <c r="N140" s="194"/>
      <c r="O140" s="194"/>
      <c r="P140" s="194"/>
      <c r="Q140" s="194"/>
    </row>
    <row r="141" spans="1:24" x14ac:dyDescent="0.25">
      <c r="C141" s="194"/>
      <c r="D141" s="194"/>
      <c r="E141" s="194"/>
      <c r="F141" s="194"/>
      <c r="G141" s="194"/>
      <c r="H141" s="194"/>
      <c r="I141" s="194"/>
      <c r="J141" s="194"/>
      <c r="K141" s="194"/>
      <c r="L141" s="194"/>
      <c r="M141" s="194"/>
      <c r="N141" s="194"/>
      <c r="O141" s="194"/>
      <c r="P141" s="194"/>
      <c r="Q141" s="194"/>
    </row>
    <row r="142" spans="1:24" x14ac:dyDescent="0.25">
      <c r="C142" s="194"/>
      <c r="D142" s="194"/>
      <c r="E142" s="194"/>
      <c r="F142" s="194"/>
      <c r="G142" s="194"/>
      <c r="H142" s="194"/>
      <c r="I142" s="194"/>
      <c r="J142" s="194"/>
      <c r="K142" s="194"/>
      <c r="L142" s="194"/>
      <c r="M142" s="194"/>
      <c r="N142" s="194"/>
      <c r="O142" s="194"/>
      <c r="P142" s="194"/>
      <c r="Q142" s="194"/>
    </row>
    <row r="143" spans="1:24" x14ac:dyDescent="0.25">
      <c r="C143" s="194"/>
      <c r="D143" s="194"/>
      <c r="E143" s="194"/>
      <c r="F143" s="194"/>
      <c r="G143" s="194"/>
      <c r="H143" s="194"/>
      <c r="I143" s="194"/>
      <c r="J143" s="194"/>
      <c r="K143" s="194"/>
      <c r="L143" s="194"/>
      <c r="M143" s="194"/>
      <c r="N143" s="194"/>
      <c r="O143" s="194"/>
      <c r="P143" s="194"/>
      <c r="Q143" s="194"/>
    </row>
    <row r="144" spans="1:24" x14ac:dyDescent="0.25">
      <c r="C144" s="194"/>
      <c r="D144" s="194"/>
      <c r="E144" s="194"/>
      <c r="F144" s="194"/>
      <c r="G144" s="194"/>
      <c r="H144" s="194"/>
      <c r="I144" s="194"/>
      <c r="J144" s="194"/>
      <c r="K144" s="194"/>
      <c r="L144" s="194"/>
      <c r="M144" s="194"/>
      <c r="N144" s="194"/>
      <c r="O144" s="194"/>
      <c r="P144" s="194"/>
      <c r="Q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row r="180" spans="3:3" x14ac:dyDescent="0.25">
      <c r="C180" s="194"/>
    </row>
    <row r="181" spans="3:3" x14ac:dyDescent="0.25">
      <c r="C181" s="194"/>
    </row>
    <row r="182" spans="3:3" x14ac:dyDescent="0.25">
      <c r="C182" s="194"/>
    </row>
    <row r="183" spans="3:3" x14ac:dyDescent="0.25">
      <c r="C183" s="194"/>
    </row>
    <row r="184" spans="3:3" x14ac:dyDescent="0.25">
      <c r="C184" s="194"/>
    </row>
    <row r="185" spans="3:3" x14ac:dyDescent="0.25">
      <c r="C185" s="194"/>
    </row>
    <row r="186" spans="3:3" x14ac:dyDescent="0.25">
      <c r="C186" s="194"/>
    </row>
  </sheetData>
  <phoneticPr fontId="0" type="noConversion"/>
  <hyperlinks>
    <hyperlink ref="A1" location="'Working Budget with funding det'!A1" display="Main " xr:uid="{00000000-0004-0000-3000-000000000000}"/>
    <hyperlink ref="B1" location="'Table of Contents'!A1" display="TOC" xr:uid="{00000000-0004-0000-3000-000001000000}"/>
  </hyperlinks>
  <pageMargins left="0.75" right="0.75" top="1" bottom="1" header="0.5" footer="0.5"/>
  <pageSetup scale="92" orientation="landscape" r:id="rId1"/>
  <headerFooter alignWithMargins="0">
    <oddFooter>&amp;L&amp;D     &amp;T&amp;C&amp;F&amp;R&amp;A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50"/>
    <pageSetUpPr fitToPage="1"/>
  </sheetPr>
  <dimension ref="A1:BB158"/>
  <sheetViews>
    <sheetView zoomScaleNormal="100" workbookViewId="0">
      <pane xSplit="10" ySplit="7" topLeftCell="P50" activePane="bottomRight" state="frozen"/>
      <selection activeCell="S36" sqref="S36"/>
      <selection pane="topRight" activeCell="S36" sqref="S36"/>
      <selection pane="bottomLeft" activeCell="S36" sqref="S36"/>
      <selection pane="bottomRight" activeCell="R65" sqref="R65"/>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2" width="14.44140625" style="1" customWidth="1"/>
    <col min="23" max="26" width="13.109375" hidden="1" customWidth="1"/>
    <col min="27" max="27" width="13.109375" customWidth="1"/>
    <col min="28" max="30" width="10.44140625" bestFit="1" customWidth="1"/>
    <col min="31" max="31" width="11.6640625" customWidth="1"/>
    <col min="32" max="47" width="10.44140625" bestFit="1" customWidth="1"/>
    <col min="53" max="53" width="14.109375" style="593" bestFit="1" customWidth="1"/>
  </cols>
  <sheetData>
    <row r="1" spans="1:53" x14ac:dyDescent="0.25">
      <c r="A1" s="701" t="s">
        <v>736</v>
      </c>
      <c r="B1" s="290" t="s">
        <v>194</v>
      </c>
      <c r="D1" s="194"/>
      <c r="E1" s="194"/>
      <c r="F1" s="194"/>
      <c r="G1" s="194"/>
      <c r="H1" s="194"/>
      <c r="I1" s="194"/>
      <c r="J1" s="194"/>
      <c r="K1" s="194"/>
      <c r="L1" s="194"/>
      <c r="M1" s="194"/>
      <c r="N1" s="194"/>
      <c r="O1" s="194"/>
      <c r="P1" s="194"/>
      <c r="Q1" s="194"/>
      <c r="U1"/>
      <c r="V1"/>
    </row>
    <row r="2" spans="1:53" ht="13.8" x14ac:dyDescent="0.25">
      <c r="A2" s="702" t="s">
        <v>1342</v>
      </c>
      <c r="B2" s="43"/>
      <c r="D2" s="194"/>
      <c r="E2" s="125"/>
      <c r="F2" s="194"/>
      <c r="G2" s="194"/>
      <c r="H2" s="194"/>
      <c r="I2" s="125" t="s">
        <v>706</v>
      </c>
      <c r="J2" s="125"/>
      <c r="K2" s="125"/>
      <c r="L2" s="125"/>
      <c r="M2" s="125"/>
      <c r="N2" s="125"/>
      <c r="O2" s="125"/>
      <c r="P2" s="125"/>
      <c r="Q2" s="125"/>
      <c r="R2" s="58" t="s">
        <v>1343</v>
      </c>
      <c r="U2" s="44" t="s">
        <v>1344</v>
      </c>
      <c r="V2" s="44"/>
    </row>
    <row r="3" spans="1:53" ht="13.8" thickBot="1" x14ac:dyDescent="0.3">
      <c r="A3" s="703"/>
      <c r="B3" s="4"/>
      <c r="C3" s="23"/>
      <c r="D3" s="23"/>
      <c r="E3" s="23"/>
      <c r="F3" s="23"/>
      <c r="G3" s="23"/>
      <c r="H3" s="23"/>
      <c r="I3" s="23"/>
      <c r="J3" s="23"/>
      <c r="K3" s="23"/>
      <c r="L3" s="23"/>
      <c r="M3" s="23"/>
      <c r="N3" s="23"/>
      <c r="O3" s="23"/>
      <c r="P3" s="23"/>
      <c r="Q3" s="23"/>
      <c r="R3" s="4"/>
      <c r="S3" s="23"/>
      <c r="T3" s="23"/>
      <c r="U3" s="4"/>
      <c r="V3" s="4"/>
    </row>
    <row r="4" spans="1:53" ht="13.8" thickTop="1" x14ac:dyDescent="0.25">
      <c r="A4" s="704"/>
      <c r="B4" s="643" t="s">
        <v>390</v>
      </c>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3"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c r="V5" s="178"/>
      <c r="W5" s="45" t="s">
        <v>251</v>
      </c>
      <c r="X5" s="45" t="s">
        <v>252</v>
      </c>
      <c r="Y5" s="45" t="s">
        <v>253</v>
      </c>
      <c r="Z5" s="45" t="s">
        <v>469</v>
      </c>
      <c r="AA5" s="45" t="s">
        <v>1345</v>
      </c>
      <c r="AB5" s="45" t="s">
        <v>1346</v>
      </c>
      <c r="AC5" s="45" t="s">
        <v>1347</v>
      </c>
      <c r="AD5" s="45" t="s">
        <v>1348</v>
      </c>
      <c r="AE5" s="45" t="s">
        <v>1349</v>
      </c>
      <c r="AF5" s="45" t="s">
        <v>1350</v>
      </c>
      <c r="AG5" s="45" t="s">
        <v>1351</v>
      </c>
      <c r="AH5" s="45" t="s">
        <v>1352</v>
      </c>
      <c r="AI5" s="45" t="s">
        <v>1353</v>
      </c>
      <c r="AJ5" s="45" t="s">
        <v>1354</v>
      </c>
      <c r="AK5" s="45" t="s">
        <v>1355</v>
      </c>
      <c r="AL5" s="45" t="s">
        <v>1356</v>
      </c>
      <c r="AM5" s="45" t="s">
        <v>1357</v>
      </c>
      <c r="AN5" s="45" t="s">
        <v>1358</v>
      </c>
      <c r="AO5" s="45" t="s">
        <v>1359</v>
      </c>
      <c r="AP5" s="45" t="s">
        <v>1360</v>
      </c>
      <c r="AQ5" s="45" t="s">
        <v>1361</v>
      </c>
      <c r="AR5" s="45" t="s">
        <v>1362</v>
      </c>
      <c r="AS5" s="45" t="s">
        <v>1363</v>
      </c>
      <c r="AT5" s="45" t="s">
        <v>1364</v>
      </c>
      <c r="AU5" s="45" t="s">
        <v>1365</v>
      </c>
      <c r="AV5" s="45" t="s">
        <v>1366</v>
      </c>
      <c r="AW5" s="45" t="s">
        <v>1367</v>
      </c>
      <c r="AX5" s="45" t="s">
        <v>1368</v>
      </c>
      <c r="AY5" s="45" t="s">
        <v>1369</v>
      </c>
      <c r="AZ5" s="45" t="s">
        <v>1370</v>
      </c>
    </row>
    <row r="6" spans="1:53" x14ac:dyDescent="0.25">
      <c r="A6" s="705"/>
      <c r="B6" s="184"/>
      <c r="C6" s="112"/>
      <c r="D6" s="112"/>
      <c r="E6" s="112"/>
      <c r="F6" s="112"/>
      <c r="G6" s="112"/>
      <c r="H6" s="112"/>
      <c r="I6" s="83"/>
      <c r="J6" s="83"/>
      <c r="K6" s="83"/>
      <c r="L6" s="83"/>
      <c r="M6" s="83"/>
      <c r="N6" s="83"/>
      <c r="O6" s="83"/>
      <c r="P6" s="83"/>
      <c r="Q6" s="83"/>
      <c r="R6" s="112"/>
      <c r="S6" s="83" t="s">
        <v>713</v>
      </c>
      <c r="T6" s="83" t="s">
        <v>481</v>
      </c>
      <c r="U6" s="45" t="s">
        <v>714</v>
      </c>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row>
    <row r="7" spans="1:53"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row>
    <row r="8" spans="1:53" ht="13.8" thickTop="1" x14ac:dyDescent="0.25">
      <c r="A8" s="725"/>
      <c r="B8" s="185"/>
      <c r="C8" s="117"/>
      <c r="D8" s="18"/>
      <c r="E8" s="18"/>
      <c r="F8" s="18"/>
      <c r="G8" s="18"/>
      <c r="H8" s="18"/>
      <c r="I8" s="19"/>
      <c r="J8" s="19"/>
      <c r="K8" s="19"/>
      <c r="L8" s="19"/>
      <c r="M8" s="19"/>
      <c r="N8" s="19"/>
      <c r="O8" s="19"/>
      <c r="P8" s="19"/>
      <c r="Q8" s="19"/>
      <c r="R8" s="18"/>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row>
    <row r="9" spans="1:53" x14ac:dyDescent="0.25">
      <c r="A9" s="708">
        <v>710</v>
      </c>
      <c r="B9" s="60" t="s">
        <v>1371</v>
      </c>
      <c r="C9" s="115"/>
      <c r="D9" s="13"/>
      <c r="E9" s="13"/>
      <c r="F9" s="13"/>
      <c r="G9" s="13"/>
      <c r="H9" s="13"/>
      <c r="I9" s="14"/>
      <c r="J9" s="14"/>
      <c r="K9" s="14"/>
      <c r="L9" s="14"/>
      <c r="M9" s="14"/>
      <c r="N9" s="14"/>
      <c r="O9" s="14"/>
      <c r="P9" s="13"/>
      <c r="Q9" s="14"/>
      <c r="R9" s="13"/>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row>
    <row r="10" spans="1:53" hidden="1" x14ac:dyDescent="0.25">
      <c r="A10" s="708">
        <v>5910</v>
      </c>
      <c r="B10" s="60" t="s">
        <v>1372</v>
      </c>
      <c r="C10" s="115">
        <v>40000</v>
      </c>
      <c r="D10" s="35">
        <v>35000</v>
      </c>
      <c r="E10" s="35">
        <v>35000</v>
      </c>
      <c r="F10" s="35">
        <v>35000</v>
      </c>
      <c r="G10" s="35">
        <v>35000</v>
      </c>
      <c r="H10" s="35">
        <v>35000</v>
      </c>
      <c r="I10" s="200">
        <v>35000</v>
      </c>
      <c r="J10" s="200">
        <v>35000</v>
      </c>
      <c r="K10" s="36">
        <v>0</v>
      </c>
      <c r="L10" s="36"/>
      <c r="M10" s="36"/>
      <c r="N10" s="36"/>
      <c r="O10" s="36"/>
      <c r="P10" s="35"/>
      <c r="Q10" s="36"/>
      <c r="R10" s="35"/>
      <c r="S10" s="36">
        <f>+X10</f>
        <v>0</v>
      </c>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3" x14ac:dyDescent="0.25">
      <c r="A11" s="708">
        <v>5916</v>
      </c>
      <c r="B11" s="60" t="s">
        <v>1373</v>
      </c>
      <c r="C11" s="115">
        <v>55000</v>
      </c>
      <c r="D11" s="13">
        <v>55000</v>
      </c>
      <c r="E11" s="13">
        <v>55000</v>
      </c>
      <c r="F11" s="13">
        <v>55000</v>
      </c>
      <c r="G11" s="13">
        <v>55000</v>
      </c>
      <c r="H11" s="13">
        <v>25000</v>
      </c>
      <c r="I11" s="127">
        <v>20000</v>
      </c>
      <c r="J11" s="127">
        <v>20000</v>
      </c>
      <c r="K11" s="14">
        <v>15000</v>
      </c>
      <c r="L11" s="127">
        <v>15000</v>
      </c>
      <c r="M11" s="14">
        <v>15000</v>
      </c>
      <c r="N11" s="13">
        <v>15000</v>
      </c>
      <c r="O11" s="14">
        <v>15000</v>
      </c>
      <c r="P11" s="13">
        <v>15000</v>
      </c>
      <c r="Q11" s="14">
        <v>15000</v>
      </c>
      <c r="R11" s="13">
        <v>15000</v>
      </c>
      <c r="S11" s="36">
        <f t="shared" ref="S11:S18" si="0">+AA11</f>
        <v>15000</v>
      </c>
      <c r="T11" s="36"/>
      <c r="U11" s="36"/>
      <c r="V11" s="36"/>
      <c r="W11" s="14">
        <f t="shared" ref="W11:AC11" si="1">5000+10000</f>
        <v>15000</v>
      </c>
      <c r="X11" s="14">
        <f t="shared" si="1"/>
        <v>15000</v>
      </c>
      <c r="Y11" s="14">
        <f t="shared" si="1"/>
        <v>15000</v>
      </c>
      <c r="Z11" s="14">
        <f t="shared" si="1"/>
        <v>15000</v>
      </c>
      <c r="AA11" s="14">
        <f t="shared" si="1"/>
        <v>15000</v>
      </c>
      <c r="AB11" s="14">
        <f t="shared" si="1"/>
        <v>15000</v>
      </c>
      <c r="AC11" s="14">
        <f t="shared" si="1"/>
        <v>15000</v>
      </c>
      <c r="AD11" s="14"/>
      <c r="AE11" s="14"/>
      <c r="AF11" s="14"/>
      <c r="AG11" s="14"/>
      <c r="AH11" s="14"/>
      <c r="AI11" s="14"/>
      <c r="AJ11" s="14"/>
      <c r="AK11" s="14"/>
      <c r="AL11" s="14"/>
      <c r="AM11" s="14"/>
      <c r="AN11" s="14"/>
      <c r="AO11" s="14"/>
      <c r="AP11" s="14"/>
      <c r="AQ11" s="14"/>
      <c r="AR11" s="14"/>
      <c r="AS11" s="14"/>
      <c r="AT11" s="14"/>
      <c r="AU11" s="14"/>
      <c r="AV11" s="14"/>
      <c r="AW11" s="14"/>
      <c r="AX11" s="14"/>
      <c r="AY11" s="14"/>
      <c r="AZ11" s="14"/>
    </row>
    <row r="12" spans="1:53" s="317" customFormat="1" x14ac:dyDescent="0.25">
      <c r="A12" s="735">
        <v>5920</v>
      </c>
      <c r="B12" s="594" t="s">
        <v>1374</v>
      </c>
      <c r="C12" s="648">
        <v>205000</v>
      </c>
      <c r="D12" s="646">
        <v>210000</v>
      </c>
      <c r="E12" s="646">
        <v>220000</v>
      </c>
      <c r="F12" s="646">
        <v>230000</v>
      </c>
      <c r="G12" s="646">
        <v>240000</v>
      </c>
      <c r="H12" s="646">
        <v>255000</v>
      </c>
      <c r="I12" s="646">
        <v>265000</v>
      </c>
      <c r="J12" s="646">
        <v>275000</v>
      </c>
      <c r="K12" s="591">
        <v>241448</v>
      </c>
      <c r="L12" s="646">
        <v>241447.5</v>
      </c>
      <c r="M12" s="591">
        <v>256230</v>
      </c>
      <c r="N12" s="646">
        <v>256230</v>
      </c>
      <c r="O12" s="591">
        <v>266085</v>
      </c>
      <c r="P12" s="646">
        <v>266085</v>
      </c>
      <c r="Q12" s="591">
        <v>280868</v>
      </c>
      <c r="R12" s="646"/>
      <c r="S12" s="318">
        <f t="shared" si="0"/>
        <v>295650</v>
      </c>
      <c r="T12" s="318"/>
      <c r="U12" s="318"/>
      <c r="V12" s="318"/>
      <c r="W12" s="591">
        <v>241448</v>
      </c>
      <c r="X12" s="591">
        <v>256230</v>
      </c>
      <c r="Y12" s="591">
        <v>266085</v>
      </c>
      <c r="Z12" s="591">
        <v>280868</v>
      </c>
      <c r="AA12" s="591">
        <v>295650</v>
      </c>
      <c r="AB12" s="591">
        <v>310433</v>
      </c>
      <c r="AC12" s="591">
        <v>325215</v>
      </c>
      <c r="AD12" s="591">
        <v>344925</v>
      </c>
      <c r="AE12" s="591"/>
      <c r="AF12" s="591"/>
      <c r="AG12" s="591"/>
      <c r="AH12" s="591"/>
      <c r="AI12" s="591"/>
      <c r="AJ12" s="591"/>
      <c r="AK12" s="591"/>
      <c r="AL12" s="591"/>
      <c r="AM12" s="591"/>
      <c r="AN12" s="591"/>
      <c r="AO12" s="591"/>
      <c r="AP12" s="591"/>
      <c r="AQ12" s="591"/>
      <c r="AR12" s="591"/>
      <c r="AS12" s="591"/>
      <c r="AT12" s="591"/>
      <c r="AU12" s="591"/>
      <c r="AV12" s="591"/>
      <c r="AW12" s="591"/>
      <c r="AX12" s="591"/>
      <c r="AY12" s="591"/>
      <c r="AZ12" s="591"/>
      <c r="BA12" s="838"/>
    </row>
    <row r="13" spans="1:53" s="317" customFormat="1" x14ac:dyDescent="0.25">
      <c r="A13" s="735">
        <v>5930</v>
      </c>
      <c r="B13" s="644" t="s">
        <v>1375</v>
      </c>
      <c r="C13" s="645">
        <v>17414.8</v>
      </c>
      <c r="D13" s="646">
        <v>17766.400000000001</v>
      </c>
      <c r="E13" s="646">
        <v>18125.2</v>
      </c>
      <c r="F13" s="646">
        <v>18491.599999999999</v>
      </c>
      <c r="G13" s="646">
        <v>18865.2</v>
      </c>
      <c r="H13" s="646">
        <v>19246</v>
      </c>
      <c r="I13" s="646">
        <v>19634.8</v>
      </c>
      <c r="J13" s="647">
        <v>20031.599999999999</v>
      </c>
      <c r="K13" s="468">
        <v>20760</v>
      </c>
      <c r="L13" s="647">
        <v>20436.400000000001</v>
      </c>
      <c r="M13" s="468">
        <v>20849</v>
      </c>
      <c r="N13" s="647">
        <v>20849.2</v>
      </c>
      <c r="O13" s="468">
        <v>21270</v>
      </c>
      <c r="P13" s="647">
        <v>21270.400000000001</v>
      </c>
      <c r="Q13" s="468">
        <v>21700</v>
      </c>
      <c r="R13" s="647">
        <v>21700</v>
      </c>
      <c r="S13" s="318">
        <f t="shared" si="0"/>
        <v>22138</v>
      </c>
      <c r="T13" s="318"/>
      <c r="U13" s="318"/>
      <c r="V13" s="318"/>
      <c r="W13" s="591">
        <f>+'Split Debt Service'!G10</f>
        <v>20760</v>
      </c>
      <c r="X13" s="591">
        <f>+'Split Debt Service'!H10</f>
        <v>20849</v>
      </c>
      <c r="Y13" s="591">
        <f>+'Split Debt Service'!I10</f>
        <v>21270</v>
      </c>
      <c r="Z13" s="591">
        <f>+'Split Debt Service'!J10</f>
        <v>21700</v>
      </c>
      <c r="AA13" s="591">
        <f>+'Split Debt Service'!K10</f>
        <v>22138</v>
      </c>
      <c r="AB13" s="591">
        <f>+'Split Debt Service'!L10</f>
        <v>22586</v>
      </c>
      <c r="AC13" s="591">
        <f>+'Split Debt Service'!M10</f>
        <v>23042</v>
      </c>
      <c r="AD13" s="591">
        <f>+'Split Debt Service'!N10</f>
        <v>0</v>
      </c>
      <c r="AE13" s="591">
        <f>+'Split Debt Service'!O10</f>
        <v>0</v>
      </c>
      <c r="AF13" s="591">
        <f>+'Split Debt Service'!P10</f>
        <v>0</v>
      </c>
      <c r="AG13" s="591">
        <f>+'Split Debt Service'!Q10</f>
        <v>0</v>
      </c>
      <c r="AH13" s="591">
        <f>+'Split Debt Service'!R10</f>
        <v>0</v>
      </c>
      <c r="AI13" s="591">
        <f>+'Split Debt Service'!S10</f>
        <v>0</v>
      </c>
      <c r="AJ13" s="591">
        <f>+'Split Debt Service'!T10</f>
        <v>0</v>
      </c>
      <c r="AK13" s="591">
        <f>+'Split Debt Service'!U10</f>
        <v>0</v>
      </c>
      <c r="AL13" s="591">
        <f>+'Split Debt Service'!V10</f>
        <v>0</v>
      </c>
      <c r="AM13" s="591">
        <f>+'Split Debt Service'!W10</f>
        <v>0</v>
      </c>
      <c r="AN13" s="591">
        <f>+'Split Debt Service'!X10</f>
        <v>0</v>
      </c>
      <c r="AO13" s="591">
        <f>+'Split Debt Service'!Y10</f>
        <v>0</v>
      </c>
      <c r="AP13" s="591">
        <f>+'Split Debt Service'!Z10</f>
        <v>0</v>
      </c>
      <c r="AQ13" s="591">
        <f>+'Split Debt Service'!AA10</f>
        <v>0</v>
      </c>
      <c r="AR13" s="591">
        <f>+'Split Debt Service'!AB10</f>
        <v>0</v>
      </c>
      <c r="AS13" s="591">
        <f>+'Split Debt Service'!AC10</f>
        <v>0</v>
      </c>
      <c r="AT13" s="591">
        <f>+'Split Debt Service'!AD10</f>
        <v>0</v>
      </c>
      <c r="AU13" s="591">
        <f>+'Split Debt Service'!AE10</f>
        <v>0</v>
      </c>
      <c r="AV13" s="591">
        <f>+'Split Debt Service'!AF10</f>
        <v>0</v>
      </c>
      <c r="AW13" s="591">
        <f>+'Split Debt Service'!AG10</f>
        <v>0</v>
      </c>
      <c r="AX13" s="591">
        <f>+'Split Debt Service'!AH10</f>
        <v>0</v>
      </c>
      <c r="AY13" s="591">
        <f>+'Split Debt Service'!AI10</f>
        <v>0</v>
      </c>
      <c r="AZ13" s="591">
        <f>+'Split Debt Service'!AJ10</f>
        <v>0</v>
      </c>
      <c r="BA13" s="838"/>
    </row>
    <row r="14" spans="1:53" s="317" customFormat="1" x14ac:dyDescent="0.25">
      <c r="A14" s="735">
        <v>5931</v>
      </c>
      <c r="B14" s="594" t="s">
        <v>1376</v>
      </c>
      <c r="C14" s="648">
        <v>19384.8</v>
      </c>
      <c r="D14" s="646">
        <v>19858.400000000001</v>
      </c>
      <c r="E14" s="646">
        <v>20343.599999999999</v>
      </c>
      <c r="F14" s="646">
        <v>20840.8</v>
      </c>
      <c r="G14" s="646">
        <v>21350</v>
      </c>
      <c r="H14" s="646">
        <v>21871.599999999999</v>
      </c>
      <c r="I14" s="646">
        <v>22406.400000000001</v>
      </c>
      <c r="J14" s="646">
        <v>22953.599999999999</v>
      </c>
      <c r="K14" s="591">
        <v>23514</v>
      </c>
      <c r="L14" s="646">
        <v>23514</v>
      </c>
      <c r="M14" s="591">
        <v>24089</v>
      </c>
      <c r="N14" s="646">
        <v>24089.200000000001</v>
      </c>
      <c r="O14" s="591">
        <v>24678</v>
      </c>
      <c r="P14" s="646">
        <v>24667.599999999999</v>
      </c>
      <c r="Q14" s="591">
        <v>25281</v>
      </c>
      <c r="R14" s="646">
        <v>25280.799999999999</v>
      </c>
      <c r="S14" s="318">
        <f t="shared" si="0"/>
        <v>25898</v>
      </c>
      <c r="T14" s="318"/>
      <c r="U14" s="318"/>
      <c r="V14" s="318"/>
      <c r="W14" s="591">
        <f>+'Split Debt Service'!G11</f>
        <v>23514</v>
      </c>
      <c r="X14" s="591">
        <f>+'Split Debt Service'!H11</f>
        <v>24089</v>
      </c>
      <c r="Y14" s="591">
        <f>+'Split Debt Service'!I11</f>
        <v>24678</v>
      </c>
      <c r="Z14" s="591">
        <f>+'Split Debt Service'!J11</f>
        <v>25281</v>
      </c>
      <c r="AA14" s="591">
        <f>+'Split Debt Service'!K11</f>
        <v>25898</v>
      </c>
      <c r="AB14" s="591">
        <f>+'Split Debt Service'!L11</f>
        <v>26531</v>
      </c>
      <c r="AC14" s="591">
        <f>+'Split Debt Service'!M11</f>
        <v>27180</v>
      </c>
      <c r="AD14" s="591">
        <f>+'Split Debt Service'!N11</f>
        <v>27844</v>
      </c>
      <c r="AE14" s="591">
        <f>+'Split Debt Service'!O11</f>
        <v>28524</v>
      </c>
      <c r="AF14" s="591">
        <f>+'Split Debt Service'!P11</f>
        <v>29221</v>
      </c>
      <c r="AG14" s="591">
        <f>+'Split Debt Service'!Q11</f>
        <v>29935</v>
      </c>
      <c r="AH14" s="591">
        <f>+'Split Debt Service'!R11</f>
        <v>30667</v>
      </c>
      <c r="AI14" s="591">
        <f>+'Split Debt Service'!S11</f>
        <v>31416</v>
      </c>
      <c r="AJ14" s="591">
        <f>+'Split Debt Service'!T11</f>
        <v>32184</v>
      </c>
      <c r="AK14" s="591">
        <f>+'Split Debt Service'!U11</f>
        <v>32970</v>
      </c>
      <c r="AL14" s="591">
        <f>+'Split Debt Service'!V11</f>
        <v>33776</v>
      </c>
      <c r="AM14" s="591">
        <f>+'Split Debt Service'!W11</f>
        <v>34601</v>
      </c>
      <c r="AN14" s="591">
        <f>+'Split Debt Service'!X11</f>
        <v>35446</v>
      </c>
      <c r="AO14" s="591">
        <f>+'Split Debt Service'!Y11</f>
        <v>0</v>
      </c>
      <c r="AP14" s="591">
        <f>+'Split Debt Service'!Z11</f>
        <v>0</v>
      </c>
      <c r="AQ14" s="591">
        <f>+'Split Debt Service'!AA11</f>
        <v>0</v>
      </c>
      <c r="AR14" s="591">
        <f>+'Split Debt Service'!AB11</f>
        <v>0</v>
      </c>
      <c r="AS14" s="591">
        <f>+'Split Debt Service'!AC11</f>
        <v>0</v>
      </c>
      <c r="AT14" s="591">
        <f>+'Split Debt Service'!AD11</f>
        <v>0</v>
      </c>
      <c r="AU14" s="591">
        <f>+'Split Debt Service'!AE11</f>
        <v>0</v>
      </c>
      <c r="AV14" s="591">
        <f>+'Split Debt Service'!AF11</f>
        <v>0</v>
      </c>
      <c r="AW14" s="591">
        <f>+'Split Debt Service'!AG11</f>
        <v>0</v>
      </c>
      <c r="AX14" s="591">
        <f>+'Split Debt Service'!AH11</f>
        <v>0</v>
      </c>
      <c r="AY14" s="591">
        <f>+'Split Debt Service'!AI11</f>
        <v>0</v>
      </c>
      <c r="AZ14" s="591">
        <f>+'Split Debt Service'!AJ11</f>
        <v>0</v>
      </c>
      <c r="BA14" s="838"/>
    </row>
    <row r="15" spans="1:53" s="317" customFormat="1" x14ac:dyDescent="0.25">
      <c r="A15" s="735">
        <v>5932</v>
      </c>
      <c r="B15" s="594" t="s">
        <v>1377</v>
      </c>
      <c r="C15" s="648">
        <v>5429.18</v>
      </c>
      <c r="D15" s="646">
        <v>5429.18</v>
      </c>
      <c r="E15" s="646">
        <v>5666.7</v>
      </c>
      <c r="F15" s="646">
        <v>5914.62</v>
      </c>
      <c r="G15" s="646">
        <v>6173.39</v>
      </c>
      <c r="H15" s="646">
        <v>6443.47</v>
      </c>
      <c r="I15" s="646">
        <v>6725.38</v>
      </c>
      <c r="J15" s="646">
        <v>7019.61</v>
      </c>
      <c r="K15" s="591">
        <v>8000</v>
      </c>
      <c r="L15" s="646">
        <v>8000</v>
      </c>
      <c r="M15" s="591">
        <v>8000</v>
      </c>
      <c r="N15" s="646">
        <v>8000</v>
      </c>
      <c r="O15" s="591">
        <v>8000</v>
      </c>
      <c r="P15" s="646">
        <v>8000</v>
      </c>
      <c r="Q15" s="591">
        <v>10000</v>
      </c>
      <c r="R15" s="646"/>
      <c r="S15" s="318">
        <f t="shared" si="0"/>
        <v>10000</v>
      </c>
      <c r="T15" s="318"/>
      <c r="U15" s="318"/>
      <c r="V15" s="318"/>
      <c r="W15" s="591">
        <f>+'Split Debt Service'!G12</f>
        <v>8000</v>
      </c>
      <c r="X15" s="591">
        <f>+'Split Debt Service'!H12</f>
        <v>8000</v>
      </c>
      <c r="Y15" s="591">
        <f>+'Split Debt Service'!I12</f>
        <v>8000</v>
      </c>
      <c r="Z15" s="591">
        <f>+'Split Debt Service'!J12</f>
        <v>10000</v>
      </c>
      <c r="AA15" s="591">
        <f>+'Split Debt Service'!K12</f>
        <v>10000</v>
      </c>
      <c r="AB15" s="591">
        <f>+'Split Debt Service'!L12</f>
        <v>10000</v>
      </c>
      <c r="AC15" s="591">
        <f>+'Split Debt Service'!M12</f>
        <v>10000</v>
      </c>
      <c r="AD15" s="591">
        <f>+'Split Debt Service'!N12</f>
        <v>12000</v>
      </c>
      <c r="AE15" s="591">
        <f>+'Split Debt Service'!O12</f>
        <v>12000</v>
      </c>
      <c r="AF15" s="591">
        <f>+'Split Debt Service'!P12</f>
        <v>12000</v>
      </c>
      <c r="AG15" s="591">
        <f>+'Split Debt Service'!Q12</f>
        <v>14000</v>
      </c>
      <c r="AH15" s="591">
        <f>+'Split Debt Service'!R12</f>
        <v>14000</v>
      </c>
      <c r="AI15" s="591">
        <f>+'Split Debt Service'!S12</f>
        <v>14000</v>
      </c>
      <c r="AJ15" s="591">
        <f>+'Split Debt Service'!T12</f>
        <v>14000</v>
      </c>
      <c r="AK15" s="591">
        <f>+'Split Debt Service'!U12</f>
        <v>14000</v>
      </c>
      <c r="AL15" s="591">
        <f>+'Split Debt Service'!V12</f>
        <v>14000</v>
      </c>
      <c r="AM15" s="591">
        <f>+'Split Debt Service'!W12</f>
        <v>14000</v>
      </c>
      <c r="AN15" s="591">
        <f>+'Split Debt Service'!X12</f>
        <v>16000</v>
      </c>
      <c r="AO15" s="591">
        <f>+'Split Debt Service'!Y12</f>
        <v>16000</v>
      </c>
      <c r="AP15" s="591">
        <f>+'Split Debt Service'!Z12</f>
        <v>16000</v>
      </c>
      <c r="AQ15" s="591">
        <f>+'Split Debt Service'!AA12</f>
        <v>16000</v>
      </c>
      <c r="AR15" s="591">
        <f>+'Split Debt Service'!AB12</f>
        <v>16000</v>
      </c>
      <c r="AS15" s="591">
        <f>+'Split Debt Service'!AC12</f>
        <v>18000</v>
      </c>
      <c r="AT15" s="591">
        <f>+'Split Debt Service'!AD12</f>
        <v>18000</v>
      </c>
      <c r="AU15" s="591">
        <f>+'Split Debt Service'!AE12</f>
        <v>18000</v>
      </c>
      <c r="AV15" s="591">
        <f>+'Split Debt Service'!AF12</f>
        <v>0</v>
      </c>
      <c r="AW15" s="591">
        <f>+'Split Debt Service'!AG12</f>
        <v>0</v>
      </c>
      <c r="AX15" s="591">
        <f>+'Split Debt Service'!AH12</f>
        <v>0</v>
      </c>
      <c r="AY15" s="591">
        <f>+'Split Debt Service'!AI12</f>
        <v>0</v>
      </c>
      <c r="AZ15" s="591">
        <f>+'Split Debt Service'!AJ12</f>
        <v>0</v>
      </c>
      <c r="BA15" s="838"/>
    </row>
    <row r="16" spans="1:53" s="317" customFormat="1" x14ac:dyDescent="0.25">
      <c r="A16" s="735">
        <v>5933</v>
      </c>
      <c r="B16" s="594" t="s">
        <v>1378</v>
      </c>
      <c r="C16" s="649">
        <v>4812.8</v>
      </c>
      <c r="D16" s="646">
        <v>5011.82</v>
      </c>
      <c r="E16" s="646">
        <v>5218.25</v>
      </c>
      <c r="F16" s="646">
        <v>5433.51</v>
      </c>
      <c r="G16" s="646">
        <v>5657.64</v>
      </c>
      <c r="H16" s="646">
        <v>5891.03</v>
      </c>
      <c r="I16" s="646">
        <v>6134.02</v>
      </c>
      <c r="J16" s="646">
        <v>6387.05</v>
      </c>
      <c r="K16" s="591">
        <v>6651</v>
      </c>
      <c r="L16" s="646">
        <v>6650.52</v>
      </c>
      <c r="M16" s="591">
        <v>6925</v>
      </c>
      <c r="N16" s="646">
        <v>6924.85</v>
      </c>
      <c r="O16" s="591">
        <v>7211</v>
      </c>
      <c r="P16" s="646">
        <v>7210</v>
      </c>
      <c r="Q16" s="591">
        <v>7508</v>
      </c>
      <c r="R16" s="646">
        <v>7507.93</v>
      </c>
      <c r="S16" s="318">
        <f t="shared" si="0"/>
        <v>7818</v>
      </c>
      <c r="T16" s="318"/>
      <c r="U16" s="318"/>
      <c r="V16" s="318"/>
      <c r="W16" s="591">
        <f>+'Split Debt Service'!G13</f>
        <v>6651</v>
      </c>
      <c r="X16" s="591">
        <f>+'Split Debt Service'!H13</f>
        <v>6925</v>
      </c>
      <c r="Y16" s="591">
        <f>+'Split Debt Service'!I13</f>
        <v>7211</v>
      </c>
      <c r="Z16" s="591">
        <f>+'Split Debt Service'!J13</f>
        <v>7508</v>
      </c>
      <c r="AA16" s="591">
        <f>+'Split Debt Service'!K13</f>
        <v>7818</v>
      </c>
      <c r="AB16" s="591">
        <f>+'Split Debt Service'!L13</f>
        <v>8140</v>
      </c>
      <c r="AC16" s="591">
        <f>+'Split Debt Service'!M13</f>
        <v>8476</v>
      </c>
      <c r="AD16" s="591">
        <f>+'Split Debt Service'!N13</f>
        <v>8826</v>
      </c>
      <c r="AE16" s="591">
        <f>+'Split Debt Service'!O13</f>
        <v>9190</v>
      </c>
      <c r="AF16" s="591">
        <f>+'Split Debt Service'!P13</f>
        <v>9569</v>
      </c>
      <c r="AG16" s="591">
        <f>+'Split Debt Service'!Q13</f>
        <v>9964</v>
      </c>
      <c r="AH16" s="591">
        <f>+'Split Debt Service'!R13</f>
        <v>10374</v>
      </c>
      <c r="AI16" s="591">
        <f>+'Split Debt Service'!S13</f>
        <v>10802</v>
      </c>
      <c r="AJ16" s="591">
        <f>+'Split Debt Service'!T13</f>
        <v>11248</v>
      </c>
      <c r="AK16" s="591">
        <f>+'Split Debt Service'!U13</f>
        <v>11712</v>
      </c>
      <c r="AL16" s="591">
        <f>+'Split Debt Service'!V13</f>
        <v>12195</v>
      </c>
      <c r="AM16" s="591">
        <f>+'Split Debt Service'!W13</f>
        <v>12698</v>
      </c>
      <c r="AN16" s="591">
        <f>+'Split Debt Service'!X13</f>
        <v>13222</v>
      </c>
      <c r="AO16" s="591">
        <f>+'Split Debt Service'!Y13</f>
        <v>13767</v>
      </c>
      <c r="AP16" s="591">
        <f>+'Split Debt Service'!Z13</f>
        <v>14335</v>
      </c>
      <c r="AQ16" s="591">
        <f>+'Split Debt Service'!AA13</f>
        <v>14927</v>
      </c>
      <c r="AR16" s="591">
        <f>+'Split Debt Service'!AB13</f>
        <v>15542</v>
      </c>
      <c r="AS16" s="591">
        <f>+'Split Debt Service'!AC13</f>
        <v>16184</v>
      </c>
      <c r="AT16" s="591">
        <f>+'Split Debt Service'!AD13</f>
        <v>16851</v>
      </c>
      <c r="AU16" s="591">
        <f>+'Split Debt Service'!AE13</f>
        <v>17546</v>
      </c>
      <c r="AV16" s="591">
        <f>+'Split Debt Service'!AF13</f>
        <v>18270</v>
      </c>
      <c r="AW16" s="591">
        <f>+'Split Debt Service'!AG13</f>
        <v>19024</v>
      </c>
      <c r="AX16" s="591">
        <f>+'Split Debt Service'!AH13</f>
        <v>19685</v>
      </c>
      <c r="AY16" s="591">
        <f>+'Split Debt Service'!AI13</f>
        <v>0</v>
      </c>
      <c r="AZ16" s="591">
        <f>+'Split Debt Service'!AJ13</f>
        <v>0</v>
      </c>
      <c r="BA16" s="838"/>
    </row>
    <row r="17" spans="1:54" x14ac:dyDescent="0.25">
      <c r="A17" s="708">
        <v>5934</v>
      </c>
      <c r="B17" s="60" t="s">
        <v>1379</v>
      </c>
      <c r="C17" s="210">
        <v>5000</v>
      </c>
      <c r="D17" s="35">
        <v>5000</v>
      </c>
      <c r="E17" s="35">
        <v>5000</v>
      </c>
      <c r="F17" s="35">
        <v>5000</v>
      </c>
      <c r="G17" s="35">
        <v>5000</v>
      </c>
      <c r="H17" s="35">
        <v>5000</v>
      </c>
      <c r="I17" s="200">
        <v>5000</v>
      </c>
      <c r="J17" s="200">
        <v>5000</v>
      </c>
      <c r="K17" s="36">
        <v>3553</v>
      </c>
      <c r="L17" s="200">
        <v>3552.5</v>
      </c>
      <c r="M17" s="36">
        <v>3770</v>
      </c>
      <c r="N17" s="35">
        <v>3770</v>
      </c>
      <c r="O17" s="36">
        <v>3915</v>
      </c>
      <c r="P17" s="35">
        <v>3915</v>
      </c>
      <c r="Q17" s="36">
        <v>4133</v>
      </c>
      <c r="R17" s="35"/>
      <c r="S17" s="36">
        <f t="shared" si="0"/>
        <v>4350</v>
      </c>
      <c r="T17" s="36"/>
      <c r="U17" s="36"/>
      <c r="V17" s="36"/>
      <c r="W17" s="36">
        <v>3553</v>
      </c>
      <c r="X17" s="36">
        <v>3770</v>
      </c>
      <c r="Y17" s="36">
        <v>3915</v>
      </c>
      <c r="Z17" s="36">
        <v>4133</v>
      </c>
      <c r="AA17" s="36">
        <v>4350</v>
      </c>
      <c r="AB17" s="36">
        <v>4568</v>
      </c>
      <c r="AC17" s="36">
        <v>4785</v>
      </c>
      <c r="AD17" s="36">
        <v>5075</v>
      </c>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4" hidden="1" x14ac:dyDescent="0.25">
      <c r="A18" s="708">
        <v>5935</v>
      </c>
      <c r="B18" s="60" t="s">
        <v>1380</v>
      </c>
      <c r="C18" s="210"/>
      <c r="D18" s="35">
        <v>3652.65</v>
      </c>
      <c r="E18" s="35"/>
      <c r="F18" s="35"/>
      <c r="G18" s="35"/>
      <c r="H18" s="35"/>
      <c r="I18" s="200"/>
      <c r="J18" s="200"/>
      <c r="K18" s="36"/>
      <c r="L18" s="200"/>
      <c r="M18" s="36"/>
      <c r="N18" s="35"/>
      <c r="O18" s="36"/>
      <c r="P18" s="35"/>
      <c r="Q18" s="36"/>
      <c r="R18" s="35"/>
      <c r="S18" s="36">
        <f t="shared" si="0"/>
        <v>0</v>
      </c>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4" x14ac:dyDescent="0.25">
      <c r="A19" s="708">
        <v>5936</v>
      </c>
      <c r="B19" s="12" t="s">
        <v>1381</v>
      </c>
      <c r="C19" s="35"/>
      <c r="D19" s="35">
        <v>5089.1400000000003</v>
      </c>
      <c r="E19" s="35">
        <v>5216.3599999999997</v>
      </c>
      <c r="F19" s="35">
        <v>5346.77</v>
      </c>
      <c r="G19" s="35">
        <v>5480.44</v>
      </c>
      <c r="H19" s="35">
        <v>5617.47</v>
      </c>
      <c r="I19" s="200">
        <v>5757.9</v>
      </c>
      <c r="J19" s="200">
        <v>5901.85</v>
      </c>
      <c r="K19" s="36">
        <v>6050</v>
      </c>
      <c r="L19" s="200">
        <v>6049.38</v>
      </c>
      <c r="M19" s="36">
        <v>6201</v>
      </c>
      <c r="N19" s="35">
        <v>6200.62</v>
      </c>
      <c r="O19" s="36">
        <v>6356</v>
      </c>
      <c r="P19" s="35">
        <v>1574.3</v>
      </c>
      <c r="Q19" s="36"/>
      <c r="R19" s="35"/>
      <c r="S19" s="976"/>
      <c r="T19" s="36"/>
      <c r="U19" s="36"/>
      <c r="V19" s="36"/>
      <c r="W19" s="36">
        <v>6050</v>
      </c>
      <c r="X19" s="36">
        <v>6201</v>
      </c>
      <c r="Y19" s="36">
        <v>6356</v>
      </c>
      <c r="Z19" s="36">
        <v>6515</v>
      </c>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4" s="317" customFormat="1" x14ac:dyDescent="0.25">
      <c r="A20" s="736">
        <v>5937</v>
      </c>
      <c r="B20" s="651" t="s">
        <v>1382</v>
      </c>
      <c r="C20" s="650"/>
      <c r="D20" s="650"/>
      <c r="E20" s="650">
        <v>8000</v>
      </c>
      <c r="F20" s="650">
        <v>5000</v>
      </c>
      <c r="G20" s="650">
        <v>5000</v>
      </c>
      <c r="H20" s="650">
        <v>5000</v>
      </c>
      <c r="I20" s="650">
        <v>5000</v>
      </c>
      <c r="J20" s="650">
        <v>5000</v>
      </c>
      <c r="K20" s="318">
        <v>5000</v>
      </c>
      <c r="L20" s="650">
        <v>5000</v>
      </c>
      <c r="M20" s="318">
        <v>5000</v>
      </c>
      <c r="N20" s="650">
        <v>5000</v>
      </c>
      <c r="O20" s="318">
        <v>5000</v>
      </c>
      <c r="P20" s="650">
        <v>5000</v>
      </c>
      <c r="Q20" s="318">
        <v>5000</v>
      </c>
      <c r="R20" s="650"/>
      <c r="S20" s="318">
        <f t="shared" ref="S20:S29" si="2">+AA20</f>
        <v>5000</v>
      </c>
      <c r="T20" s="318"/>
      <c r="U20" s="318"/>
      <c r="V20" s="318"/>
      <c r="W20" s="318">
        <v>5000</v>
      </c>
      <c r="X20" s="318">
        <v>5000</v>
      </c>
      <c r="Y20" s="318">
        <v>5000</v>
      </c>
      <c r="Z20" s="318">
        <v>5000</v>
      </c>
      <c r="AA20" s="318">
        <v>5000</v>
      </c>
      <c r="AB20" s="318">
        <v>5000</v>
      </c>
      <c r="AC20" s="318">
        <v>5000</v>
      </c>
      <c r="AD20" s="318">
        <v>5000</v>
      </c>
      <c r="AE20" s="318">
        <v>5000</v>
      </c>
      <c r="AF20" s="318">
        <v>5000</v>
      </c>
      <c r="AG20" s="318">
        <v>5000</v>
      </c>
      <c r="AH20" s="318">
        <v>5000</v>
      </c>
      <c r="AI20" s="318">
        <v>5000</v>
      </c>
      <c r="AJ20" s="318">
        <v>5000</v>
      </c>
      <c r="AK20" s="318"/>
      <c r="AL20" s="318"/>
      <c r="AM20" s="318"/>
      <c r="AN20" s="318"/>
      <c r="AO20" s="318"/>
      <c r="AP20" s="318"/>
      <c r="AQ20" s="318"/>
      <c r="AR20" s="318"/>
      <c r="AS20" s="318"/>
      <c r="AT20" s="318"/>
      <c r="AU20" s="318"/>
      <c r="AV20" s="318"/>
      <c r="AW20" s="318"/>
      <c r="AX20" s="318"/>
      <c r="AY20" s="318"/>
      <c r="AZ20" s="318"/>
      <c r="BA20" s="838"/>
    </row>
    <row r="21" spans="1:54" hidden="1" x14ac:dyDescent="0.25">
      <c r="A21" s="725">
        <v>5938</v>
      </c>
      <c r="B21" s="12" t="s">
        <v>1383</v>
      </c>
      <c r="C21" s="35"/>
      <c r="D21" s="35"/>
      <c r="E21" s="35">
        <v>10000</v>
      </c>
      <c r="F21" s="35">
        <v>10000</v>
      </c>
      <c r="G21" s="35">
        <v>10000</v>
      </c>
      <c r="H21" s="35">
        <v>10000</v>
      </c>
      <c r="I21" s="35">
        <v>10000</v>
      </c>
      <c r="J21" s="35">
        <v>10000</v>
      </c>
      <c r="K21" s="36">
        <v>10000</v>
      </c>
      <c r="L21" s="35">
        <v>10000</v>
      </c>
      <c r="M21" s="36"/>
      <c r="N21" s="35"/>
      <c r="O21" s="36"/>
      <c r="P21" s="35"/>
      <c r="Q21" s="36"/>
      <c r="R21" s="35"/>
      <c r="S21" s="36">
        <f t="shared" si="2"/>
        <v>0</v>
      </c>
      <c r="T21" s="36"/>
      <c r="U21" s="36"/>
      <c r="V21" s="36"/>
      <c r="W21" s="36">
        <v>10000</v>
      </c>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4" hidden="1" x14ac:dyDescent="0.25">
      <c r="A22" s="725">
        <v>5939</v>
      </c>
      <c r="B22" s="12" t="s">
        <v>1384</v>
      </c>
      <c r="C22" s="35"/>
      <c r="D22" s="35"/>
      <c r="E22" s="35">
        <v>8720.9</v>
      </c>
      <c r="F22" s="35">
        <v>10000</v>
      </c>
      <c r="G22" s="35">
        <v>10000</v>
      </c>
      <c r="H22" s="35">
        <v>10000</v>
      </c>
      <c r="I22" s="35">
        <v>10000</v>
      </c>
      <c r="J22" s="35">
        <v>10000</v>
      </c>
      <c r="K22" s="36">
        <v>10000</v>
      </c>
      <c r="L22" s="35">
        <v>10000</v>
      </c>
      <c r="M22" s="36"/>
      <c r="N22" s="35"/>
      <c r="O22" s="36"/>
      <c r="P22" s="35"/>
      <c r="Q22" s="36"/>
      <c r="R22" s="35"/>
      <c r="S22" s="36">
        <f t="shared" si="2"/>
        <v>0</v>
      </c>
      <c r="T22" s="36"/>
      <c r="U22" s="36"/>
      <c r="V22" s="36"/>
      <c r="W22" s="36">
        <v>10000</v>
      </c>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4" x14ac:dyDescent="0.25">
      <c r="A23" s="725">
        <v>5944</v>
      </c>
      <c r="B23" s="12" t="s">
        <v>1385</v>
      </c>
      <c r="C23" s="35"/>
      <c r="D23" s="35"/>
      <c r="E23" s="35"/>
      <c r="F23" s="35"/>
      <c r="G23" s="35"/>
      <c r="H23" s="35"/>
      <c r="I23" s="35">
        <v>0</v>
      </c>
      <c r="J23" s="35">
        <v>4000</v>
      </c>
      <c r="K23" s="36">
        <v>6000</v>
      </c>
      <c r="L23" s="200">
        <v>6000</v>
      </c>
      <c r="M23" s="36">
        <v>6000</v>
      </c>
      <c r="N23" s="35">
        <v>6000</v>
      </c>
      <c r="O23" s="36">
        <v>6000</v>
      </c>
      <c r="P23" s="35">
        <v>6000</v>
      </c>
      <c r="Q23" s="36">
        <v>7000</v>
      </c>
      <c r="R23" s="35">
        <v>7000</v>
      </c>
      <c r="S23" s="36">
        <f t="shared" si="2"/>
        <v>7000</v>
      </c>
      <c r="T23" s="36"/>
      <c r="U23" s="36"/>
      <c r="V23" s="36"/>
      <c r="W23" s="36">
        <v>6000</v>
      </c>
      <c r="X23" s="36">
        <v>6000</v>
      </c>
      <c r="Y23" s="36">
        <v>6000</v>
      </c>
      <c r="Z23" s="36">
        <v>7000</v>
      </c>
      <c r="AA23" s="36">
        <v>7000</v>
      </c>
      <c r="AB23" s="36">
        <v>7000</v>
      </c>
      <c r="AC23" s="36">
        <v>8000</v>
      </c>
      <c r="AD23" s="36">
        <v>8000</v>
      </c>
      <c r="AE23" s="36">
        <v>8000</v>
      </c>
      <c r="AF23" s="36">
        <v>8000</v>
      </c>
      <c r="AG23" s="36">
        <v>9000</v>
      </c>
      <c r="AH23" s="36"/>
      <c r="AI23" s="36"/>
      <c r="AJ23" s="36"/>
      <c r="AK23" s="36"/>
      <c r="AL23" s="36"/>
      <c r="AM23" s="36"/>
      <c r="AN23" s="36"/>
      <c r="AO23" s="36"/>
      <c r="AP23" s="36"/>
      <c r="AQ23" s="36"/>
      <c r="AR23" s="36"/>
      <c r="AS23" s="36"/>
      <c r="AT23" s="36"/>
      <c r="AU23" s="36"/>
      <c r="AV23" s="36"/>
      <c r="AW23" s="36"/>
      <c r="AX23" s="36"/>
      <c r="AY23" s="36"/>
      <c r="AZ23" s="36"/>
    </row>
    <row r="24" spans="1:54" x14ac:dyDescent="0.25">
      <c r="A24" s="725">
        <v>5947</v>
      </c>
      <c r="B24" s="12" t="s">
        <v>1386</v>
      </c>
      <c r="C24" s="35"/>
      <c r="D24" s="35"/>
      <c r="E24" s="35"/>
      <c r="F24" s="35"/>
      <c r="G24" s="35"/>
      <c r="H24" s="35">
        <v>3679</v>
      </c>
      <c r="I24" s="35">
        <v>0</v>
      </c>
      <c r="J24" s="35">
        <v>4000</v>
      </c>
      <c r="K24" s="36">
        <v>5000</v>
      </c>
      <c r="L24" s="200">
        <v>5000</v>
      </c>
      <c r="M24" s="36">
        <v>5000</v>
      </c>
      <c r="N24" s="35">
        <v>5000</v>
      </c>
      <c r="O24" s="36">
        <v>6000</v>
      </c>
      <c r="P24" s="35">
        <v>6000</v>
      </c>
      <c r="Q24" s="36">
        <v>6000</v>
      </c>
      <c r="R24" s="35">
        <v>6000</v>
      </c>
      <c r="S24" s="36">
        <f t="shared" si="2"/>
        <v>6000</v>
      </c>
      <c r="T24" s="36"/>
      <c r="U24" s="36"/>
      <c r="V24" s="36"/>
      <c r="W24" s="36">
        <v>5000</v>
      </c>
      <c r="X24" s="36">
        <v>5000</v>
      </c>
      <c r="Y24" s="36">
        <v>6000</v>
      </c>
      <c r="Z24" s="36">
        <v>6000</v>
      </c>
      <c r="AA24" s="36">
        <v>6000</v>
      </c>
      <c r="AB24" s="36">
        <v>6000</v>
      </c>
      <c r="AC24" s="36">
        <v>6000</v>
      </c>
      <c r="AD24" s="36">
        <v>7000</v>
      </c>
      <c r="AE24" s="36">
        <v>7000</v>
      </c>
      <c r="AF24" s="36">
        <v>7000</v>
      </c>
      <c r="AG24" s="36">
        <v>7000</v>
      </c>
      <c r="AH24" s="36"/>
      <c r="AI24" s="36"/>
      <c r="AJ24" s="36"/>
      <c r="AK24" s="36"/>
      <c r="AL24" s="36"/>
      <c r="AM24" s="36"/>
      <c r="AN24" s="36"/>
      <c r="AO24" s="36"/>
      <c r="AP24" s="36"/>
      <c r="AQ24" s="36"/>
      <c r="AR24" s="36"/>
      <c r="AS24" s="36"/>
      <c r="AT24" s="36"/>
      <c r="AU24" s="36"/>
      <c r="AV24" s="36"/>
      <c r="AW24" s="36"/>
      <c r="AX24" s="36"/>
      <c r="AY24" s="36"/>
      <c r="AZ24" s="36"/>
    </row>
    <row r="25" spans="1:54" s="317" customFormat="1" x14ac:dyDescent="0.25">
      <c r="A25" s="736">
        <v>5948</v>
      </c>
      <c r="B25" s="652" t="s">
        <v>1387</v>
      </c>
      <c r="C25" s="650"/>
      <c r="D25" s="650"/>
      <c r="E25" s="650"/>
      <c r="F25" s="650"/>
      <c r="G25" s="650"/>
      <c r="H25" s="650"/>
      <c r="I25" s="650"/>
      <c r="J25" s="650">
        <v>13000</v>
      </c>
      <c r="K25" s="318">
        <v>21000</v>
      </c>
      <c r="L25" s="650">
        <v>21000</v>
      </c>
      <c r="M25" s="318">
        <v>22000</v>
      </c>
      <c r="N25" s="650">
        <v>22000</v>
      </c>
      <c r="O25" s="318">
        <v>23000</v>
      </c>
      <c r="P25" s="650">
        <v>23000</v>
      </c>
      <c r="Q25" s="318">
        <v>24000</v>
      </c>
      <c r="R25" s="650">
        <v>24000</v>
      </c>
      <c r="S25" s="318">
        <f t="shared" si="2"/>
        <v>25000</v>
      </c>
      <c r="T25" s="318"/>
      <c r="U25" s="318"/>
      <c r="V25" s="318"/>
      <c r="W25" s="318">
        <v>21000</v>
      </c>
      <c r="X25" s="318">
        <v>22000</v>
      </c>
      <c r="Y25" s="318">
        <v>23000</v>
      </c>
      <c r="Z25" s="318">
        <v>24000</v>
      </c>
      <c r="AA25" s="318">
        <v>25000</v>
      </c>
      <c r="AB25" s="318">
        <v>26000</v>
      </c>
      <c r="AC25" s="318">
        <v>27000</v>
      </c>
      <c r="AD25" s="318">
        <v>28000</v>
      </c>
      <c r="AE25" s="318">
        <v>29000</v>
      </c>
      <c r="AF25" s="318">
        <v>30000</v>
      </c>
      <c r="AG25" s="318">
        <v>30000</v>
      </c>
      <c r="AH25" s="318">
        <v>31000</v>
      </c>
      <c r="AI25" s="318">
        <v>32000</v>
      </c>
      <c r="AJ25" s="318">
        <v>33000</v>
      </c>
      <c r="AK25" s="318">
        <v>34000</v>
      </c>
      <c r="AL25" s="318">
        <v>36000</v>
      </c>
      <c r="AM25" s="318">
        <v>37000</v>
      </c>
      <c r="AN25" s="318">
        <v>38000</v>
      </c>
      <c r="AO25" s="318">
        <v>40000</v>
      </c>
      <c r="AP25" s="318"/>
      <c r="AQ25" s="318"/>
      <c r="AR25" s="318"/>
      <c r="AS25" s="318"/>
      <c r="AT25" s="318"/>
      <c r="AU25" s="318"/>
      <c r="AV25" s="318"/>
      <c r="AW25" s="318"/>
      <c r="AX25" s="318"/>
      <c r="AY25" s="318"/>
      <c r="AZ25" s="318"/>
      <c r="BA25" s="838"/>
    </row>
    <row r="26" spans="1:54" s="317" customFormat="1" x14ac:dyDescent="0.25">
      <c r="A26" s="736">
        <v>5949</v>
      </c>
      <c r="B26" s="652" t="s">
        <v>1388</v>
      </c>
      <c r="C26" s="650"/>
      <c r="D26" s="650"/>
      <c r="E26" s="650"/>
      <c r="F26" s="650"/>
      <c r="G26" s="650"/>
      <c r="H26" s="650"/>
      <c r="I26" s="650"/>
      <c r="J26" s="650">
        <v>35000</v>
      </c>
      <c r="K26" s="318">
        <v>64000</v>
      </c>
      <c r="L26" s="650">
        <v>64000</v>
      </c>
      <c r="M26" s="318">
        <v>72000</v>
      </c>
      <c r="N26" s="650">
        <v>72000</v>
      </c>
      <c r="O26" s="318">
        <v>72000</v>
      </c>
      <c r="P26" s="650">
        <v>72000</v>
      </c>
      <c r="Q26" s="318">
        <v>78000</v>
      </c>
      <c r="R26" s="650">
        <v>78000</v>
      </c>
      <c r="S26" s="318">
        <f t="shared" si="2"/>
        <v>82000</v>
      </c>
      <c r="T26" s="318"/>
      <c r="U26" s="318"/>
      <c r="V26" s="318"/>
      <c r="W26" s="318">
        <v>64000</v>
      </c>
      <c r="X26" s="318">
        <v>72000</v>
      </c>
      <c r="Y26" s="318">
        <v>72000</v>
      </c>
      <c r="Z26" s="318">
        <v>78000</v>
      </c>
      <c r="AA26" s="318">
        <v>82000</v>
      </c>
      <c r="AB26" s="318">
        <v>84000</v>
      </c>
      <c r="AC26" s="318">
        <v>86000</v>
      </c>
      <c r="AD26" s="318">
        <v>86000</v>
      </c>
      <c r="AE26" s="318">
        <v>93000</v>
      </c>
      <c r="AF26" s="318">
        <v>95000</v>
      </c>
      <c r="AG26" s="318">
        <v>97000</v>
      </c>
      <c r="AH26" s="318">
        <v>101000</v>
      </c>
      <c r="AI26" s="318">
        <v>104000</v>
      </c>
      <c r="AJ26" s="318">
        <v>105000</v>
      </c>
      <c r="AK26" s="318">
        <v>108000</v>
      </c>
      <c r="AL26" s="318">
        <v>114000</v>
      </c>
      <c r="AM26" s="318">
        <v>115000</v>
      </c>
      <c r="AN26" s="318">
        <v>118000</v>
      </c>
      <c r="AO26" s="318">
        <v>123000</v>
      </c>
      <c r="AP26" s="318">
        <v>126000</v>
      </c>
      <c r="AQ26" s="318">
        <v>129000</v>
      </c>
      <c r="AR26" s="318">
        <v>134000</v>
      </c>
      <c r="AS26" s="318">
        <v>137000</v>
      </c>
      <c r="AT26" s="318">
        <v>145000</v>
      </c>
      <c r="AU26" s="318"/>
      <c r="AV26" s="318"/>
      <c r="AW26" s="318"/>
      <c r="AX26" s="318"/>
      <c r="AY26" s="318"/>
      <c r="AZ26" s="318"/>
      <c r="BA26" s="838"/>
    </row>
    <row r="27" spans="1:54" s="317" customFormat="1" x14ac:dyDescent="0.25">
      <c r="A27" s="736">
        <v>5950</v>
      </c>
      <c r="B27" s="652" t="s">
        <v>1389</v>
      </c>
      <c r="C27" s="650"/>
      <c r="D27" s="650"/>
      <c r="E27" s="650"/>
      <c r="F27" s="650"/>
      <c r="G27" s="650"/>
      <c r="H27" s="650"/>
      <c r="I27" s="650"/>
      <c r="J27" s="650"/>
      <c r="K27" s="318">
        <v>135000</v>
      </c>
      <c r="L27" s="650">
        <v>135000</v>
      </c>
      <c r="M27" s="318">
        <v>145000</v>
      </c>
      <c r="N27" s="650">
        <v>145000</v>
      </c>
      <c r="O27" s="318">
        <v>155000</v>
      </c>
      <c r="P27" s="650">
        <v>155000</v>
      </c>
      <c r="Q27" s="318">
        <v>160000</v>
      </c>
      <c r="R27" s="650"/>
      <c r="S27" s="318">
        <f t="shared" si="2"/>
        <v>170000</v>
      </c>
      <c r="T27" s="318"/>
      <c r="U27" s="318"/>
      <c r="V27" s="318"/>
      <c r="W27" s="318">
        <v>135000</v>
      </c>
      <c r="X27" s="318">
        <v>145000</v>
      </c>
      <c r="Y27" s="318">
        <v>155000</v>
      </c>
      <c r="Z27" s="318">
        <v>160000</v>
      </c>
      <c r="AA27" s="318">
        <v>170000</v>
      </c>
      <c r="AB27" s="318">
        <v>180000</v>
      </c>
      <c r="AC27" s="318">
        <v>190000</v>
      </c>
      <c r="AD27" s="318">
        <v>200000</v>
      </c>
      <c r="AE27" s="318">
        <v>205000</v>
      </c>
      <c r="AF27" s="318">
        <v>220000</v>
      </c>
      <c r="AG27" s="318">
        <v>230000</v>
      </c>
      <c r="AH27" s="318">
        <v>235000</v>
      </c>
      <c r="AI27" s="318">
        <v>240000</v>
      </c>
      <c r="AJ27" s="318">
        <v>245000</v>
      </c>
      <c r="AK27" s="318">
        <v>250000</v>
      </c>
      <c r="AL27" s="318">
        <v>255000</v>
      </c>
      <c r="AM27" s="318">
        <v>260000</v>
      </c>
      <c r="AN27" s="318">
        <v>265000</v>
      </c>
      <c r="AO27" s="318">
        <v>270000</v>
      </c>
      <c r="AP27" s="318">
        <v>280000</v>
      </c>
      <c r="AQ27" s="318">
        <v>285000</v>
      </c>
      <c r="AR27" s="318">
        <v>290000</v>
      </c>
      <c r="AS27" s="318">
        <v>300000</v>
      </c>
      <c r="AT27" s="318">
        <v>305000</v>
      </c>
      <c r="AU27" s="318">
        <v>315000</v>
      </c>
      <c r="AV27" s="318"/>
      <c r="AW27" s="318"/>
      <c r="AX27" s="318"/>
      <c r="AY27" s="318"/>
      <c r="AZ27" s="318"/>
      <c r="BA27" s="838"/>
    </row>
    <row r="28" spans="1:54" s="317" customFormat="1" x14ac:dyDescent="0.25">
      <c r="A28" s="736">
        <v>5951</v>
      </c>
      <c r="B28" s="652" t="s">
        <v>1390</v>
      </c>
      <c r="C28" s="650"/>
      <c r="D28" s="650"/>
      <c r="E28" s="650"/>
      <c r="F28" s="650"/>
      <c r="G28" s="650"/>
      <c r="H28" s="650"/>
      <c r="I28" s="650"/>
      <c r="J28" s="650"/>
      <c r="K28" s="318"/>
      <c r="L28" s="650"/>
      <c r="M28" s="318"/>
      <c r="N28" s="650"/>
      <c r="O28" s="318">
        <v>30000</v>
      </c>
      <c r="P28" s="650">
        <v>30000</v>
      </c>
      <c r="Q28" s="318">
        <v>50000</v>
      </c>
      <c r="R28" s="650">
        <v>50000</v>
      </c>
      <c r="S28" s="318">
        <f t="shared" si="2"/>
        <v>55000</v>
      </c>
      <c r="T28" s="318"/>
      <c r="U28" s="318"/>
      <c r="V28" s="318"/>
      <c r="W28" s="318"/>
      <c r="X28" s="318"/>
      <c r="Y28" s="318">
        <v>30000</v>
      </c>
      <c r="Z28" s="318">
        <v>50000</v>
      </c>
      <c r="AA28" s="318">
        <v>55000</v>
      </c>
      <c r="AB28" s="318">
        <v>60000</v>
      </c>
      <c r="AC28" s="318">
        <v>60000</v>
      </c>
      <c r="AD28" s="318">
        <v>65000</v>
      </c>
      <c r="AE28" s="318">
        <v>65000</v>
      </c>
      <c r="AF28" s="318">
        <v>70000</v>
      </c>
      <c r="AG28" s="318">
        <v>75000</v>
      </c>
      <c r="AH28" s="318">
        <v>80000</v>
      </c>
      <c r="AI28" s="318">
        <v>80000</v>
      </c>
      <c r="AJ28" s="318">
        <v>80000</v>
      </c>
      <c r="AK28" s="318">
        <v>85000</v>
      </c>
      <c r="AL28" s="318">
        <v>85000</v>
      </c>
      <c r="AM28" s="318">
        <v>85000</v>
      </c>
      <c r="AN28" s="318">
        <v>90000</v>
      </c>
      <c r="AO28" s="318">
        <v>90000</v>
      </c>
      <c r="AP28" s="318">
        <v>90000</v>
      </c>
      <c r="AQ28" s="318"/>
      <c r="AR28" s="318"/>
      <c r="AS28" s="318"/>
      <c r="AT28" s="318"/>
      <c r="AU28" s="318"/>
      <c r="AV28" s="318"/>
      <c r="AW28" s="318"/>
      <c r="AX28" s="318"/>
      <c r="AY28" s="318"/>
      <c r="AZ28" s="318"/>
      <c r="BA28" s="838">
        <f>SUM(Y28:AZ28)</f>
        <v>1295000</v>
      </c>
    </row>
    <row r="29" spans="1:54" s="317" customFormat="1" x14ac:dyDescent="0.25">
      <c r="A29" s="736">
        <v>5952</v>
      </c>
      <c r="B29" s="652" t="s">
        <v>1391</v>
      </c>
      <c r="C29" s="650"/>
      <c r="D29" s="650"/>
      <c r="E29" s="650"/>
      <c r="F29" s="650"/>
      <c r="G29" s="650"/>
      <c r="H29" s="650"/>
      <c r="I29" s="650"/>
      <c r="J29" s="650"/>
      <c r="K29" s="318"/>
      <c r="L29" s="650"/>
      <c r="M29" s="318"/>
      <c r="N29" s="650"/>
      <c r="O29" s="318">
        <v>13000</v>
      </c>
      <c r="P29" s="650">
        <v>13000</v>
      </c>
      <c r="Q29" s="318">
        <v>18000</v>
      </c>
      <c r="R29" s="650">
        <v>18000</v>
      </c>
      <c r="S29" s="318">
        <f t="shared" si="2"/>
        <v>19000</v>
      </c>
      <c r="T29" s="318"/>
      <c r="U29" s="318"/>
      <c r="V29" s="318"/>
      <c r="W29" s="318"/>
      <c r="X29" s="318"/>
      <c r="Y29" s="318">
        <v>13000</v>
      </c>
      <c r="Z29" s="318">
        <v>18000</v>
      </c>
      <c r="AA29" s="318">
        <v>19000</v>
      </c>
      <c r="AB29" s="318">
        <v>19000</v>
      </c>
      <c r="AC29" s="318">
        <v>20000</v>
      </c>
      <c r="AD29" s="318">
        <v>21000</v>
      </c>
      <c r="AE29" s="318">
        <v>22000</v>
      </c>
      <c r="AF29" s="318">
        <v>23000</v>
      </c>
      <c r="AG29" s="318">
        <v>23000</v>
      </c>
      <c r="AH29" s="318">
        <v>24000</v>
      </c>
      <c r="AI29" s="318">
        <v>24000</v>
      </c>
      <c r="AJ29" s="318">
        <v>25000</v>
      </c>
      <c r="AK29" s="318">
        <v>25000</v>
      </c>
      <c r="AL29" s="318"/>
      <c r="AM29" s="318"/>
      <c r="AN29" s="318"/>
      <c r="AO29" s="318"/>
      <c r="AP29" s="318"/>
      <c r="AQ29" s="318"/>
      <c r="AR29" s="318"/>
      <c r="AS29" s="318"/>
      <c r="AT29" s="318"/>
      <c r="AU29" s="318"/>
      <c r="AV29" s="318"/>
      <c r="AW29" s="318"/>
      <c r="AX29" s="318"/>
      <c r="AY29" s="318"/>
      <c r="AZ29" s="318"/>
      <c r="BA29" s="838">
        <f>SUM(Y29:AZ29)</f>
        <v>276000</v>
      </c>
    </row>
    <row r="30" spans="1:54" ht="13.8" thickBot="1" x14ac:dyDescent="0.3">
      <c r="A30" s="708"/>
      <c r="B30" s="12"/>
      <c r="C30" s="15"/>
      <c r="D30" s="15"/>
      <c r="E30" s="15"/>
      <c r="F30" s="15"/>
      <c r="G30" s="15"/>
      <c r="H30" s="15"/>
      <c r="I30" s="15"/>
      <c r="J30" s="15"/>
      <c r="K30" s="16"/>
      <c r="L30" s="15"/>
      <c r="M30" s="16"/>
      <c r="N30" s="15"/>
      <c r="O30" s="16"/>
      <c r="P30" s="15"/>
      <c r="Q30" s="16"/>
      <c r="R30" s="15"/>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row>
    <row r="31" spans="1:54" x14ac:dyDescent="0.25">
      <c r="A31" s="708"/>
      <c r="B31" s="17" t="s">
        <v>1371</v>
      </c>
      <c r="C31" s="18">
        <f>SUM(C9:C30)</f>
        <v>352041.57999999996</v>
      </c>
      <c r="D31" s="18">
        <f>SUM(D9:D30)</f>
        <v>361807.59000000008</v>
      </c>
      <c r="E31" s="18">
        <f>SUM(E9:E30)</f>
        <v>396291.01</v>
      </c>
      <c r="F31" s="18">
        <f>SUM(F10:F30)</f>
        <v>406027.3</v>
      </c>
      <c r="G31" s="18">
        <f>SUM(G10:G30)</f>
        <v>417526.67000000004</v>
      </c>
      <c r="H31" s="18">
        <f>SUM(H10:H30)</f>
        <v>407748.56999999995</v>
      </c>
      <c r="I31" s="18">
        <f>SUM(I9:I30)</f>
        <v>410658.50000000006</v>
      </c>
      <c r="J31" s="18">
        <f>SUM(J9:J30)</f>
        <v>478293.7099999999</v>
      </c>
      <c r="K31" s="19">
        <f>SUM(K9:K30)</f>
        <v>580976</v>
      </c>
      <c r="L31" s="18">
        <f t="shared" ref="L31:S31" si="3">SUM(L9:L30)</f>
        <v>580650.30000000005</v>
      </c>
      <c r="M31" s="19">
        <f t="shared" si="3"/>
        <v>596064</v>
      </c>
      <c r="N31" s="18">
        <f t="shared" si="3"/>
        <v>596063.87</v>
      </c>
      <c r="O31" s="19">
        <f t="shared" si="3"/>
        <v>662515</v>
      </c>
      <c r="P31" s="18">
        <f t="shared" si="3"/>
        <v>657722.30000000005</v>
      </c>
      <c r="Q31" s="19">
        <f t="shared" si="3"/>
        <v>712490</v>
      </c>
      <c r="R31" s="18">
        <f>SUM(R10:R30)</f>
        <v>252488.73</v>
      </c>
      <c r="S31" s="19">
        <f t="shared" si="3"/>
        <v>749854</v>
      </c>
      <c r="T31" s="19">
        <f>+S31</f>
        <v>749854</v>
      </c>
      <c r="U31" s="19">
        <f>+S31</f>
        <v>749854</v>
      </c>
      <c r="V31" s="19"/>
      <c r="W31" s="19">
        <f t="shared" ref="W31:AZ31" si="4">SUM(W8:W30)</f>
        <v>580976</v>
      </c>
      <c r="X31" s="19">
        <f t="shared" si="4"/>
        <v>596064</v>
      </c>
      <c r="Y31" s="19">
        <f t="shared" si="4"/>
        <v>662515</v>
      </c>
      <c r="Z31" s="19">
        <f t="shared" si="4"/>
        <v>719005</v>
      </c>
      <c r="AA31" s="19">
        <f t="shared" si="4"/>
        <v>749854</v>
      </c>
      <c r="AB31" s="19">
        <f t="shared" si="4"/>
        <v>784258</v>
      </c>
      <c r="AC31" s="19">
        <f t="shared" si="4"/>
        <v>815698</v>
      </c>
      <c r="AD31" s="19">
        <f t="shared" si="4"/>
        <v>818670</v>
      </c>
      <c r="AE31" s="19">
        <f t="shared" si="4"/>
        <v>483714</v>
      </c>
      <c r="AF31" s="19">
        <f t="shared" si="4"/>
        <v>508790</v>
      </c>
      <c r="AG31" s="19">
        <f t="shared" si="4"/>
        <v>529899</v>
      </c>
      <c r="AH31" s="19">
        <f t="shared" si="4"/>
        <v>531041</v>
      </c>
      <c r="AI31" s="19">
        <f t="shared" si="4"/>
        <v>541218</v>
      </c>
      <c r="AJ31" s="19">
        <f t="shared" si="4"/>
        <v>550432</v>
      </c>
      <c r="AK31" s="19">
        <f t="shared" si="4"/>
        <v>560682</v>
      </c>
      <c r="AL31" s="19">
        <f t="shared" si="4"/>
        <v>549971</v>
      </c>
      <c r="AM31" s="19">
        <f t="shared" si="4"/>
        <v>558299</v>
      </c>
      <c r="AN31" s="19">
        <f t="shared" si="4"/>
        <v>575668</v>
      </c>
      <c r="AO31" s="19">
        <f t="shared" si="4"/>
        <v>552767</v>
      </c>
      <c r="AP31" s="19">
        <f t="shared" si="4"/>
        <v>526335</v>
      </c>
      <c r="AQ31" s="19">
        <f t="shared" si="4"/>
        <v>444927</v>
      </c>
      <c r="AR31" s="19">
        <f t="shared" si="4"/>
        <v>455542</v>
      </c>
      <c r="AS31" s="19">
        <f t="shared" si="4"/>
        <v>471184</v>
      </c>
      <c r="AT31" s="19">
        <f t="shared" si="4"/>
        <v>484851</v>
      </c>
      <c r="AU31" s="19">
        <f t="shared" si="4"/>
        <v>350546</v>
      </c>
      <c r="AV31" s="19">
        <f t="shared" si="4"/>
        <v>18270</v>
      </c>
      <c r="AW31" s="19">
        <f t="shared" si="4"/>
        <v>19024</v>
      </c>
      <c r="AX31" s="19">
        <f t="shared" si="4"/>
        <v>19685</v>
      </c>
      <c r="AY31" s="19">
        <f t="shared" si="4"/>
        <v>0</v>
      </c>
      <c r="AZ31" s="19">
        <f t="shared" si="4"/>
        <v>0</v>
      </c>
      <c r="BA31" s="839">
        <f>SUM(W31:AZ31)</f>
        <v>14459885</v>
      </c>
      <c r="BB31" t="s">
        <v>1392</v>
      </c>
    </row>
    <row r="32" spans="1:54" x14ac:dyDescent="0.25">
      <c r="A32" s="708"/>
      <c r="B32" s="12"/>
      <c r="C32" s="13"/>
      <c r="D32" s="126"/>
      <c r="E32" s="126"/>
      <c r="F32" s="126"/>
      <c r="G32" s="126"/>
      <c r="H32" s="126"/>
      <c r="I32" s="126"/>
      <c r="J32" s="126"/>
      <c r="K32" s="151"/>
      <c r="L32" s="126"/>
      <c r="M32" s="151"/>
      <c r="N32" s="126"/>
      <c r="O32" s="151"/>
      <c r="P32" s="126"/>
      <c r="Q32" s="151"/>
      <c r="R32" s="13"/>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593">
        <f>SUM(X31:AG31)</f>
        <v>6668467</v>
      </c>
      <c r="BB32" t="s">
        <v>1393</v>
      </c>
    </row>
    <row r="33" spans="1:54" x14ac:dyDescent="0.25">
      <c r="A33" s="708">
        <v>751</v>
      </c>
      <c r="B33" s="12" t="s">
        <v>1394</v>
      </c>
      <c r="C33" s="13"/>
      <c r="D33" s="126"/>
      <c r="E33" s="126"/>
      <c r="F33" s="126"/>
      <c r="G33" s="126"/>
      <c r="H33" s="126"/>
      <c r="I33" s="126"/>
      <c r="J33" s="126"/>
      <c r="K33" s="151"/>
      <c r="L33" s="126"/>
      <c r="M33" s="151"/>
      <c r="N33" s="126"/>
      <c r="O33" s="151"/>
      <c r="P33" s="126"/>
      <c r="Q33" s="151"/>
      <c r="R33" s="13"/>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593">
        <f>ROUND((+BA32/BA31),4)</f>
        <v>0.4612</v>
      </c>
      <c r="BB33" t="s">
        <v>1395</v>
      </c>
    </row>
    <row r="34" spans="1:54" hidden="1" x14ac:dyDescent="0.25">
      <c r="A34" s="708">
        <v>5910</v>
      </c>
      <c r="B34" s="12" t="s">
        <v>1372</v>
      </c>
      <c r="C34" s="35">
        <v>14445</v>
      </c>
      <c r="D34" s="35">
        <v>12477.5</v>
      </c>
      <c r="E34" s="35">
        <v>10605</v>
      </c>
      <c r="F34" s="35">
        <v>8715</v>
      </c>
      <c r="G34" s="35">
        <v>6807.5</v>
      </c>
      <c r="H34" s="35">
        <v>4882.5</v>
      </c>
      <c r="I34" s="200">
        <v>2940</v>
      </c>
      <c r="J34" s="200">
        <v>980</v>
      </c>
      <c r="K34" s="36">
        <v>0</v>
      </c>
      <c r="L34" s="200"/>
      <c r="M34" s="36"/>
      <c r="N34" s="200"/>
      <c r="O34" s="36"/>
      <c r="P34" s="35"/>
      <c r="Q34" s="36"/>
      <c r="R34" s="35"/>
      <c r="S34" s="36">
        <f>+Y34</f>
        <v>0</v>
      </c>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4" x14ac:dyDescent="0.25">
      <c r="A35" s="708">
        <v>5916</v>
      </c>
      <c r="B35" s="12" t="s">
        <v>1373</v>
      </c>
      <c r="C35" s="13">
        <v>19175</v>
      </c>
      <c r="D35" s="13">
        <v>16425</v>
      </c>
      <c r="E35" s="13">
        <v>13675</v>
      </c>
      <c r="F35" s="13">
        <v>10925</v>
      </c>
      <c r="G35" s="13">
        <v>8175</v>
      </c>
      <c r="H35" s="13">
        <v>6300</v>
      </c>
      <c r="I35" s="127">
        <v>5400</v>
      </c>
      <c r="J35" s="127">
        <v>4600</v>
      </c>
      <c r="K35" s="14">
        <v>3900</v>
      </c>
      <c r="L35" s="127">
        <v>3900</v>
      </c>
      <c r="M35" s="14">
        <v>3300</v>
      </c>
      <c r="N35" s="13">
        <v>3300</v>
      </c>
      <c r="O35" s="14">
        <v>2700</v>
      </c>
      <c r="P35" s="13">
        <v>2700</v>
      </c>
      <c r="Q35" s="14">
        <v>2100</v>
      </c>
      <c r="R35" s="13">
        <v>1200</v>
      </c>
      <c r="S35" s="36">
        <f t="shared" ref="S35:S43" si="5">+AA35</f>
        <v>1500</v>
      </c>
      <c r="T35" s="36"/>
      <c r="U35" s="36"/>
      <c r="V35" s="36"/>
      <c r="W35" s="14">
        <f>700+600+1400+1200</f>
        <v>3900</v>
      </c>
      <c r="X35" s="14">
        <f>600+500+1200+1000</f>
        <v>3300</v>
      </c>
      <c r="Y35" s="14">
        <f>500+400+1000+800</f>
        <v>2700</v>
      </c>
      <c r="Z35" s="14">
        <f>400+300+800+600</f>
        <v>2100</v>
      </c>
      <c r="AA35" s="14">
        <f>300+200+600+400</f>
        <v>1500</v>
      </c>
      <c r="AB35" s="14">
        <f>200+100+400+200</f>
        <v>900</v>
      </c>
      <c r="AC35" s="14">
        <f>100+200</f>
        <v>300</v>
      </c>
      <c r="AD35" s="14"/>
      <c r="AE35" s="14"/>
      <c r="AF35" s="14"/>
      <c r="AG35" s="14"/>
      <c r="AH35" s="14"/>
      <c r="AI35" s="14"/>
      <c r="AJ35" s="14"/>
      <c r="AK35" s="14"/>
      <c r="AL35" s="14"/>
      <c r="AM35" s="14"/>
      <c r="AN35" s="14"/>
      <c r="AO35" s="14"/>
      <c r="AP35" s="14"/>
      <c r="AQ35" s="14"/>
      <c r="AR35" s="14"/>
      <c r="AS35" s="14"/>
      <c r="AT35" s="14"/>
      <c r="AU35" s="14"/>
      <c r="AV35" s="14"/>
      <c r="AW35" s="14"/>
      <c r="AX35" s="14"/>
      <c r="AY35" s="14"/>
      <c r="AZ35" s="14"/>
    </row>
    <row r="36" spans="1:54" s="317" customFormat="1" x14ac:dyDescent="0.25">
      <c r="A36" s="735">
        <v>5920</v>
      </c>
      <c r="B36" s="651" t="s">
        <v>1374</v>
      </c>
      <c r="C36" s="646">
        <v>173250</v>
      </c>
      <c r="D36" s="646">
        <v>169100</v>
      </c>
      <c r="E36" s="646">
        <v>163700</v>
      </c>
      <c r="F36" s="646">
        <v>156950</v>
      </c>
      <c r="G36" s="646">
        <v>149900</v>
      </c>
      <c r="H36" s="646">
        <v>141200</v>
      </c>
      <c r="I36" s="646">
        <v>130800</v>
      </c>
      <c r="J36" s="646">
        <v>116652.53</v>
      </c>
      <c r="K36" s="591">
        <v>118944</v>
      </c>
      <c r="L36" s="646">
        <v>118943.69</v>
      </c>
      <c r="M36" s="591">
        <v>103971</v>
      </c>
      <c r="N36" s="646">
        <v>103970.26</v>
      </c>
      <c r="O36" s="591">
        <v>91159</v>
      </c>
      <c r="P36" s="646">
        <v>91158.75</v>
      </c>
      <c r="Q36" s="591">
        <v>77855</v>
      </c>
      <c r="R36" s="646">
        <v>38927.25</v>
      </c>
      <c r="S36" s="318">
        <f t="shared" si="5"/>
        <v>63812</v>
      </c>
      <c r="T36" s="318"/>
      <c r="U36" s="318"/>
      <c r="V36" s="318"/>
      <c r="W36" s="591">
        <v>118944</v>
      </c>
      <c r="X36" s="591">
        <v>103971</v>
      </c>
      <c r="Y36" s="591">
        <v>91159</v>
      </c>
      <c r="Z36" s="591">
        <v>77855</v>
      </c>
      <c r="AA36" s="591">
        <v>63812</v>
      </c>
      <c r="AB36" s="591">
        <v>49029</v>
      </c>
      <c r="AC36" s="591">
        <v>33507</v>
      </c>
      <c r="AD36" s="591">
        <v>17246</v>
      </c>
      <c r="AE36" s="591"/>
      <c r="AF36" s="591"/>
      <c r="AG36" s="591"/>
      <c r="AH36" s="591"/>
      <c r="AI36" s="591"/>
      <c r="AJ36" s="591"/>
      <c r="AK36" s="591"/>
      <c r="AL36" s="591"/>
      <c r="AM36" s="591"/>
      <c r="AN36" s="591"/>
      <c r="AO36" s="591"/>
      <c r="AP36" s="591"/>
      <c r="AQ36" s="591"/>
      <c r="AR36" s="591"/>
      <c r="AS36" s="591"/>
      <c r="AT36" s="591"/>
      <c r="AU36" s="591"/>
      <c r="AV36" s="591"/>
      <c r="AW36" s="591"/>
      <c r="AX36" s="591"/>
      <c r="AY36" s="591"/>
      <c r="AZ36" s="591"/>
      <c r="BA36" s="838"/>
    </row>
    <row r="37" spans="1:54" s="317" customFormat="1" x14ac:dyDescent="0.25">
      <c r="A37" s="735">
        <v>5930</v>
      </c>
      <c r="B37" s="594" t="s">
        <v>1375</v>
      </c>
      <c r="C37" s="646">
        <v>5857.8</v>
      </c>
      <c r="D37" s="646">
        <v>5506</v>
      </c>
      <c r="E37" s="646">
        <v>5147.08</v>
      </c>
      <c r="F37" s="646">
        <v>4780.91</v>
      </c>
      <c r="G37" s="646">
        <v>4446.9399999999996</v>
      </c>
      <c r="H37" s="646">
        <v>4026.22</v>
      </c>
      <c r="I37" s="646">
        <v>3637.42</v>
      </c>
      <c r="J37" s="646">
        <v>3240.76</v>
      </c>
      <c r="K37" s="591">
        <v>2836</v>
      </c>
      <c r="L37" s="646">
        <v>2836.08</v>
      </c>
      <c r="M37" s="591">
        <v>2424</v>
      </c>
      <c r="N37" s="646">
        <v>2423.23</v>
      </c>
      <c r="O37" s="591">
        <v>2002</v>
      </c>
      <c r="P37" s="646">
        <v>2002.02</v>
      </c>
      <c r="Q37" s="591">
        <v>1572</v>
      </c>
      <c r="R37" s="646">
        <v>894.51</v>
      </c>
      <c r="S37" s="318">
        <f t="shared" si="5"/>
        <v>1134</v>
      </c>
      <c r="T37" s="318"/>
      <c r="U37" s="318"/>
      <c r="V37" s="318"/>
      <c r="W37" s="591">
        <f>+'Split Debt Service'!G17</f>
        <v>2836</v>
      </c>
      <c r="X37" s="591">
        <f>+'Split Debt Service'!H17</f>
        <v>2424</v>
      </c>
      <c r="Y37" s="591">
        <f>+'Split Debt Service'!I17</f>
        <v>2002</v>
      </c>
      <c r="Z37" s="591">
        <f>+'Split Debt Service'!J17</f>
        <v>1572</v>
      </c>
      <c r="AA37" s="591">
        <f>+'Split Debt Service'!K17</f>
        <v>1134</v>
      </c>
      <c r="AB37" s="591">
        <f>+'Split Debt Service'!L17</f>
        <v>687</v>
      </c>
      <c r="AC37" s="591">
        <f>+'Split Debt Service'!M17</f>
        <v>231</v>
      </c>
      <c r="AD37" s="591">
        <f>+'Split Debt Service'!N17</f>
        <v>0</v>
      </c>
      <c r="AE37" s="591">
        <f>+'Split Debt Service'!O17</f>
        <v>0</v>
      </c>
      <c r="AF37" s="591">
        <f>+'Split Debt Service'!P17</f>
        <v>0</v>
      </c>
      <c r="AG37" s="591">
        <f>+'Split Debt Service'!Q17</f>
        <v>0</v>
      </c>
      <c r="AH37" s="591">
        <f>+'Split Debt Service'!R17</f>
        <v>0</v>
      </c>
      <c r="AI37" s="591">
        <f>+'Split Debt Service'!S17</f>
        <v>0</v>
      </c>
      <c r="AJ37" s="591">
        <f>+'Split Debt Service'!T17</f>
        <v>0</v>
      </c>
      <c r="AK37" s="591">
        <f>+'Split Debt Service'!U17</f>
        <v>0</v>
      </c>
      <c r="AL37" s="591">
        <f>+'Split Debt Service'!V17</f>
        <v>0</v>
      </c>
      <c r="AM37" s="591">
        <f>+'Split Debt Service'!W17</f>
        <v>0</v>
      </c>
      <c r="AN37" s="591">
        <f>+'Split Debt Service'!X17</f>
        <v>0</v>
      </c>
      <c r="AO37" s="591">
        <f>+'Split Debt Service'!Y17</f>
        <v>0</v>
      </c>
      <c r="AP37" s="591">
        <f>+'Split Debt Service'!Z17</f>
        <v>0</v>
      </c>
      <c r="AQ37" s="591">
        <f>+'Split Debt Service'!AA17</f>
        <v>0</v>
      </c>
      <c r="AR37" s="591">
        <f>+'Split Debt Service'!AB17</f>
        <v>0</v>
      </c>
      <c r="AS37" s="591">
        <f>+'Split Debt Service'!AC17</f>
        <v>0</v>
      </c>
      <c r="AT37" s="591">
        <f>+'Split Debt Service'!AD17</f>
        <v>0</v>
      </c>
      <c r="AU37" s="591">
        <f>+'Split Debt Service'!AE17</f>
        <v>0</v>
      </c>
      <c r="AV37" s="591">
        <f>+'Split Debt Service'!AF17</f>
        <v>0</v>
      </c>
      <c r="AW37" s="591">
        <f>+'Split Debt Service'!AG17</f>
        <v>0</v>
      </c>
      <c r="AX37" s="591">
        <f>+'Split Debt Service'!AH17</f>
        <v>0</v>
      </c>
      <c r="AY37" s="591">
        <f>+'Split Debt Service'!AI17</f>
        <v>0</v>
      </c>
      <c r="AZ37" s="591">
        <f>+'Split Debt Service'!AJ17</f>
        <v>0</v>
      </c>
      <c r="BA37" s="838"/>
    </row>
    <row r="38" spans="1:54" s="317" customFormat="1" x14ac:dyDescent="0.25">
      <c r="A38" s="735" t="s">
        <v>1396</v>
      </c>
      <c r="B38" s="594" t="s">
        <v>1397</v>
      </c>
      <c r="C38" s="650">
        <v>552.4</v>
      </c>
      <c r="D38" s="650">
        <v>412.96</v>
      </c>
      <c r="E38" s="650">
        <v>386.04</v>
      </c>
      <c r="F38" s="650">
        <v>358.57</v>
      </c>
      <c r="G38" s="650">
        <v>330.55</v>
      </c>
      <c r="H38" s="650">
        <v>301.97000000000003</v>
      </c>
      <c r="I38" s="646">
        <v>272.81</v>
      </c>
      <c r="J38" s="650">
        <v>243.06</v>
      </c>
      <c r="K38" s="318">
        <v>213</v>
      </c>
      <c r="L38" s="650">
        <v>212.71</v>
      </c>
      <c r="M38" s="318">
        <v>182</v>
      </c>
      <c r="N38" s="650">
        <v>181.75</v>
      </c>
      <c r="O38" s="318">
        <v>151</v>
      </c>
      <c r="P38" s="650">
        <v>150.15</v>
      </c>
      <c r="Q38" s="318">
        <v>118</v>
      </c>
      <c r="R38" s="650">
        <v>67.099999999999994</v>
      </c>
      <c r="S38" s="318">
        <f t="shared" si="5"/>
        <v>85</v>
      </c>
      <c r="T38" s="318"/>
      <c r="U38" s="318"/>
      <c r="V38" s="318"/>
      <c r="W38" s="591">
        <f>+'Split Debt Service'!G18</f>
        <v>213</v>
      </c>
      <c r="X38" s="591">
        <f>+'Split Debt Service'!H18</f>
        <v>182</v>
      </c>
      <c r="Y38" s="591">
        <f>+'Split Debt Service'!I18</f>
        <v>150</v>
      </c>
      <c r="Z38" s="591">
        <f>+'Split Debt Service'!J18</f>
        <v>118</v>
      </c>
      <c r="AA38" s="591">
        <f>+'Split Debt Service'!K18</f>
        <v>85</v>
      </c>
      <c r="AB38" s="591">
        <f>+'Split Debt Service'!L18</f>
        <v>52</v>
      </c>
      <c r="AC38" s="591">
        <f>+'Split Debt Service'!M18</f>
        <v>178</v>
      </c>
      <c r="AD38" s="591">
        <f>+'Split Debt Service'!N18</f>
        <v>0</v>
      </c>
      <c r="AE38" s="591">
        <f>+'Split Debt Service'!O18</f>
        <v>0</v>
      </c>
      <c r="AF38" s="591">
        <f>+'Split Debt Service'!P18</f>
        <v>0</v>
      </c>
      <c r="AG38" s="591">
        <f>+'Split Debt Service'!Q18</f>
        <v>0</v>
      </c>
      <c r="AH38" s="591">
        <f>+'Split Debt Service'!R18</f>
        <v>0</v>
      </c>
      <c r="AI38" s="591">
        <f>+'Split Debt Service'!S18</f>
        <v>0</v>
      </c>
      <c r="AJ38" s="591">
        <f>+'Split Debt Service'!T18</f>
        <v>0</v>
      </c>
      <c r="AK38" s="591">
        <f>+'Split Debt Service'!U18</f>
        <v>0</v>
      </c>
      <c r="AL38" s="591">
        <f>+'Split Debt Service'!V18</f>
        <v>0</v>
      </c>
      <c r="AM38" s="591">
        <f>+'Split Debt Service'!W18</f>
        <v>0</v>
      </c>
      <c r="AN38" s="591">
        <f>+'Split Debt Service'!X18</f>
        <v>0</v>
      </c>
      <c r="AO38" s="591">
        <f>+'Split Debt Service'!Y18</f>
        <v>0</v>
      </c>
      <c r="AP38" s="591">
        <f>+'Split Debt Service'!Z18</f>
        <v>0</v>
      </c>
      <c r="AQ38" s="591">
        <f>+'Split Debt Service'!AA18</f>
        <v>0</v>
      </c>
      <c r="AR38" s="591">
        <f>+'Split Debt Service'!AB18</f>
        <v>0</v>
      </c>
      <c r="AS38" s="591">
        <f>+'Split Debt Service'!AC18</f>
        <v>0</v>
      </c>
      <c r="AT38" s="591">
        <f>+'Split Debt Service'!AD18</f>
        <v>0</v>
      </c>
      <c r="AU38" s="591">
        <f>+'Split Debt Service'!AE18</f>
        <v>0</v>
      </c>
      <c r="AV38" s="591">
        <f>+'Split Debt Service'!AF18</f>
        <v>0</v>
      </c>
      <c r="AW38" s="591">
        <f>+'Split Debt Service'!AG18</f>
        <v>0</v>
      </c>
      <c r="AX38" s="591">
        <f>+'Split Debt Service'!AH18</f>
        <v>0</v>
      </c>
      <c r="AY38" s="591">
        <f>+'Split Debt Service'!AI18</f>
        <v>0</v>
      </c>
      <c r="AZ38" s="591">
        <f>+'Split Debt Service'!AJ18</f>
        <v>0</v>
      </c>
      <c r="BA38" s="838"/>
    </row>
    <row r="39" spans="1:54" s="317" customFormat="1" x14ac:dyDescent="0.25">
      <c r="A39" s="735">
        <v>5931</v>
      </c>
      <c r="B39" s="594" t="s">
        <v>1376</v>
      </c>
      <c r="C39" s="650">
        <v>16489.34</v>
      </c>
      <c r="D39" s="646">
        <v>16015.69</v>
      </c>
      <c r="E39" s="646">
        <v>15530.44</v>
      </c>
      <c r="F39" s="646">
        <v>15033.34</v>
      </c>
      <c r="G39" s="646">
        <v>14524.1</v>
      </c>
      <c r="H39" s="646">
        <v>14002.41</v>
      </c>
      <c r="I39" s="646">
        <v>13467.98</v>
      </c>
      <c r="J39" s="650">
        <v>12920.49</v>
      </c>
      <c r="K39" s="318">
        <v>12360</v>
      </c>
      <c r="L39" s="650">
        <v>12359.62</v>
      </c>
      <c r="M39" s="318">
        <v>11785</v>
      </c>
      <c r="N39" s="650">
        <v>11785.05</v>
      </c>
      <c r="O39" s="318">
        <v>11197</v>
      </c>
      <c r="P39" s="650">
        <v>11196.43</v>
      </c>
      <c r="Q39" s="318">
        <v>10594</v>
      </c>
      <c r="R39" s="650">
        <v>5449.28</v>
      </c>
      <c r="S39" s="318">
        <f t="shared" si="5"/>
        <v>9976</v>
      </c>
      <c r="T39" s="318"/>
      <c r="U39" s="318"/>
      <c r="V39" s="318"/>
      <c r="W39" s="591">
        <f>+'Split Debt Service'!G19</f>
        <v>12360</v>
      </c>
      <c r="X39" s="591">
        <f>+'Split Debt Service'!H19</f>
        <v>11785</v>
      </c>
      <c r="Y39" s="591">
        <f>+'Split Debt Service'!I19</f>
        <v>11197</v>
      </c>
      <c r="Z39" s="591">
        <f>+'Split Debt Service'!J19</f>
        <v>10594</v>
      </c>
      <c r="AA39" s="591">
        <f>+'Split Debt Service'!K19</f>
        <v>9976</v>
      </c>
      <c r="AB39" s="591">
        <f>+'Split Debt Service'!L19</f>
        <v>9343</v>
      </c>
      <c r="AC39" s="591">
        <f>+'Split Debt Service'!M19</f>
        <v>8695</v>
      </c>
      <c r="AD39" s="591">
        <f>+'Split Debt Service'!N19</f>
        <v>8030</v>
      </c>
      <c r="AE39" s="591">
        <f>+'Split Debt Service'!O19</f>
        <v>7350</v>
      </c>
      <c r="AF39" s="591">
        <f>+'Split Debt Service'!P19</f>
        <v>6653</v>
      </c>
      <c r="AG39" s="591">
        <f>+'Split Debt Service'!Q19</f>
        <v>5939</v>
      </c>
      <c r="AH39" s="591">
        <f>+'Split Debt Service'!R19</f>
        <v>5208</v>
      </c>
      <c r="AI39" s="591">
        <f>+'Split Debt Service'!S19</f>
        <v>4458</v>
      </c>
      <c r="AJ39" s="591">
        <f>+'Split Debt Service'!T19</f>
        <v>3691</v>
      </c>
      <c r="AK39" s="591">
        <f>+'Split Debt Service'!U19</f>
        <v>2904</v>
      </c>
      <c r="AL39" s="591">
        <f>+'Split Debt Service'!V19</f>
        <v>2099</v>
      </c>
      <c r="AM39" s="591">
        <f>+'Split Debt Service'!W19</f>
        <v>1274</v>
      </c>
      <c r="AN39" s="591">
        <f>+'Split Debt Service'!X19</f>
        <v>428</v>
      </c>
      <c r="AO39" s="591">
        <f>+'Split Debt Service'!Y19</f>
        <v>0</v>
      </c>
      <c r="AP39" s="591">
        <f>+'Split Debt Service'!Z19</f>
        <v>0</v>
      </c>
      <c r="AQ39" s="591">
        <f>+'Split Debt Service'!AA19</f>
        <v>0</v>
      </c>
      <c r="AR39" s="591">
        <f>+'Split Debt Service'!AB19</f>
        <v>0</v>
      </c>
      <c r="AS39" s="591">
        <f>+'Split Debt Service'!AC19</f>
        <v>0</v>
      </c>
      <c r="AT39" s="591">
        <f>+'Split Debt Service'!AD19</f>
        <v>0</v>
      </c>
      <c r="AU39" s="591">
        <f>+'Split Debt Service'!AE19</f>
        <v>0</v>
      </c>
      <c r="AV39" s="591">
        <f>+'Split Debt Service'!AF19</f>
        <v>0</v>
      </c>
      <c r="AW39" s="591">
        <f>+'Split Debt Service'!AG19</f>
        <v>0</v>
      </c>
      <c r="AX39" s="591">
        <f>+'Split Debt Service'!AH19</f>
        <v>0</v>
      </c>
      <c r="AY39" s="591">
        <f>+'Split Debt Service'!AI19</f>
        <v>0</v>
      </c>
      <c r="AZ39" s="591">
        <f>+'Split Debt Service'!AJ19</f>
        <v>0</v>
      </c>
      <c r="BA39" s="838"/>
    </row>
    <row r="40" spans="1:54" s="317" customFormat="1" x14ac:dyDescent="0.25">
      <c r="A40" s="735" t="s">
        <v>1398</v>
      </c>
      <c r="B40" s="594" t="s">
        <v>1399</v>
      </c>
      <c r="C40" s="650">
        <v>1024.6199999999999</v>
      </c>
      <c r="D40" s="646">
        <v>995.18</v>
      </c>
      <c r="E40" s="646">
        <v>965.02</v>
      </c>
      <c r="F40" s="646">
        <v>934.13</v>
      </c>
      <c r="G40" s="646">
        <v>902.49</v>
      </c>
      <c r="H40" s="646">
        <v>870.08</v>
      </c>
      <c r="I40" s="646">
        <v>836.87</v>
      </c>
      <c r="J40" s="650">
        <v>802.85</v>
      </c>
      <c r="K40" s="318">
        <v>768</v>
      </c>
      <c r="L40" s="650">
        <v>768</v>
      </c>
      <c r="M40" s="318">
        <v>732</v>
      </c>
      <c r="N40" s="650">
        <v>732.3</v>
      </c>
      <c r="O40" s="318">
        <v>696</v>
      </c>
      <c r="P40" s="650">
        <v>695.72</v>
      </c>
      <c r="Q40" s="318">
        <v>658</v>
      </c>
      <c r="R40" s="650">
        <v>338.6</v>
      </c>
      <c r="S40" s="318">
        <v>620</v>
      </c>
      <c r="T40" s="318"/>
      <c r="U40" s="318"/>
      <c r="V40" s="318"/>
      <c r="W40" s="591">
        <f>+'Split Debt Service'!G20</f>
        <v>768</v>
      </c>
      <c r="X40" s="591">
        <f>+'Split Debt Service'!H20</f>
        <v>732</v>
      </c>
      <c r="Y40" s="591">
        <f>+'Split Debt Service'!I20</f>
        <v>696</v>
      </c>
      <c r="Z40" s="591">
        <f>+'Split Debt Service'!J20</f>
        <v>658</v>
      </c>
      <c r="AA40" s="591">
        <f>+'Split Debt Service'!K20</f>
        <v>580</v>
      </c>
      <c r="AB40" s="591">
        <f>+'Split Debt Service'!L20</f>
        <v>581</v>
      </c>
      <c r="AC40" s="591">
        <f>+'Split Debt Service'!M20</f>
        <v>540</v>
      </c>
      <c r="AD40" s="591">
        <f>+'Split Debt Service'!N20</f>
        <v>499</v>
      </c>
      <c r="AE40" s="591">
        <f>+'Split Debt Service'!O20</f>
        <v>457</v>
      </c>
      <c r="AF40" s="591">
        <f>+'Split Debt Service'!P20</f>
        <v>414</v>
      </c>
      <c r="AG40" s="591">
        <f>+'Split Debt Service'!Q20</f>
        <v>369</v>
      </c>
      <c r="AH40" s="591">
        <f>+'Split Debt Service'!R20</f>
        <v>324</v>
      </c>
      <c r="AI40" s="591">
        <f>+'Split Debt Service'!S20</f>
        <v>277</v>
      </c>
      <c r="AJ40" s="591">
        <f>+'Split Debt Service'!T20</f>
        <v>230</v>
      </c>
      <c r="AK40" s="591">
        <f>+'Split Debt Service'!U20</f>
        <v>181</v>
      </c>
      <c r="AL40" s="591">
        <f>+'Split Debt Service'!V20</f>
        <v>131</v>
      </c>
      <c r="AM40" s="591">
        <f>+'Split Debt Service'!W20</f>
        <v>79</v>
      </c>
      <c r="AN40" s="591">
        <f>+'Split Debt Service'!X20</f>
        <v>27</v>
      </c>
      <c r="AO40" s="591">
        <f>+'Split Debt Service'!Y20</f>
        <v>0</v>
      </c>
      <c r="AP40" s="591">
        <f>+'Split Debt Service'!Z20</f>
        <v>0</v>
      </c>
      <c r="AQ40" s="591">
        <f>+'Split Debt Service'!AA20</f>
        <v>0</v>
      </c>
      <c r="AR40" s="591">
        <f>+'Split Debt Service'!AB20</f>
        <v>0</v>
      </c>
      <c r="AS40" s="591">
        <f>+'Split Debt Service'!AC20</f>
        <v>0</v>
      </c>
      <c r="AT40" s="591">
        <f>+'Split Debt Service'!AD20</f>
        <v>0</v>
      </c>
      <c r="AU40" s="591">
        <f>+'Split Debt Service'!AE20</f>
        <v>0</v>
      </c>
      <c r="AV40" s="591">
        <f>+'Split Debt Service'!AF20</f>
        <v>0</v>
      </c>
      <c r="AW40" s="591">
        <f>+'Split Debt Service'!AG20</f>
        <v>0</v>
      </c>
      <c r="AX40" s="591">
        <f>+'Split Debt Service'!AH20</f>
        <v>0</v>
      </c>
      <c r="AY40" s="591">
        <f>+'Split Debt Service'!AI20</f>
        <v>0</v>
      </c>
      <c r="AZ40" s="591">
        <f>+'Split Debt Service'!AJ20</f>
        <v>0</v>
      </c>
      <c r="BA40" s="838"/>
    </row>
    <row r="41" spans="1:54" s="317" customFormat="1" x14ac:dyDescent="0.25">
      <c r="A41" s="735">
        <v>5932</v>
      </c>
      <c r="B41" s="594" t="s">
        <v>1377</v>
      </c>
      <c r="C41" s="650">
        <v>16873.62</v>
      </c>
      <c r="D41" s="646">
        <v>16873.62</v>
      </c>
      <c r="E41" s="646">
        <v>16636.099999999999</v>
      </c>
      <c r="F41" s="646">
        <v>16388.18</v>
      </c>
      <c r="G41" s="646">
        <v>16129.41</v>
      </c>
      <c r="H41" s="646">
        <v>15859.33</v>
      </c>
      <c r="I41" s="646">
        <v>15577.42</v>
      </c>
      <c r="J41" s="650">
        <v>18523.64</v>
      </c>
      <c r="K41" s="318">
        <v>10765</v>
      </c>
      <c r="L41" s="650">
        <v>10765.06</v>
      </c>
      <c r="M41" s="318">
        <v>10103</v>
      </c>
      <c r="N41" s="650">
        <v>10102.5</v>
      </c>
      <c r="O41" s="318">
        <v>9703</v>
      </c>
      <c r="P41" s="650">
        <v>9705.2000000000007</v>
      </c>
      <c r="Q41" s="318">
        <v>9303</v>
      </c>
      <c r="R41" s="650">
        <v>4651.25</v>
      </c>
      <c r="S41" s="318">
        <f t="shared" si="5"/>
        <v>8803</v>
      </c>
      <c r="T41" s="318"/>
      <c r="U41" s="318"/>
      <c r="V41" s="318"/>
      <c r="W41" s="591">
        <f>+'Split Debt Service'!G21</f>
        <v>10765</v>
      </c>
      <c r="X41" s="591">
        <f>+'Split Debt Service'!H21</f>
        <v>10103</v>
      </c>
      <c r="Y41" s="591">
        <f>+'Split Debt Service'!I21</f>
        <v>9703</v>
      </c>
      <c r="Z41" s="591">
        <f>+'Split Debt Service'!J21</f>
        <v>9303</v>
      </c>
      <c r="AA41" s="591">
        <f>+'Split Debt Service'!K21</f>
        <v>8803</v>
      </c>
      <c r="AB41" s="591">
        <f>+'Split Debt Service'!L21</f>
        <v>8303</v>
      </c>
      <c r="AC41" s="591">
        <f>+'Split Debt Service'!M21</f>
        <v>7803</v>
      </c>
      <c r="AD41" s="591">
        <f>+'Split Debt Service'!N21</f>
        <v>7303</v>
      </c>
      <c r="AE41" s="591">
        <f>+'Split Debt Service'!O21</f>
        <v>6703</v>
      </c>
      <c r="AF41" s="591">
        <f>+'Split Debt Service'!P21</f>
        <v>6103</v>
      </c>
      <c r="AG41" s="591">
        <f>+'Split Debt Service'!Q21</f>
        <v>5503</v>
      </c>
      <c r="AH41" s="591">
        <f>+'Split Debt Service'!R21</f>
        <v>5223</v>
      </c>
      <c r="AI41" s="591">
        <f>+'Split Debt Service'!S21</f>
        <v>4943</v>
      </c>
      <c r="AJ41" s="591">
        <f>+'Split Debt Service'!T21</f>
        <v>4663</v>
      </c>
      <c r="AK41" s="591">
        <f>+'Split Debt Service'!U21</f>
        <v>4365</v>
      </c>
      <c r="AL41" s="591">
        <f>+'Split Debt Service'!V21</f>
        <v>4068</v>
      </c>
      <c r="AM41" s="591">
        <f>+'Split Debt Service'!W21</f>
        <v>3753</v>
      </c>
      <c r="AN41" s="591">
        <f>+'Split Debt Service'!X21</f>
        <v>3420</v>
      </c>
      <c r="AO41" s="591">
        <f>+'Split Debt Service'!Y21</f>
        <v>3040</v>
      </c>
      <c r="AP41" s="591">
        <f>+'Split Debt Service'!Z21</f>
        <v>2660</v>
      </c>
      <c r="AQ41" s="591">
        <f>+'Split Debt Service'!AA21</f>
        <v>2260</v>
      </c>
      <c r="AR41" s="591">
        <f>+'Split Debt Service'!AB21</f>
        <v>1860</v>
      </c>
      <c r="AS41" s="591">
        <f>+'Split Debt Service'!AC21</f>
        <v>1440</v>
      </c>
      <c r="AT41" s="591">
        <f>+'Split Debt Service'!AD21</f>
        <v>968</v>
      </c>
      <c r="AU41" s="591">
        <f>+'Split Debt Service'!AE21</f>
        <v>495</v>
      </c>
      <c r="AV41" s="591">
        <f>+'Split Debt Service'!AF21</f>
        <v>0</v>
      </c>
      <c r="AW41" s="591">
        <f>+'Split Debt Service'!AG21</f>
        <v>0</v>
      </c>
      <c r="AX41" s="591">
        <f>+'Split Debt Service'!AH21</f>
        <v>0</v>
      </c>
      <c r="AY41" s="591">
        <f>+'Split Debt Service'!AI21</f>
        <v>0</v>
      </c>
      <c r="AZ41" s="591">
        <f>+'Split Debt Service'!AJ21</f>
        <v>0</v>
      </c>
      <c r="BA41" s="838"/>
    </row>
    <row r="42" spans="1:54" s="317" customFormat="1" x14ac:dyDescent="0.25">
      <c r="A42" s="735">
        <v>5933</v>
      </c>
      <c r="B42" s="594" t="s">
        <v>1378</v>
      </c>
      <c r="C42" s="650">
        <v>15807.2</v>
      </c>
      <c r="D42" s="646">
        <v>15608.47</v>
      </c>
      <c r="E42" s="646">
        <v>15401.74</v>
      </c>
      <c r="F42" s="646">
        <v>15186.5</v>
      </c>
      <c r="G42" s="646">
        <v>14962.36</v>
      </c>
      <c r="H42" s="646">
        <v>14728.98</v>
      </c>
      <c r="I42" s="646">
        <v>14485.98</v>
      </c>
      <c r="J42" s="650">
        <v>14232.95</v>
      </c>
      <c r="K42" s="318">
        <v>13970</v>
      </c>
      <c r="L42" s="650">
        <v>13969.49</v>
      </c>
      <c r="M42" s="318">
        <v>13695</v>
      </c>
      <c r="N42" s="650">
        <v>13695.15</v>
      </c>
      <c r="O42" s="318">
        <v>13410</v>
      </c>
      <c r="P42" s="650">
        <v>13409.5</v>
      </c>
      <c r="Q42" s="318">
        <v>13112</v>
      </c>
      <c r="R42" s="650">
        <v>13112.07</v>
      </c>
      <c r="S42" s="318">
        <f t="shared" si="5"/>
        <v>12802</v>
      </c>
      <c r="T42" s="318"/>
      <c r="U42" s="318"/>
      <c r="V42" s="318"/>
      <c r="W42" s="591">
        <f>+'Split Debt Service'!G22</f>
        <v>13970</v>
      </c>
      <c r="X42" s="591">
        <f>+'Split Debt Service'!H22</f>
        <v>13695</v>
      </c>
      <c r="Y42" s="591">
        <f>+'Split Debt Service'!I22</f>
        <v>13410</v>
      </c>
      <c r="Z42" s="591">
        <f>+'Split Debt Service'!J22</f>
        <v>13112</v>
      </c>
      <c r="AA42" s="591">
        <f>+'Split Debt Service'!K22</f>
        <v>12802</v>
      </c>
      <c r="AB42" s="591">
        <f>+'Split Debt Service'!L22</f>
        <v>12480</v>
      </c>
      <c r="AC42" s="591">
        <f>+'Split Debt Service'!M22</f>
        <v>12144</v>
      </c>
      <c r="AD42" s="591">
        <f>+'Split Debt Service'!N22</f>
        <v>11795</v>
      </c>
      <c r="AE42" s="591">
        <f>+'Split Debt Service'!O22</f>
        <v>11431</v>
      </c>
      <c r="AF42" s="591">
        <f>+'Split Debt Service'!P22</f>
        <v>11052</v>
      </c>
      <c r="AG42" s="591">
        <f>+'Split Debt Service'!Q22</f>
        <v>10657</v>
      </c>
      <c r="AH42" s="591">
        <f>+'Split Debt Service'!R22</f>
        <v>10246</v>
      </c>
      <c r="AI42" s="591">
        <f>+'Split Debt Service'!S22</f>
        <v>9818</v>
      </c>
      <c r="AJ42" s="591">
        <f>+'Split Debt Service'!T22</f>
        <v>9372</v>
      </c>
      <c r="AK42" s="591">
        <f>+'Split Debt Service'!U22</f>
        <v>8908</v>
      </c>
      <c r="AL42" s="591">
        <f>+'Split Debt Service'!V22</f>
        <v>8425</v>
      </c>
      <c r="AM42" s="591">
        <f>+'Split Debt Service'!W22</f>
        <v>7922</v>
      </c>
      <c r="AN42" s="591">
        <f>+'Split Debt Service'!X22</f>
        <v>7398</v>
      </c>
      <c r="AO42" s="591">
        <f>+'Split Debt Service'!Y22</f>
        <v>6853</v>
      </c>
      <c r="AP42" s="591">
        <f>+'Split Debt Service'!Z22</f>
        <v>6285</v>
      </c>
      <c r="AQ42" s="591">
        <f>+'Split Debt Service'!AA22</f>
        <v>5694</v>
      </c>
      <c r="AR42" s="591">
        <f>+'Split Debt Service'!AB22</f>
        <v>5078</v>
      </c>
      <c r="AS42" s="591">
        <f>+'Split Debt Service'!AC22</f>
        <v>4437</v>
      </c>
      <c r="AT42" s="591">
        <f>+'Split Debt Service'!AD22</f>
        <v>3769</v>
      </c>
      <c r="AU42" s="591">
        <f>+'Split Debt Service'!AE22</f>
        <v>3074</v>
      </c>
      <c r="AV42" s="591">
        <f>+'Split Debt Service'!AF22</f>
        <v>1150</v>
      </c>
      <c r="AW42" s="591">
        <f>+'Split Debt Service'!AG22</f>
        <v>1597</v>
      </c>
      <c r="AX42" s="591">
        <f>+'Split Debt Service'!AH22</f>
        <v>812</v>
      </c>
      <c r="AY42" s="591">
        <f>+'Split Debt Service'!AI22</f>
        <v>0</v>
      </c>
      <c r="AZ42" s="591">
        <f>+'Split Debt Service'!AJ22</f>
        <v>0</v>
      </c>
      <c r="BA42" s="838"/>
    </row>
    <row r="43" spans="1:54" x14ac:dyDescent="0.25">
      <c r="A43" s="708">
        <v>5934</v>
      </c>
      <c r="B43" s="12" t="s">
        <v>1379</v>
      </c>
      <c r="C43" s="35">
        <v>2875</v>
      </c>
      <c r="D43" s="35">
        <v>2775</v>
      </c>
      <c r="E43" s="35">
        <v>2650</v>
      </c>
      <c r="F43" s="35">
        <v>2500</v>
      </c>
      <c r="G43" s="35">
        <v>2350</v>
      </c>
      <c r="H43" s="35">
        <v>2175</v>
      </c>
      <c r="I43" s="200">
        <v>1975</v>
      </c>
      <c r="J43" s="200">
        <v>1775</v>
      </c>
      <c r="K43" s="36">
        <v>1751</v>
      </c>
      <c r="L43" s="200">
        <v>1750.06</v>
      </c>
      <c r="M43" s="36">
        <v>1530</v>
      </c>
      <c r="N43" s="35">
        <v>1529.76</v>
      </c>
      <c r="O43" s="36">
        <v>1342</v>
      </c>
      <c r="P43" s="35">
        <v>1341.25</v>
      </c>
      <c r="Q43" s="36">
        <v>1146</v>
      </c>
      <c r="R43" s="35">
        <v>572.75</v>
      </c>
      <c r="S43" s="36">
        <f t="shared" si="5"/>
        <v>939</v>
      </c>
      <c r="T43" s="36"/>
      <c r="U43" s="36"/>
      <c r="V43" s="36"/>
      <c r="W43" s="36">
        <v>1751</v>
      </c>
      <c r="X43" s="36">
        <v>1530</v>
      </c>
      <c r="Y43" s="36">
        <v>1342</v>
      </c>
      <c r="Z43" s="36">
        <v>1146</v>
      </c>
      <c r="AA43" s="36">
        <v>939</v>
      </c>
      <c r="AB43" s="36">
        <v>722</v>
      </c>
      <c r="AC43" s="36">
        <v>493</v>
      </c>
      <c r="AD43" s="36">
        <v>254</v>
      </c>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4" x14ac:dyDescent="0.25">
      <c r="A44" s="708">
        <v>5936</v>
      </c>
      <c r="B44" s="27" t="s">
        <v>1400</v>
      </c>
      <c r="C44" s="35"/>
      <c r="D44" s="35">
        <v>3173.22</v>
      </c>
      <c r="E44" s="35">
        <v>3046</v>
      </c>
      <c r="F44" s="35">
        <v>2915.59</v>
      </c>
      <c r="G44" s="35">
        <v>2781.92</v>
      </c>
      <c r="H44" s="35">
        <v>2644.89</v>
      </c>
      <c r="I44" s="200">
        <v>2504.46</v>
      </c>
      <c r="J44" s="200">
        <v>2360.5100000000002</v>
      </c>
      <c r="K44" s="36">
        <v>2213</v>
      </c>
      <c r="L44" s="200">
        <v>2212.98</v>
      </c>
      <c r="M44" s="36">
        <v>2062</v>
      </c>
      <c r="N44" s="35">
        <v>2061.7399999999998</v>
      </c>
      <c r="O44" s="36">
        <v>1907</v>
      </c>
      <c r="P44" s="35">
        <v>491.29</v>
      </c>
      <c r="Q44" s="36"/>
      <c r="R44" s="35"/>
      <c r="S44" s="976"/>
      <c r="T44" s="36"/>
      <c r="U44" s="36"/>
      <c r="V44" s="36"/>
      <c r="W44" s="36">
        <v>2213</v>
      </c>
      <c r="X44" s="36">
        <v>2062</v>
      </c>
      <c r="Y44" s="36">
        <v>1907</v>
      </c>
      <c r="Z44" s="36">
        <v>1748</v>
      </c>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4" s="317" customFormat="1" x14ac:dyDescent="0.25">
      <c r="A45" s="736">
        <v>5937</v>
      </c>
      <c r="B45" s="652" t="s">
        <v>1401</v>
      </c>
      <c r="C45" s="650"/>
      <c r="D45" s="650"/>
      <c r="E45" s="650">
        <v>2860.82</v>
      </c>
      <c r="F45" s="650">
        <v>3275</v>
      </c>
      <c r="G45" s="650">
        <v>3125</v>
      </c>
      <c r="H45" s="650">
        <v>2975</v>
      </c>
      <c r="I45" s="650">
        <v>2825</v>
      </c>
      <c r="J45" s="650">
        <v>2675</v>
      </c>
      <c r="K45" s="318">
        <v>2525</v>
      </c>
      <c r="L45" s="650">
        <v>2525</v>
      </c>
      <c r="M45" s="318">
        <v>2375</v>
      </c>
      <c r="N45" s="650">
        <v>2375</v>
      </c>
      <c r="O45" s="318">
        <v>2225</v>
      </c>
      <c r="P45" s="650">
        <v>2225</v>
      </c>
      <c r="Q45" s="318">
        <v>2075</v>
      </c>
      <c r="R45" s="650">
        <v>1037.5</v>
      </c>
      <c r="S45" s="318">
        <f t="shared" ref="S45:S54" si="6">+AA45</f>
        <v>1925</v>
      </c>
      <c r="T45" s="318"/>
      <c r="U45" s="318"/>
      <c r="V45" s="318"/>
      <c r="W45" s="318">
        <v>2525</v>
      </c>
      <c r="X45" s="318">
        <v>2375</v>
      </c>
      <c r="Y45" s="318">
        <v>2225</v>
      </c>
      <c r="Z45" s="318">
        <v>2075</v>
      </c>
      <c r="AA45" s="318">
        <v>1925</v>
      </c>
      <c r="AB45" s="318">
        <v>1738</v>
      </c>
      <c r="AC45" s="318">
        <v>1550</v>
      </c>
      <c r="AD45" s="318">
        <v>1363</v>
      </c>
      <c r="AE45" s="318">
        <v>1175</v>
      </c>
      <c r="AF45" s="318">
        <v>988</v>
      </c>
      <c r="AG45" s="318">
        <v>800</v>
      </c>
      <c r="AH45" s="318">
        <v>600</v>
      </c>
      <c r="AI45" s="318">
        <v>400</v>
      </c>
      <c r="AJ45" s="318">
        <v>200</v>
      </c>
      <c r="AK45" s="318"/>
      <c r="AL45" s="318"/>
      <c r="AM45" s="318"/>
      <c r="AN45" s="318"/>
      <c r="AO45" s="318"/>
      <c r="AP45" s="318"/>
      <c r="AQ45" s="318"/>
      <c r="AR45" s="318"/>
      <c r="AS45" s="318"/>
      <c r="AT45" s="318"/>
      <c r="AU45" s="318"/>
      <c r="AV45" s="318"/>
      <c r="AW45" s="318"/>
      <c r="AX45" s="318"/>
      <c r="AY45" s="318"/>
      <c r="AZ45" s="318"/>
      <c r="BA45" s="838"/>
    </row>
    <row r="46" spans="1:54" hidden="1" x14ac:dyDescent="0.25">
      <c r="A46" s="725">
        <v>5938</v>
      </c>
      <c r="B46" s="12" t="s">
        <v>1383</v>
      </c>
      <c r="C46" s="35"/>
      <c r="D46" s="35"/>
      <c r="E46" s="35">
        <v>1290</v>
      </c>
      <c r="F46" s="35">
        <v>1290</v>
      </c>
      <c r="G46" s="35">
        <v>1075</v>
      </c>
      <c r="H46" s="35">
        <v>860</v>
      </c>
      <c r="I46" s="35">
        <v>645</v>
      </c>
      <c r="J46" s="35">
        <v>430</v>
      </c>
      <c r="K46" s="36">
        <v>215</v>
      </c>
      <c r="L46" s="35">
        <v>215</v>
      </c>
      <c r="M46" s="36"/>
      <c r="N46" s="35"/>
      <c r="O46" s="36"/>
      <c r="P46" s="35"/>
      <c r="Q46" s="36"/>
      <c r="R46" s="35"/>
      <c r="S46" s="36">
        <f t="shared" si="6"/>
        <v>0</v>
      </c>
      <c r="T46" s="36"/>
      <c r="U46" s="36"/>
      <c r="V46" s="36"/>
      <c r="W46" s="36">
        <v>215</v>
      </c>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4" hidden="1" x14ac:dyDescent="0.25">
      <c r="A47" s="725">
        <v>5939</v>
      </c>
      <c r="B47" s="12" t="s">
        <v>1384</v>
      </c>
      <c r="C47" s="35"/>
      <c r="D47" s="35"/>
      <c r="E47" s="35">
        <v>1692.5</v>
      </c>
      <c r="F47" s="35">
        <v>1290</v>
      </c>
      <c r="G47" s="35">
        <v>1075</v>
      </c>
      <c r="H47" s="35">
        <v>860</v>
      </c>
      <c r="I47" s="35">
        <v>645</v>
      </c>
      <c r="J47" s="35">
        <v>430</v>
      </c>
      <c r="K47" s="36">
        <v>215</v>
      </c>
      <c r="L47" s="35">
        <v>215</v>
      </c>
      <c r="M47" s="36"/>
      <c r="N47" s="35"/>
      <c r="O47" s="36"/>
      <c r="P47" s="35"/>
      <c r="Q47" s="36"/>
      <c r="R47" s="35"/>
      <c r="S47" s="36">
        <f t="shared" si="6"/>
        <v>0</v>
      </c>
      <c r="T47" s="36"/>
      <c r="U47" s="36"/>
      <c r="V47" s="36"/>
      <c r="W47" s="36">
        <v>215</v>
      </c>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4" x14ac:dyDescent="0.25">
      <c r="A48" s="725">
        <v>5944</v>
      </c>
      <c r="B48" s="12" t="s">
        <v>1385</v>
      </c>
      <c r="C48" s="35"/>
      <c r="D48" s="35"/>
      <c r="E48" s="35"/>
      <c r="F48" s="35"/>
      <c r="G48" s="35"/>
      <c r="H48" s="35"/>
      <c r="I48" s="35">
        <v>0</v>
      </c>
      <c r="J48" s="35">
        <v>4200</v>
      </c>
      <c r="K48" s="36">
        <v>2875</v>
      </c>
      <c r="L48" s="35">
        <v>2875</v>
      </c>
      <c r="M48" s="36">
        <v>2575</v>
      </c>
      <c r="N48" s="35">
        <v>2575</v>
      </c>
      <c r="O48" s="36">
        <v>2275</v>
      </c>
      <c r="P48" s="35">
        <v>2275</v>
      </c>
      <c r="Q48" s="36">
        <v>1950</v>
      </c>
      <c r="R48" s="35">
        <v>1062.5</v>
      </c>
      <c r="S48" s="36">
        <f t="shared" si="6"/>
        <v>1679</v>
      </c>
      <c r="T48" s="36"/>
      <c r="U48" s="36"/>
      <c r="V48" s="36"/>
      <c r="W48" s="36">
        <v>2875</v>
      </c>
      <c r="X48" s="36">
        <v>2575</v>
      </c>
      <c r="Y48" s="36">
        <v>2275</v>
      </c>
      <c r="Z48" s="36">
        <v>1950</v>
      </c>
      <c r="AA48" s="36">
        <v>1679</v>
      </c>
      <c r="AB48" s="36">
        <v>1487</v>
      </c>
      <c r="AC48" s="36">
        <v>1190</v>
      </c>
      <c r="AD48" s="36">
        <v>870</v>
      </c>
      <c r="AE48" s="36">
        <v>630</v>
      </c>
      <c r="AF48" s="36">
        <v>390</v>
      </c>
      <c r="AG48" s="36">
        <v>135</v>
      </c>
      <c r="AH48" s="36"/>
      <c r="AI48" s="36"/>
      <c r="AJ48" s="36"/>
      <c r="AK48" s="36"/>
      <c r="AL48" s="36"/>
      <c r="AM48" s="36"/>
      <c r="AN48" s="36"/>
      <c r="AO48" s="36"/>
      <c r="AP48" s="36"/>
      <c r="AQ48" s="36"/>
      <c r="AR48" s="36"/>
      <c r="AS48" s="36"/>
      <c r="AT48" s="36"/>
      <c r="AU48" s="36"/>
      <c r="AV48" s="36"/>
      <c r="AW48" s="36"/>
      <c r="AX48" s="36"/>
      <c r="AY48" s="36"/>
      <c r="AZ48" s="36"/>
    </row>
    <row r="49" spans="1:53" x14ac:dyDescent="0.25">
      <c r="A49" s="725">
        <v>5947</v>
      </c>
      <c r="B49" s="27" t="s">
        <v>1402</v>
      </c>
      <c r="C49" s="35"/>
      <c r="D49" s="35"/>
      <c r="E49" s="35"/>
      <c r="F49" s="35"/>
      <c r="G49" s="35"/>
      <c r="H49" s="35"/>
      <c r="I49" s="35"/>
      <c r="J49" s="35">
        <v>3593.33</v>
      </c>
      <c r="K49" s="36">
        <v>2445</v>
      </c>
      <c r="L49" s="35">
        <v>2445</v>
      </c>
      <c r="M49" s="36">
        <v>2195</v>
      </c>
      <c r="N49" s="35">
        <v>2195</v>
      </c>
      <c r="O49" s="36">
        <v>1920</v>
      </c>
      <c r="P49" s="35">
        <v>1920</v>
      </c>
      <c r="Q49" s="36">
        <v>1620</v>
      </c>
      <c r="R49" s="35">
        <v>885</v>
      </c>
      <c r="S49" s="36">
        <f t="shared" si="6"/>
        <v>1388</v>
      </c>
      <c r="T49" s="36"/>
      <c r="U49" s="36"/>
      <c r="V49" s="36"/>
      <c r="W49" s="36">
        <v>2445</v>
      </c>
      <c r="X49" s="36">
        <v>2195</v>
      </c>
      <c r="Y49" s="36">
        <v>1920</v>
      </c>
      <c r="Z49" s="36">
        <v>1620</v>
      </c>
      <c r="AA49" s="36">
        <v>1388</v>
      </c>
      <c r="AB49" s="36">
        <v>1223</v>
      </c>
      <c r="AC49" s="36">
        <v>990</v>
      </c>
      <c r="AD49" s="36">
        <v>735</v>
      </c>
      <c r="AE49" s="36">
        <v>525</v>
      </c>
      <c r="AF49" s="36">
        <v>315</v>
      </c>
      <c r="AG49" s="36">
        <v>105</v>
      </c>
      <c r="AH49" s="36"/>
      <c r="AI49" s="36"/>
      <c r="AJ49" s="36"/>
      <c r="AK49" s="36"/>
      <c r="AL49" s="36"/>
      <c r="AM49" s="36"/>
      <c r="AN49" s="36"/>
      <c r="AO49" s="36"/>
      <c r="AP49" s="36"/>
      <c r="AQ49" s="36"/>
      <c r="AR49" s="36"/>
      <c r="AS49" s="36"/>
      <c r="AT49" s="36"/>
      <c r="AU49" s="36"/>
      <c r="AV49" s="36"/>
      <c r="AW49" s="36"/>
      <c r="AX49" s="36"/>
      <c r="AY49" s="36"/>
      <c r="AZ49" s="36"/>
    </row>
    <row r="50" spans="1:53" s="317" customFormat="1" x14ac:dyDescent="0.25">
      <c r="A50" s="736">
        <v>5948</v>
      </c>
      <c r="B50" s="652" t="s">
        <v>1403</v>
      </c>
      <c r="C50" s="650"/>
      <c r="D50" s="650"/>
      <c r="E50" s="650"/>
      <c r="F50" s="650"/>
      <c r="G50" s="650"/>
      <c r="H50" s="650"/>
      <c r="I50" s="650"/>
      <c r="J50" s="650">
        <v>26758.31</v>
      </c>
      <c r="K50" s="318">
        <v>19138</v>
      </c>
      <c r="L50" s="650">
        <v>19137.5</v>
      </c>
      <c r="M50" s="318">
        <v>18063</v>
      </c>
      <c r="N50" s="650">
        <v>18062.509999999998</v>
      </c>
      <c r="O50" s="318">
        <v>16938</v>
      </c>
      <c r="P50" s="650">
        <v>16938.490000000002</v>
      </c>
      <c r="Q50" s="318">
        <v>15763</v>
      </c>
      <c r="R50" s="650">
        <v>8181.25</v>
      </c>
      <c r="S50" s="318">
        <f t="shared" si="6"/>
        <v>14819</v>
      </c>
      <c r="T50" s="318"/>
      <c r="U50" s="318"/>
      <c r="V50" s="318"/>
      <c r="W50" s="318">
        <v>19138</v>
      </c>
      <c r="X50" s="318">
        <v>18063</v>
      </c>
      <c r="Y50" s="318">
        <v>16938</v>
      </c>
      <c r="Z50" s="318">
        <v>15763</v>
      </c>
      <c r="AA50" s="318">
        <v>14819</v>
      </c>
      <c r="AB50" s="318">
        <v>14118</v>
      </c>
      <c r="AC50" s="318">
        <v>13085</v>
      </c>
      <c r="AD50" s="318">
        <v>11990</v>
      </c>
      <c r="AE50" s="318">
        <v>11135</v>
      </c>
      <c r="AF50" s="318">
        <v>10250</v>
      </c>
      <c r="AG50" s="318">
        <v>9350</v>
      </c>
      <c r="AH50" s="318">
        <v>8435</v>
      </c>
      <c r="AI50" s="318">
        <v>7490</v>
      </c>
      <c r="AJ50" s="318">
        <v>6515</v>
      </c>
      <c r="AK50" s="318">
        <v>5489</v>
      </c>
      <c r="AL50" s="318">
        <v>4373</v>
      </c>
      <c r="AM50" s="318">
        <v>3187</v>
      </c>
      <c r="AN50" s="318">
        <v>1968</v>
      </c>
      <c r="AO50" s="318">
        <v>675</v>
      </c>
      <c r="AP50" s="318"/>
      <c r="AQ50" s="318"/>
      <c r="AR50" s="318"/>
      <c r="AS50" s="318"/>
      <c r="AT50" s="318"/>
      <c r="AU50" s="318"/>
      <c r="AV50" s="318"/>
      <c r="AW50" s="318"/>
      <c r="AX50" s="318"/>
      <c r="AY50" s="318"/>
      <c r="AZ50" s="318"/>
      <c r="BA50" s="838"/>
    </row>
    <row r="51" spans="1:53" s="317" customFormat="1" x14ac:dyDescent="0.25">
      <c r="A51" s="736">
        <v>5949</v>
      </c>
      <c r="B51" s="652" t="s">
        <v>1388</v>
      </c>
      <c r="C51" s="650"/>
      <c r="D51" s="650"/>
      <c r="E51" s="650"/>
      <c r="F51" s="650"/>
      <c r="G51" s="650"/>
      <c r="H51" s="650"/>
      <c r="I51" s="650"/>
      <c r="J51" s="650">
        <v>115970.04</v>
      </c>
      <c r="K51" s="318">
        <v>84284</v>
      </c>
      <c r="L51" s="650">
        <v>84283.73</v>
      </c>
      <c r="M51" s="318">
        <v>80884</v>
      </c>
      <c r="N51" s="650">
        <v>80883.73</v>
      </c>
      <c r="O51" s="318">
        <v>77284</v>
      </c>
      <c r="P51" s="650">
        <v>77283.740000000005</v>
      </c>
      <c r="Q51" s="318">
        <v>73534</v>
      </c>
      <c r="R51" s="650">
        <v>37741.870000000003</v>
      </c>
      <c r="S51" s="318">
        <f t="shared" si="6"/>
        <v>70457</v>
      </c>
      <c r="T51" s="318"/>
      <c r="U51" s="318"/>
      <c r="V51" s="318"/>
      <c r="W51" s="318">
        <v>84284</v>
      </c>
      <c r="X51" s="318">
        <v>80884</v>
      </c>
      <c r="Y51" s="318">
        <v>77284</v>
      </c>
      <c r="Z51" s="318">
        <v>73534</v>
      </c>
      <c r="AA51" s="318">
        <v>70457</v>
      </c>
      <c r="AB51" s="318">
        <v>68174</v>
      </c>
      <c r="AC51" s="318">
        <v>64869</v>
      </c>
      <c r="AD51" s="318">
        <v>61429</v>
      </c>
      <c r="AE51" s="318">
        <v>58744</v>
      </c>
      <c r="AF51" s="318">
        <v>55924</v>
      </c>
      <c r="AG51" s="318">
        <v>53044</v>
      </c>
      <c r="AH51" s="318">
        <v>50074</v>
      </c>
      <c r="AI51" s="318">
        <v>46999</v>
      </c>
      <c r="AJ51" s="318">
        <v>43864</v>
      </c>
      <c r="AK51" s="318">
        <v>40602</v>
      </c>
      <c r="AL51" s="318">
        <v>37062</v>
      </c>
      <c r="AM51" s="318">
        <v>33340</v>
      </c>
      <c r="AN51" s="318">
        <v>29554</v>
      </c>
      <c r="AO51" s="318">
        <v>25561</v>
      </c>
      <c r="AP51" s="318">
        <v>21280</v>
      </c>
      <c r="AQ51" s="318">
        <v>16818</v>
      </c>
      <c r="AR51" s="318">
        <v>12215</v>
      </c>
      <c r="AS51" s="318">
        <v>7473</v>
      </c>
      <c r="AT51" s="318">
        <v>2538</v>
      </c>
      <c r="AU51" s="318"/>
      <c r="AV51" s="318"/>
      <c r="AW51" s="318"/>
      <c r="AX51" s="318"/>
      <c r="AY51" s="318"/>
      <c r="AZ51" s="318"/>
      <c r="BA51" s="838"/>
    </row>
    <row r="52" spans="1:53" s="317" customFormat="1" x14ac:dyDescent="0.25">
      <c r="A52" s="736">
        <v>5950</v>
      </c>
      <c r="B52" s="652" t="s">
        <v>1389</v>
      </c>
      <c r="C52" s="650"/>
      <c r="D52" s="650"/>
      <c r="E52" s="650"/>
      <c r="F52" s="650"/>
      <c r="G52" s="650"/>
      <c r="H52" s="650"/>
      <c r="I52" s="650"/>
      <c r="J52" s="650"/>
      <c r="K52" s="318">
        <v>188107</v>
      </c>
      <c r="L52" s="650">
        <v>188106.75</v>
      </c>
      <c r="M52" s="318">
        <v>176769</v>
      </c>
      <c r="N52" s="650">
        <v>176768.76</v>
      </c>
      <c r="O52" s="318">
        <v>169519</v>
      </c>
      <c r="P52" s="650">
        <v>169518.75</v>
      </c>
      <c r="Q52" s="318">
        <v>161769</v>
      </c>
      <c r="R52" s="650">
        <v>80884.38</v>
      </c>
      <c r="S52" s="318">
        <f t="shared" si="6"/>
        <v>153769</v>
      </c>
      <c r="T52" s="318"/>
      <c r="U52" s="318"/>
      <c r="V52" s="318"/>
      <c r="W52" s="318">
        <v>188107</v>
      </c>
      <c r="X52" s="318">
        <v>176769</v>
      </c>
      <c r="Y52" s="318">
        <v>169519</v>
      </c>
      <c r="Z52" s="318">
        <v>161769</v>
      </c>
      <c r="AA52" s="318">
        <v>153769</v>
      </c>
      <c r="AB52" s="318">
        <v>145269</v>
      </c>
      <c r="AC52" s="318">
        <v>136269</v>
      </c>
      <c r="AD52" s="318">
        <v>126769</v>
      </c>
      <c r="AE52" s="318">
        <v>116769</v>
      </c>
      <c r="AF52" s="318">
        <v>106519</v>
      </c>
      <c r="AG52" s="318">
        <v>95519</v>
      </c>
      <c r="AH52" s="318">
        <v>90919</v>
      </c>
      <c r="AI52" s="318">
        <v>86219</v>
      </c>
      <c r="AJ52" s="318">
        <v>81419</v>
      </c>
      <c r="AK52" s="318">
        <v>76213</v>
      </c>
      <c r="AL52" s="318">
        <v>70900</v>
      </c>
      <c r="AM52" s="318">
        <v>65163</v>
      </c>
      <c r="AN52" s="318">
        <v>58988</v>
      </c>
      <c r="AO52" s="318">
        <v>52694</v>
      </c>
      <c r="AP52" s="318">
        <v>46282</v>
      </c>
      <c r="AQ52" s="318">
        <v>39282</v>
      </c>
      <c r="AR52" s="318">
        <v>32157</v>
      </c>
      <c r="AS52" s="318">
        <v>24544</v>
      </c>
      <c r="AT52" s="318">
        <v>16669</v>
      </c>
      <c r="AU52" s="318">
        <v>8663</v>
      </c>
      <c r="AV52" s="318"/>
      <c r="AW52" s="318"/>
      <c r="AX52" s="318"/>
      <c r="AY52" s="318"/>
      <c r="AZ52" s="318"/>
      <c r="BA52" s="838"/>
    </row>
    <row r="53" spans="1:53" s="317" customFormat="1" x14ac:dyDescent="0.25">
      <c r="A53" s="736">
        <v>5951</v>
      </c>
      <c r="B53" s="652" t="s">
        <v>1390</v>
      </c>
      <c r="C53" s="650"/>
      <c r="D53" s="650"/>
      <c r="E53" s="650"/>
      <c r="F53" s="650"/>
      <c r="G53" s="650"/>
      <c r="H53" s="650"/>
      <c r="I53" s="650"/>
      <c r="J53" s="650"/>
      <c r="K53" s="318"/>
      <c r="L53" s="650"/>
      <c r="M53" s="318"/>
      <c r="N53" s="650"/>
      <c r="O53" s="318">
        <v>62542</v>
      </c>
      <c r="P53" s="650">
        <v>62541.67</v>
      </c>
      <c r="Q53" s="318">
        <v>40650</v>
      </c>
      <c r="R53" s="650">
        <v>20950</v>
      </c>
      <c r="S53" s="318">
        <f t="shared" si="6"/>
        <v>38025</v>
      </c>
      <c r="T53" s="318"/>
      <c r="U53" s="318"/>
      <c r="V53" s="318"/>
      <c r="W53" s="318"/>
      <c r="X53" s="318"/>
      <c r="Y53" s="318">
        <v>62542</v>
      </c>
      <c r="Z53" s="318">
        <v>40650</v>
      </c>
      <c r="AA53" s="318">
        <v>38025</v>
      </c>
      <c r="AB53" s="318">
        <v>35150</v>
      </c>
      <c r="AC53" s="318">
        <v>32150</v>
      </c>
      <c r="AD53" s="318">
        <v>29025</v>
      </c>
      <c r="AE53" s="318">
        <v>25775</v>
      </c>
      <c r="AF53" s="318">
        <v>22400</v>
      </c>
      <c r="AG53" s="318">
        <v>18775</v>
      </c>
      <c r="AH53" s="318">
        <v>15300</v>
      </c>
      <c r="AI53" s="318">
        <v>12900</v>
      </c>
      <c r="AJ53" s="318">
        <v>11300</v>
      </c>
      <c r="AK53" s="318">
        <v>9650</v>
      </c>
      <c r="AL53" s="318">
        <v>7950</v>
      </c>
      <c r="AM53" s="318">
        <v>6250</v>
      </c>
      <c r="AN53" s="318">
        <v>4500</v>
      </c>
      <c r="AO53" s="318">
        <v>2700</v>
      </c>
      <c r="AP53" s="318">
        <v>900</v>
      </c>
      <c r="AQ53" s="318"/>
      <c r="AR53" s="318"/>
      <c r="AS53" s="318"/>
      <c r="AT53" s="318"/>
      <c r="AU53" s="318"/>
      <c r="AV53" s="318"/>
      <c r="AW53" s="318"/>
      <c r="AX53" s="318"/>
      <c r="AY53" s="318"/>
      <c r="AZ53" s="318"/>
      <c r="BA53" s="838">
        <f>SUM(Y53:AZ53)</f>
        <v>375942</v>
      </c>
    </row>
    <row r="54" spans="1:53" s="317" customFormat="1" x14ac:dyDescent="0.25">
      <c r="A54" s="736">
        <v>5952</v>
      </c>
      <c r="B54" s="652" t="s">
        <v>1391</v>
      </c>
      <c r="C54" s="650"/>
      <c r="D54" s="650"/>
      <c r="E54" s="650"/>
      <c r="F54" s="650"/>
      <c r="G54" s="650"/>
      <c r="H54" s="650"/>
      <c r="I54" s="650"/>
      <c r="J54" s="650"/>
      <c r="K54" s="318"/>
      <c r="L54" s="650"/>
      <c r="M54" s="318"/>
      <c r="N54" s="650"/>
      <c r="O54" s="318">
        <v>12705</v>
      </c>
      <c r="P54" s="650">
        <v>12704.58</v>
      </c>
      <c r="Q54" s="318">
        <v>8010</v>
      </c>
      <c r="R54" s="650">
        <v>4185</v>
      </c>
      <c r="S54" s="318">
        <f t="shared" si="6"/>
        <v>7270</v>
      </c>
      <c r="T54" s="318"/>
      <c r="U54" s="318"/>
      <c r="V54" s="318"/>
      <c r="W54" s="318"/>
      <c r="X54" s="318"/>
      <c r="Y54" s="318">
        <v>12705</v>
      </c>
      <c r="Z54" s="318">
        <v>8010</v>
      </c>
      <c r="AA54" s="318">
        <v>7270</v>
      </c>
      <c r="AB54" s="318">
        <v>6510</v>
      </c>
      <c r="AC54" s="318">
        <v>5730</v>
      </c>
      <c r="AD54" s="318">
        <v>4910</v>
      </c>
      <c r="AE54" s="318">
        <v>4050</v>
      </c>
      <c r="AF54" s="318">
        <v>3150</v>
      </c>
      <c r="AG54" s="318">
        <v>2454.25</v>
      </c>
      <c r="AH54" s="318">
        <v>1960.5</v>
      </c>
      <c r="AI54" s="318">
        <v>1432.5</v>
      </c>
      <c r="AJ54" s="318">
        <v>875</v>
      </c>
      <c r="AK54" s="318">
        <v>293.75</v>
      </c>
      <c r="AL54" s="318"/>
      <c r="AM54" s="318"/>
      <c r="AN54" s="318"/>
      <c r="AO54" s="318"/>
      <c r="AP54" s="318"/>
      <c r="AQ54" s="318"/>
      <c r="AR54" s="318"/>
      <c r="AS54" s="318"/>
      <c r="AT54" s="318"/>
      <c r="AU54" s="318"/>
      <c r="AV54" s="318"/>
      <c r="AW54" s="318"/>
      <c r="AX54" s="318"/>
      <c r="AY54" s="318"/>
      <c r="AZ54" s="318"/>
      <c r="BA54" s="838">
        <f>SUM(Y54:AZ54)</f>
        <v>59351</v>
      </c>
    </row>
    <row r="55" spans="1:53" ht="13.8" thickBot="1" x14ac:dyDescent="0.3">
      <c r="A55" s="725"/>
      <c r="B55" s="27"/>
      <c r="C55" s="15"/>
      <c r="D55" s="15"/>
      <c r="E55" s="15"/>
      <c r="F55" s="15"/>
      <c r="G55" s="15"/>
      <c r="H55" s="15"/>
      <c r="I55" s="15"/>
      <c r="J55" s="15"/>
      <c r="K55" s="16"/>
      <c r="L55" s="15"/>
      <c r="M55" s="16"/>
      <c r="N55" s="15"/>
      <c r="O55" s="16"/>
      <c r="P55" s="15"/>
      <c r="Q55" s="16"/>
      <c r="R55" s="15"/>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row>
    <row r="56" spans="1:53" x14ac:dyDescent="0.25">
      <c r="A56" s="708"/>
      <c r="B56" s="17" t="s">
        <v>1394</v>
      </c>
      <c r="C56" s="18">
        <f t="shared" ref="C56:R56" si="7">SUM(C33:C55)</f>
        <v>266349.98</v>
      </c>
      <c r="D56" s="18">
        <f t="shared" si="7"/>
        <v>259362.63999999998</v>
      </c>
      <c r="E56" s="18">
        <f t="shared" si="7"/>
        <v>253585.74</v>
      </c>
      <c r="F56" s="18">
        <f>SUM(F34:F55)</f>
        <v>240542.22</v>
      </c>
      <c r="G56" s="18">
        <f>SUM(G34:G55)</f>
        <v>226585.27</v>
      </c>
      <c r="H56" s="18">
        <f>SUM(H34:H55)</f>
        <v>211686.38</v>
      </c>
      <c r="I56" s="18">
        <f t="shared" si="7"/>
        <v>196012.94000000003</v>
      </c>
      <c r="J56" s="18">
        <f t="shared" si="7"/>
        <v>330388.47000000003</v>
      </c>
      <c r="K56" s="19">
        <f>SUM(K33:K55)</f>
        <v>467524</v>
      </c>
      <c r="L56" s="18">
        <f t="shared" ref="L56:Q56" si="8">SUM(L33:L55)</f>
        <v>467520.67</v>
      </c>
      <c r="M56" s="19">
        <f t="shared" si="8"/>
        <v>432645</v>
      </c>
      <c r="N56" s="18">
        <f t="shared" ref="N56" si="9">SUM(N33:N55)</f>
        <v>432641.74</v>
      </c>
      <c r="O56" s="19">
        <f t="shared" si="8"/>
        <v>479675</v>
      </c>
      <c r="P56" s="18">
        <f t="shared" si="8"/>
        <v>478257.54000000004</v>
      </c>
      <c r="Q56" s="19">
        <f t="shared" si="8"/>
        <v>421829</v>
      </c>
      <c r="R56" s="18">
        <f t="shared" si="7"/>
        <v>220140.31</v>
      </c>
      <c r="S56" s="19">
        <f>SUM(S33:S55)</f>
        <v>389003</v>
      </c>
      <c r="T56" s="19">
        <f>+S56</f>
        <v>389003</v>
      </c>
      <c r="U56" s="19">
        <f>+S56</f>
        <v>389003</v>
      </c>
      <c r="V56" s="19"/>
      <c r="W56" s="19">
        <f t="shared" ref="W56:AZ56" si="10">SUM(W33:W55)</f>
        <v>467524</v>
      </c>
      <c r="X56" s="19">
        <f t="shared" si="10"/>
        <v>432645</v>
      </c>
      <c r="Y56" s="19">
        <f t="shared" si="10"/>
        <v>479674</v>
      </c>
      <c r="Z56" s="19">
        <f t="shared" si="10"/>
        <v>423577</v>
      </c>
      <c r="AA56" s="19">
        <f t="shared" si="10"/>
        <v>388963</v>
      </c>
      <c r="AB56" s="19">
        <f t="shared" si="10"/>
        <v>355766</v>
      </c>
      <c r="AC56" s="19">
        <f t="shared" si="10"/>
        <v>319724</v>
      </c>
      <c r="AD56" s="19">
        <f t="shared" si="10"/>
        <v>282218</v>
      </c>
      <c r="AE56" s="19">
        <f t="shared" si="10"/>
        <v>244744</v>
      </c>
      <c r="AF56" s="19">
        <f t="shared" si="10"/>
        <v>224158</v>
      </c>
      <c r="AG56" s="19">
        <f t="shared" si="10"/>
        <v>202650.25</v>
      </c>
      <c r="AH56" s="19">
        <f t="shared" si="10"/>
        <v>188289.5</v>
      </c>
      <c r="AI56" s="19">
        <f t="shared" si="10"/>
        <v>174936.5</v>
      </c>
      <c r="AJ56" s="19">
        <f t="shared" si="10"/>
        <v>162129</v>
      </c>
      <c r="AK56" s="19">
        <f t="shared" si="10"/>
        <v>148605.75</v>
      </c>
      <c r="AL56" s="19">
        <f t="shared" si="10"/>
        <v>135008</v>
      </c>
      <c r="AM56" s="19">
        <f t="shared" si="10"/>
        <v>120968</v>
      </c>
      <c r="AN56" s="19">
        <f t="shared" si="10"/>
        <v>106283</v>
      </c>
      <c r="AO56" s="19">
        <f t="shared" si="10"/>
        <v>91523</v>
      </c>
      <c r="AP56" s="19">
        <f t="shared" si="10"/>
        <v>77407</v>
      </c>
      <c r="AQ56" s="19">
        <f t="shared" si="10"/>
        <v>64054</v>
      </c>
      <c r="AR56" s="19">
        <f t="shared" si="10"/>
        <v>51310</v>
      </c>
      <c r="AS56" s="19">
        <f t="shared" si="10"/>
        <v>37894</v>
      </c>
      <c r="AT56" s="19">
        <f t="shared" si="10"/>
        <v>23944</v>
      </c>
      <c r="AU56" s="19">
        <f t="shared" si="10"/>
        <v>12232</v>
      </c>
      <c r="AV56" s="19">
        <f t="shared" si="10"/>
        <v>1150</v>
      </c>
      <c r="AW56" s="19">
        <f t="shared" si="10"/>
        <v>1597</v>
      </c>
      <c r="AX56" s="19">
        <f t="shared" si="10"/>
        <v>812</v>
      </c>
      <c r="AY56" s="19">
        <f t="shared" si="10"/>
        <v>0</v>
      </c>
      <c r="AZ56" s="19">
        <f t="shared" si="10"/>
        <v>0</v>
      </c>
    </row>
    <row r="57" spans="1:53" x14ac:dyDescent="0.25">
      <c r="A57" s="708"/>
      <c r="B57" s="12"/>
      <c r="C57" s="13"/>
      <c r="D57" s="13"/>
      <c r="E57" s="13"/>
      <c r="F57" s="13"/>
      <c r="G57" s="13"/>
      <c r="H57" s="13"/>
      <c r="I57" s="13"/>
      <c r="J57" s="13"/>
      <c r="K57" s="14"/>
      <c r="L57" s="13"/>
      <c r="M57" s="14"/>
      <c r="N57" s="13"/>
      <c r="O57" s="14"/>
      <c r="P57" s="13"/>
      <c r="Q57" s="14"/>
      <c r="R57" s="13"/>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row>
    <row r="58" spans="1:53" hidden="1" x14ac:dyDescent="0.25">
      <c r="A58" s="708" t="s">
        <v>1404</v>
      </c>
      <c r="B58" s="12" t="s">
        <v>1405</v>
      </c>
      <c r="C58" s="35">
        <v>602.20000000000005</v>
      </c>
      <c r="D58" s="35">
        <v>547.45000000000005</v>
      </c>
      <c r="E58" s="35"/>
      <c r="F58" s="35"/>
      <c r="G58" s="35"/>
      <c r="H58" s="35"/>
      <c r="I58" s="200"/>
      <c r="J58" s="200"/>
      <c r="K58" s="36"/>
      <c r="L58" s="200"/>
      <c r="M58" s="36"/>
      <c r="N58" s="35"/>
      <c r="O58" s="36"/>
      <c r="P58" s="35"/>
      <c r="Q58" s="36"/>
      <c r="R58" s="35">
        <v>0</v>
      </c>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3" x14ac:dyDescent="0.25">
      <c r="A59" s="708" t="s">
        <v>1406</v>
      </c>
      <c r="B59" s="12" t="s">
        <v>1407</v>
      </c>
      <c r="C59" s="35"/>
      <c r="D59" s="35"/>
      <c r="E59" s="35"/>
      <c r="F59" s="35"/>
      <c r="G59" s="35"/>
      <c r="H59" s="35"/>
      <c r="I59" s="200"/>
      <c r="J59" s="200"/>
      <c r="K59" s="36">
        <v>60000</v>
      </c>
      <c r="L59" s="200"/>
      <c r="M59" s="36">
        <v>18100</v>
      </c>
      <c r="N59" s="35">
        <v>19182.54</v>
      </c>
      <c r="O59" s="36"/>
      <c r="P59" s="35"/>
      <c r="Q59" s="36"/>
      <c r="R59" s="35"/>
      <c r="S59" s="36">
        <f>+Z59</f>
        <v>0</v>
      </c>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3" ht="13.8" thickBot="1" x14ac:dyDescent="0.3">
      <c r="A60" s="708" t="s">
        <v>1408</v>
      </c>
      <c r="B60" s="12" t="s">
        <v>1409</v>
      </c>
      <c r="C60" s="35">
        <v>5065.4399999999996</v>
      </c>
      <c r="D60" s="35">
        <v>5388.35</v>
      </c>
      <c r="E60" s="35">
        <v>3399.08</v>
      </c>
      <c r="F60" s="35">
        <v>4461.7700000000004</v>
      </c>
      <c r="G60" s="35">
        <v>10940.62</v>
      </c>
      <c r="H60" s="35">
        <v>11476.39</v>
      </c>
      <c r="I60" s="200">
        <v>18676.84</v>
      </c>
      <c r="J60" s="200">
        <v>15664.11</v>
      </c>
      <c r="K60" s="36">
        <v>20000</v>
      </c>
      <c r="L60" s="200">
        <v>9702.6</v>
      </c>
      <c r="M60" s="36">
        <v>20000</v>
      </c>
      <c r="N60" s="35">
        <v>6266.44</v>
      </c>
      <c r="O60" s="36">
        <v>20000</v>
      </c>
      <c r="P60" s="35"/>
      <c r="Q60" s="1053">
        <v>20000</v>
      </c>
      <c r="R60" s="35"/>
      <c r="S60" s="36">
        <v>20000</v>
      </c>
      <c r="T60" s="16"/>
      <c r="U60" s="1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3" x14ac:dyDescent="0.25">
      <c r="A61" s="708"/>
      <c r="B61" s="17" t="s">
        <v>1410</v>
      </c>
      <c r="C61" s="30">
        <f t="shared" ref="C61:R61" si="11">SUM(C58:C60)</f>
        <v>5667.6399999999994</v>
      </c>
      <c r="D61" s="30">
        <f t="shared" si="11"/>
        <v>5935.8</v>
      </c>
      <c r="E61" s="30">
        <f t="shared" si="11"/>
        <v>3399.08</v>
      </c>
      <c r="F61" s="30">
        <f>SUM(F58:F60)</f>
        <v>4461.7700000000004</v>
      </c>
      <c r="G61" s="30">
        <f>SUM(G58:G60)</f>
        <v>10940.62</v>
      </c>
      <c r="H61" s="30">
        <f>SUM(H58:H60)</f>
        <v>11476.39</v>
      </c>
      <c r="I61" s="30">
        <f>SUM(I58:I60)</f>
        <v>18676.84</v>
      </c>
      <c r="J61" s="30">
        <f>SUM(J58:J60)</f>
        <v>15664.11</v>
      </c>
      <c r="K61" s="164">
        <f t="shared" ref="K61:Q61" si="12">SUM(K58:K60)</f>
        <v>80000</v>
      </c>
      <c r="L61" s="30">
        <f t="shared" si="12"/>
        <v>9702.6</v>
      </c>
      <c r="M61" s="164">
        <f t="shared" si="12"/>
        <v>38100</v>
      </c>
      <c r="N61" s="30">
        <f t="shared" ref="N61" si="13">SUM(N58:N60)</f>
        <v>25448.98</v>
      </c>
      <c r="O61" s="164">
        <f t="shared" si="12"/>
        <v>20000</v>
      </c>
      <c r="P61" s="30">
        <f t="shared" si="12"/>
        <v>0</v>
      </c>
      <c r="Q61" s="1054">
        <f t="shared" si="12"/>
        <v>20000</v>
      </c>
      <c r="R61" s="30">
        <f t="shared" si="11"/>
        <v>0</v>
      </c>
      <c r="S61" s="164">
        <f>SUM(S58:S60)</f>
        <v>20000</v>
      </c>
      <c r="T61" s="19">
        <f>+S61</f>
        <v>20000</v>
      </c>
      <c r="U61" s="19">
        <f>+S61</f>
        <v>20000</v>
      </c>
      <c r="V61" s="164"/>
      <c r="W61" s="164">
        <f t="shared" ref="W61:AZ61" si="14">SUM(W58:W60)</f>
        <v>0</v>
      </c>
      <c r="X61" s="164">
        <f t="shared" si="14"/>
        <v>0</v>
      </c>
      <c r="Y61" s="164">
        <f t="shared" si="14"/>
        <v>0</v>
      </c>
      <c r="Z61" s="164">
        <f t="shared" si="14"/>
        <v>0</v>
      </c>
      <c r="AA61" s="164">
        <f t="shared" si="14"/>
        <v>0</v>
      </c>
      <c r="AB61" s="164">
        <f t="shared" si="14"/>
        <v>0</v>
      </c>
      <c r="AC61" s="164">
        <f t="shared" si="14"/>
        <v>0</v>
      </c>
      <c r="AD61" s="164">
        <f t="shared" si="14"/>
        <v>0</v>
      </c>
      <c r="AE61" s="164">
        <f t="shared" si="14"/>
        <v>0</v>
      </c>
      <c r="AF61" s="164">
        <f t="shared" si="14"/>
        <v>0</v>
      </c>
      <c r="AG61" s="164">
        <f t="shared" si="14"/>
        <v>0</v>
      </c>
      <c r="AH61" s="164">
        <f t="shared" si="14"/>
        <v>0</v>
      </c>
      <c r="AI61" s="164">
        <f t="shared" si="14"/>
        <v>0</v>
      </c>
      <c r="AJ61" s="164">
        <f t="shared" si="14"/>
        <v>0</v>
      </c>
      <c r="AK61" s="164">
        <f t="shared" si="14"/>
        <v>0</v>
      </c>
      <c r="AL61" s="164">
        <f t="shared" si="14"/>
        <v>0</v>
      </c>
      <c r="AM61" s="164">
        <f t="shared" si="14"/>
        <v>0</v>
      </c>
      <c r="AN61" s="164">
        <f t="shared" si="14"/>
        <v>0</v>
      </c>
      <c r="AO61" s="164">
        <f t="shared" si="14"/>
        <v>0</v>
      </c>
      <c r="AP61" s="164">
        <f t="shared" si="14"/>
        <v>0</v>
      </c>
      <c r="AQ61" s="164">
        <f t="shared" si="14"/>
        <v>0</v>
      </c>
      <c r="AR61" s="164">
        <f t="shared" si="14"/>
        <v>0</v>
      </c>
      <c r="AS61" s="164">
        <f t="shared" si="14"/>
        <v>0</v>
      </c>
      <c r="AT61" s="164">
        <f t="shared" si="14"/>
        <v>0</v>
      </c>
      <c r="AU61" s="164">
        <f t="shared" si="14"/>
        <v>0</v>
      </c>
      <c r="AV61" s="164">
        <f t="shared" si="14"/>
        <v>0</v>
      </c>
      <c r="AW61" s="164">
        <f t="shared" si="14"/>
        <v>0</v>
      </c>
      <c r="AX61" s="164">
        <f t="shared" si="14"/>
        <v>0</v>
      </c>
      <c r="AY61" s="164">
        <f t="shared" si="14"/>
        <v>0</v>
      </c>
      <c r="AZ61" s="164">
        <f t="shared" si="14"/>
        <v>0</v>
      </c>
    </row>
    <row r="62" spans="1:53" x14ac:dyDescent="0.25">
      <c r="A62" s="708"/>
      <c r="B62" s="12"/>
      <c r="C62" s="13"/>
      <c r="D62" s="13"/>
      <c r="E62" s="13"/>
      <c r="F62" s="13"/>
      <c r="G62" s="13"/>
      <c r="H62" s="13"/>
      <c r="I62" s="13"/>
      <c r="J62" s="13"/>
      <c r="K62" s="14"/>
      <c r="L62" s="13"/>
      <c r="M62" s="14"/>
      <c r="N62" s="13"/>
      <c r="O62" s="14"/>
      <c r="P62" s="13"/>
      <c r="Q62" s="1055"/>
      <c r="R62" s="13"/>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row>
    <row r="63" spans="1:53" x14ac:dyDescent="0.25">
      <c r="A63" s="708"/>
      <c r="B63" s="12"/>
      <c r="C63" s="13"/>
      <c r="D63" s="13"/>
      <c r="E63" s="13"/>
      <c r="F63" s="13"/>
      <c r="G63" s="13"/>
      <c r="H63" s="13"/>
      <c r="I63" s="13"/>
      <c r="J63" s="13"/>
      <c r="K63" s="14"/>
      <c r="L63" s="13"/>
      <c r="M63" s="14"/>
      <c r="N63" s="13"/>
      <c r="O63" s="14"/>
      <c r="P63" s="13"/>
      <c r="Q63" s="1055"/>
      <c r="R63" s="13"/>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row>
    <row r="64" spans="1:53" ht="13.8" thickBot="1" x14ac:dyDescent="0.3">
      <c r="A64" s="709"/>
      <c r="B64" s="20" t="s">
        <v>1411</v>
      </c>
      <c r="C64" s="21">
        <f>+C61+C56+C31</f>
        <v>624059.19999999995</v>
      </c>
      <c r="D64" s="21">
        <f>+D31+D56+D61</f>
        <v>627106.03000000014</v>
      </c>
      <c r="E64" s="21">
        <f>+E31+E56+E61</f>
        <v>653275.82999999996</v>
      </c>
      <c r="F64" s="21">
        <f>+F61+F56+F31</f>
        <v>651031.29</v>
      </c>
      <c r="G64" s="21">
        <f>+G61+G56+G31</f>
        <v>655052.56000000006</v>
      </c>
      <c r="H64" s="21">
        <f>+H61+H56+H31</f>
        <v>630911.34</v>
      </c>
      <c r="I64" s="21">
        <f>+I31+I56+I61</f>
        <v>625348.28</v>
      </c>
      <c r="J64" s="21">
        <f>+J31+J56+J61</f>
        <v>824346.28999999992</v>
      </c>
      <c r="K64" s="22">
        <f>+K31+K56+K61</f>
        <v>1128500</v>
      </c>
      <c r="L64" s="21">
        <f t="shared" ref="L64:O64" si="15">+L31+L56+L61</f>
        <v>1057873.57</v>
      </c>
      <c r="M64" s="22">
        <f t="shared" si="15"/>
        <v>1066809</v>
      </c>
      <c r="N64" s="21">
        <f t="shared" ref="N64" si="16">+N31+N56+N61</f>
        <v>1054154.5900000001</v>
      </c>
      <c r="O64" s="22">
        <f t="shared" si="15"/>
        <v>1162190</v>
      </c>
      <c r="P64" s="21">
        <f t="shared" ref="P64:U64" si="17">+P61+P56+P31</f>
        <v>1135979.8400000001</v>
      </c>
      <c r="Q64" s="538">
        <f t="shared" si="17"/>
        <v>1154319</v>
      </c>
      <c r="R64" s="21">
        <f>+R61+R56+R31</f>
        <v>472629.04000000004</v>
      </c>
      <c r="S64" s="538">
        <f t="shared" si="17"/>
        <v>1158857</v>
      </c>
      <c r="T64" s="538">
        <f t="shared" si="17"/>
        <v>1158857</v>
      </c>
      <c r="U64" s="538">
        <f t="shared" si="17"/>
        <v>1158857</v>
      </c>
      <c r="V64" s="22"/>
      <c r="W64" s="22">
        <f t="shared" ref="W64:AZ64" si="18">+W61+W56+W31</f>
        <v>1048500</v>
      </c>
      <c r="X64" s="22">
        <f t="shared" si="18"/>
        <v>1028709</v>
      </c>
      <c r="Y64" s="22">
        <f t="shared" si="18"/>
        <v>1142189</v>
      </c>
      <c r="Z64" s="22">
        <f t="shared" si="18"/>
        <v>1142582</v>
      </c>
      <c r="AA64" s="22">
        <f t="shared" si="18"/>
        <v>1138817</v>
      </c>
      <c r="AB64" s="22">
        <f t="shared" si="18"/>
        <v>1140024</v>
      </c>
      <c r="AC64" s="22">
        <f t="shared" si="18"/>
        <v>1135422</v>
      </c>
      <c r="AD64" s="22">
        <f t="shared" si="18"/>
        <v>1100888</v>
      </c>
      <c r="AE64" s="22">
        <f t="shared" si="18"/>
        <v>728458</v>
      </c>
      <c r="AF64" s="22">
        <f t="shared" si="18"/>
        <v>732948</v>
      </c>
      <c r="AG64" s="22">
        <f t="shared" si="18"/>
        <v>732549.25</v>
      </c>
      <c r="AH64" s="22">
        <f t="shared" si="18"/>
        <v>719330.5</v>
      </c>
      <c r="AI64" s="22">
        <f t="shared" si="18"/>
        <v>716154.5</v>
      </c>
      <c r="AJ64" s="22">
        <f t="shared" si="18"/>
        <v>712561</v>
      </c>
      <c r="AK64" s="22">
        <f t="shared" si="18"/>
        <v>709287.75</v>
      </c>
      <c r="AL64" s="22">
        <f t="shared" si="18"/>
        <v>684979</v>
      </c>
      <c r="AM64" s="22">
        <f t="shared" si="18"/>
        <v>679267</v>
      </c>
      <c r="AN64" s="22">
        <f t="shared" si="18"/>
        <v>681951</v>
      </c>
      <c r="AO64" s="22">
        <f t="shared" si="18"/>
        <v>644290</v>
      </c>
      <c r="AP64" s="22">
        <f t="shared" si="18"/>
        <v>603742</v>
      </c>
      <c r="AQ64" s="22">
        <f t="shared" si="18"/>
        <v>508981</v>
      </c>
      <c r="AR64" s="22">
        <f t="shared" si="18"/>
        <v>506852</v>
      </c>
      <c r="AS64" s="22">
        <f t="shared" si="18"/>
        <v>509078</v>
      </c>
      <c r="AT64" s="22">
        <f t="shared" si="18"/>
        <v>508795</v>
      </c>
      <c r="AU64" s="22">
        <f t="shared" si="18"/>
        <v>362778</v>
      </c>
      <c r="AV64" s="22">
        <f t="shared" si="18"/>
        <v>19420</v>
      </c>
      <c r="AW64" s="22">
        <f t="shared" si="18"/>
        <v>20621</v>
      </c>
      <c r="AX64" s="22">
        <f t="shared" si="18"/>
        <v>20497</v>
      </c>
      <c r="AY64" s="22">
        <f t="shared" si="18"/>
        <v>0</v>
      </c>
      <c r="AZ64" s="22">
        <f t="shared" si="18"/>
        <v>0</v>
      </c>
    </row>
    <row r="65" spans="1:22" ht="13.8" thickTop="1" x14ac:dyDescent="0.25">
      <c r="A65" s="703"/>
      <c r="B65" s="4"/>
      <c r="C65" s="23"/>
      <c r="D65" s="23"/>
      <c r="E65" s="23"/>
      <c r="F65" s="23"/>
      <c r="G65" s="23"/>
      <c r="H65" s="23"/>
      <c r="I65" s="23"/>
      <c r="J65" s="23"/>
      <c r="K65" s="23"/>
      <c r="L65" s="23"/>
      <c r="M65" s="23"/>
      <c r="N65" s="23"/>
      <c r="O65" s="23"/>
      <c r="P65" s="23"/>
      <c r="Q65" s="23"/>
      <c r="R65" s="181" t="s">
        <v>732</v>
      </c>
      <c r="S65" s="1001">
        <f>+S64-Q64</f>
        <v>4538</v>
      </c>
      <c r="T65" s="1002">
        <f>ROUND((+S65/Q64),4)</f>
        <v>3.8999999999999998E-3</v>
      </c>
      <c r="U65" s="23"/>
      <c r="V65" s="23"/>
    </row>
    <row r="66" spans="1:22" x14ac:dyDescent="0.25">
      <c r="A66" s="703"/>
      <c r="B66" s="4"/>
      <c r="C66" s="23"/>
      <c r="D66" s="23"/>
      <c r="E66" s="23"/>
      <c r="F66" s="23"/>
      <c r="G66" s="23"/>
      <c r="H66" s="23"/>
      <c r="I66" s="23"/>
      <c r="J66" s="23"/>
      <c r="K66" s="23"/>
      <c r="L66" s="23"/>
      <c r="M66" s="23"/>
      <c r="N66" s="23"/>
      <c r="O66" s="23"/>
      <c r="P66" s="23"/>
      <c r="Q66" s="23"/>
      <c r="R66" s="25"/>
      <c r="S66" s="259"/>
      <c r="T66" s="259"/>
      <c r="U66" s="548"/>
      <c r="V66" s="548"/>
    </row>
    <row r="67" spans="1:22" x14ac:dyDescent="0.25">
      <c r="A67" s="703"/>
      <c r="B67" s="4"/>
      <c r="C67" s="23"/>
      <c r="D67" s="23"/>
      <c r="E67" s="23"/>
      <c r="F67" s="23"/>
      <c r="G67" s="23"/>
      <c r="H67" s="23"/>
      <c r="I67" s="23"/>
      <c r="J67" s="23"/>
      <c r="K67" s="23"/>
      <c r="L67" s="23"/>
      <c r="M67" s="23"/>
      <c r="N67" s="23"/>
      <c r="O67" s="23"/>
      <c r="P67" s="23"/>
      <c r="Q67" s="23"/>
      <c r="R67" s="25"/>
      <c r="S67" s="23"/>
      <c r="T67" s="23"/>
      <c r="U67" s="23"/>
      <c r="V67" s="23"/>
    </row>
    <row r="68" spans="1:22" x14ac:dyDescent="0.25">
      <c r="A68" s="703"/>
      <c r="B68" s="23"/>
      <c r="C68" s="23"/>
      <c r="D68" s="23"/>
      <c r="E68" s="23"/>
      <c r="F68" s="23"/>
      <c r="G68" s="23"/>
      <c r="H68" s="23"/>
      <c r="I68" s="23"/>
      <c r="J68" s="23"/>
      <c r="K68" s="194"/>
      <c r="L68" s="23"/>
      <c r="M68" s="23"/>
      <c r="N68" s="23"/>
      <c r="O68" s="23"/>
      <c r="P68" s="23"/>
      <c r="Q68" s="23"/>
      <c r="R68" s="4"/>
      <c r="U68" s="23"/>
      <c r="V68" s="23"/>
    </row>
    <row r="69" spans="1:22" x14ac:dyDescent="0.25">
      <c r="A69" s="703"/>
      <c r="B69" s="23"/>
      <c r="C69" s="23"/>
      <c r="D69" s="23"/>
      <c r="E69" s="23"/>
      <c r="F69" s="23"/>
      <c r="G69" s="23"/>
      <c r="H69" s="23"/>
      <c r="I69" s="23"/>
      <c r="J69" s="23"/>
      <c r="K69" s="194"/>
      <c r="L69" s="23"/>
      <c r="M69" s="23"/>
      <c r="N69" s="23"/>
      <c r="O69" s="23"/>
      <c r="P69" s="23"/>
      <c r="Q69" s="23"/>
      <c r="R69" s="4"/>
      <c r="S69" s="604"/>
      <c r="T69" s="604"/>
      <c r="U69" s="23"/>
      <c r="V69" s="23"/>
    </row>
    <row r="70" spans="1:22" x14ac:dyDescent="0.25">
      <c r="A70" s="703"/>
      <c r="B70" s="23"/>
      <c r="C70" s="23"/>
      <c r="D70" s="23"/>
      <c r="E70" s="23"/>
      <c r="F70" s="23"/>
      <c r="G70" s="23"/>
      <c r="H70" s="23"/>
      <c r="I70" s="23"/>
      <c r="J70" s="23"/>
      <c r="K70" s="194"/>
      <c r="L70" s="23"/>
      <c r="M70" s="23"/>
      <c r="N70" s="23"/>
      <c r="O70" s="23"/>
      <c r="P70" s="23"/>
      <c r="Q70" s="23"/>
      <c r="R70" s="4"/>
      <c r="S70" s="605"/>
      <c r="T70" s="605"/>
      <c r="U70" s="23"/>
      <c r="V70" s="23"/>
    </row>
    <row r="71" spans="1:22" x14ac:dyDescent="0.25">
      <c r="A71" s="703"/>
      <c r="B71" s="23"/>
      <c r="C71" s="23"/>
      <c r="D71" s="23"/>
      <c r="E71" s="23"/>
      <c r="F71" s="23"/>
      <c r="G71" s="23"/>
      <c r="H71" s="23"/>
      <c r="I71" s="23"/>
      <c r="J71" s="23"/>
      <c r="K71" s="194"/>
      <c r="L71" s="23"/>
      <c r="M71" s="23"/>
      <c r="N71" s="23"/>
      <c r="O71" s="23"/>
      <c r="P71" s="23"/>
      <c r="Q71" s="23"/>
      <c r="R71" s="4"/>
      <c r="S71" s="23"/>
      <c r="T71" s="23"/>
      <c r="U71" s="23"/>
      <c r="V71" s="23"/>
    </row>
    <row r="72" spans="1:22" x14ac:dyDescent="0.25">
      <c r="A72" s="703"/>
      <c r="B72" s="23"/>
      <c r="C72" s="23"/>
      <c r="D72" s="23"/>
      <c r="E72" s="23"/>
      <c r="F72" s="23"/>
      <c r="G72" s="23"/>
      <c r="H72" s="23"/>
      <c r="I72" s="23"/>
      <c r="J72" s="23"/>
      <c r="K72" s="194"/>
      <c r="L72" s="23"/>
      <c r="M72" s="23"/>
      <c r="N72" s="23"/>
      <c r="O72" s="23"/>
      <c r="P72" s="23"/>
      <c r="Q72" s="23"/>
      <c r="R72" s="4"/>
      <c r="S72" s="23"/>
      <c r="T72" s="23"/>
      <c r="U72" s="23"/>
      <c r="V72" s="23"/>
    </row>
    <row r="73" spans="1:22" x14ac:dyDescent="0.25">
      <c r="A73" s="703"/>
      <c r="B73" s="23"/>
      <c r="C73" s="23"/>
      <c r="D73" s="23"/>
      <c r="E73" s="23"/>
      <c r="F73" s="23"/>
      <c r="G73" s="23"/>
      <c r="H73" s="23"/>
      <c r="I73" s="23"/>
      <c r="J73" s="23"/>
      <c r="K73" s="194"/>
      <c r="L73" s="23"/>
      <c r="M73" s="23"/>
      <c r="N73" s="23"/>
      <c r="O73" s="23"/>
      <c r="P73" s="23"/>
      <c r="Q73" s="23"/>
      <c r="R73" s="4"/>
      <c r="S73" s="23"/>
      <c r="T73" s="23"/>
      <c r="U73" s="23"/>
      <c r="V73" s="23"/>
    </row>
    <row r="74" spans="1:22" x14ac:dyDescent="0.25">
      <c r="A74" s="703"/>
      <c r="B74" s="23"/>
      <c r="C74" s="23"/>
      <c r="D74" s="23"/>
      <c r="E74" s="23"/>
      <c r="F74" s="23"/>
      <c r="G74" s="23"/>
      <c r="H74" s="23"/>
      <c r="I74" s="23"/>
      <c r="J74" s="23"/>
      <c r="K74" s="194"/>
      <c r="L74" s="23"/>
      <c r="M74" s="23"/>
      <c r="N74" s="23"/>
      <c r="O74" s="23"/>
      <c r="P74" s="23"/>
      <c r="Q74" s="23"/>
      <c r="R74" s="4"/>
      <c r="S74" s="23"/>
      <c r="T74" s="23"/>
      <c r="U74" s="23"/>
      <c r="V74" s="23"/>
    </row>
    <row r="75" spans="1:22" x14ac:dyDescent="0.25">
      <c r="A75" s="703"/>
      <c r="B75" s="23"/>
      <c r="C75" s="23"/>
      <c r="D75" s="23"/>
      <c r="E75" s="23"/>
      <c r="F75" s="23"/>
      <c r="G75" s="23"/>
      <c r="H75" s="23"/>
      <c r="I75" s="23"/>
      <c r="J75" s="23"/>
      <c r="K75" s="194"/>
      <c r="L75" s="23"/>
      <c r="M75" s="23"/>
      <c r="N75" s="23"/>
      <c r="O75" s="23"/>
      <c r="P75" s="23"/>
      <c r="Q75" s="23"/>
      <c r="R75" s="4"/>
      <c r="S75" s="653"/>
      <c r="T75" s="653"/>
      <c r="U75" s="23"/>
      <c r="V75" s="23"/>
    </row>
    <row r="76" spans="1:22" x14ac:dyDescent="0.25">
      <c r="A76" s="703"/>
      <c r="B76" s="23"/>
      <c r="C76" s="23"/>
      <c r="D76" s="23"/>
      <c r="E76" s="23"/>
      <c r="F76" s="23"/>
      <c r="G76" s="23"/>
      <c r="H76" s="23"/>
      <c r="I76" s="23"/>
      <c r="J76" s="23"/>
      <c r="K76" s="194"/>
      <c r="L76" s="23"/>
      <c r="M76" s="23"/>
      <c r="N76" s="23"/>
      <c r="O76" s="23"/>
      <c r="P76" s="23"/>
      <c r="Q76" s="23"/>
      <c r="R76" s="4"/>
      <c r="S76" s="23"/>
      <c r="T76" s="23"/>
      <c r="U76" s="23"/>
      <c r="V76" s="23"/>
    </row>
    <row r="77" spans="1:22" x14ac:dyDescent="0.25">
      <c r="A77" s="703"/>
      <c r="B77" s="23"/>
      <c r="C77" s="23"/>
      <c r="D77" s="23"/>
      <c r="E77" s="23"/>
      <c r="F77" s="23"/>
      <c r="G77" s="23"/>
      <c r="H77" s="23"/>
      <c r="I77" s="23"/>
      <c r="J77" s="23"/>
      <c r="K77" s="194"/>
      <c r="L77" s="23"/>
      <c r="M77" s="23"/>
      <c r="N77" s="23"/>
      <c r="O77" s="23"/>
      <c r="P77" s="23"/>
      <c r="Q77" s="23"/>
      <c r="R77" s="4"/>
      <c r="S77" s="23"/>
      <c r="T77" s="23"/>
      <c r="U77" s="23"/>
      <c r="V77" s="23"/>
    </row>
    <row r="78" spans="1:22" x14ac:dyDescent="0.25">
      <c r="A78" s="703"/>
      <c r="B78" s="23"/>
      <c r="C78" s="23"/>
      <c r="D78" s="23"/>
      <c r="E78" s="23"/>
      <c r="F78" s="23"/>
      <c r="G78" s="23"/>
      <c r="H78" s="23"/>
      <c r="I78" s="23"/>
      <c r="J78" s="23"/>
      <c r="K78" s="194"/>
      <c r="L78" s="23"/>
      <c r="M78" s="23"/>
      <c r="N78" s="23"/>
      <c r="O78" s="23"/>
      <c r="P78" s="23"/>
      <c r="Q78" s="23"/>
      <c r="R78" s="4"/>
      <c r="S78" s="23"/>
      <c r="T78" s="23"/>
      <c r="U78" s="23"/>
      <c r="V78" s="23"/>
    </row>
    <row r="79" spans="1:22" x14ac:dyDescent="0.25">
      <c r="A79" s="703"/>
      <c r="B79" s="23"/>
      <c r="C79" s="23"/>
      <c r="D79" s="23"/>
      <c r="E79" s="23"/>
      <c r="F79" s="23"/>
      <c r="G79" s="23"/>
      <c r="H79" s="23"/>
      <c r="I79" s="23"/>
      <c r="J79" s="23"/>
      <c r="K79" s="194"/>
      <c r="L79" s="23"/>
      <c r="M79" s="23"/>
      <c r="N79" s="23"/>
      <c r="O79" s="23"/>
      <c r="P79" s="23"/>
      <c r="Q79" s="23"/>
      <c r="R79" s="4"/>
      <c r="S79" s="653"/>
      <c r="T79" s="653"/>
      <c r="U79" s="23"/>
      <c r="V79" s="23"/>
    </row>
    <row r="80" spans="1:22" x14ac:dyDescent="0.25">
      <c r="A80" s="703"/>
      <c r="B80" s="4"/>
      <c r="C80" s="23"/>
      <c r="D80" s="23"/>
      <c r="E80" s="23"/>
      <c r="F80" s="23"/>
      <c r="G80" s="23"/>
      <c r="H80" s="23"/>
      <c r="I80" s="23"/>
      <c r="J80" s="23"/>
      <c r="K80" s="23"/>
      <c r="L80" s="23"/>
      <c r="M80" s="23"/>
      <c r="N80" s="23"/>
      <c r="O80" s="23"/>
      <c r="P80" s="23"/>
      <c r="Q80" s="23"/>
      <c r="R80" s="4"/>
      <c r="S80" s="23"/>
      <c r="T80" s="23"/>
      <c r="U80" s="23"/>
      <c r="V80" s="23"/>
    </row>
    <row r="81" spans="1:22" x14ac:dyDescent="0.25">
      <c r="A81" s="703"/>
      <c r="B81" s="4"/>
      <c r="C81" s="23"/>
      <c r="D81" s="23"/>
      <c r="E81" s="23"/>
      <c r="F81" s="23"/>
      <c r="G81" s="23"/>
      <c r="H81" s="23"/>
      <c r="I81" s="23"/>
      <c r="J81" s="23"/>
      <c r="K81" s="23"/>
      <c r="L81" s="23"/>
      <c r="M81" s="23"/>
      <c r="N81" s="23"/>
      <c r="O81" s="23"/>
      <c r="P81" s="23"/>
      <c r="Q81" s="23"/>
      <c r="R81" s="4"/>
      <c r="S81" s="23"/>
      <c r="T81" s="23"/>
      <c r="U81" s="23"/>
      <c r="V81" s="23"/>
    </row>
    <row r="82" spans="1:22" x14ac:dyDescent="0.25">
      <c r="A82" s="703"/>
      <c r="B82" s="4"/>
      <c r="C82" s="23"/>
      <c r="D82" s="23"/>
      <c r="E82" s="23"/>
      <c r="F82" s="23"/>
      <c r="G82" s="23"/>
      <c r="H82" s="23"/>
      <c r="I82" s="23"/>
      <c r="J82" s="23"/>
      <c r="K82" s="23"/>
      <c r="L82" s="23"/>
      <c r="M82" s="23"/>
      <c r="N82" s="23"/>
      <c r="O82" s="23"/>
      <c r="P82" s="23"/>
      <c r="Q82" s="23"/>
      <c r="R82" s="4"/>
      <c r="S82" s="23"/>
      <c r="T82" s="23"/>
      <c r="U82" s="23"/>
      <c r="V82" s="23"/>
    </row>
    <row r="83" spans="1:22" x14ac:dyDescent="0.25">
      <c r="A83" s="703"/>
      <c r="B83" s="4"/>
      <c r="C83" s="23"/>
      <c r="D83" s="23"/>
      <c r="E83" s="23"/>
      <c r="F83" s="23"/>
      <c r="G83" s="23"/>
      <c r="H83" s="23"/>
      <c r="I83" s="23"/>
      <c r="J83" s="23"/>
      <c r="K83" s="23"/>
      <c r="L83" s="23"/>
      <c r="M83" s="23"/>
      <c r="N83" s="23"/>
      <c r="O83" s="23"/>
      <c r="P83" s="23"/>
      <c r="Q83" s="23"/>
      <c r="R83" s="4"/>
      <c r="S83" s="23"/>
      <c r="T83" s="23"/>
      <c r="U83" s="23"/>
      <c r="V83" s="23"/>
    </row>
    <row r="84" spans="1:22" x14ac:dyDescent="0.25">
      <c r="A84" s="703"/>
      <c r="B84" s="4"/>
      <c r="C84" s="23"/>
      <c r="D84" s="23"/>
      <c r="E84" s="23"/>
      <c r="F84" s="23"/>
      <c r="G84" s="23"/>
      <c r="H84" s="23"/>
      <c r="I84" s="23"/>
      <c r="J84" s="23"/>
      <c r="K84" s="23"/>
      <c r="L84" s="23"/>
      <c r="M84" s="23"/>
      <c r="N84" s="23"/>
      <c r="O84" s="23"/>
      <c r="P84" s="23"/>
      <c r="Q84" s="23"/>
      <c r="R84" s="4"/>
      <c r="S84" s="23"/>
      <c r="T84" s="23"/>
      <c r="U84" s="23"/>
      <c r="V84" s="23"/>
    </row>
    <row r="85" spans="1:22" x14ac:dyDescent="0.25">
      <c r="A85" s="703"/>
      <c r="B85" s="4"/>
      <c r="C85" s="23"/>
      <c r="D85" s="23"/>
      <c r="E85" s="23"/>
      <c r="F85" s="23"/>
      <c r="G85" s="23"/>
      <c r="H85" s="23"/>
      <c r="I85" s="23"/>
      <c r="J85" s="23"/>
      <c r="K85" s="23"/>
      <c r="L85" s="23"/>
      <c r="M85" s="23"/>
      <c r="N85" s="23"/>
      <c r="O85" s="23"/>
      <c r="P85" s="23"/>
      <c r="Q85" s="23"/>
      <c r="R85" s="4"/>
      <c r="S85" s="23"/>
      <c r="T85" s="23"/>
      <c r="U85" s="23"/>
      <c r="V85" s="23"/>
    </row>
    <row r="86" spans="1:22" x14ac:dyDescent="0.25">
      <c r="A86" s="703"/>
      <c r="B86" s="4"/>
      <c r="C86" s="23"/>
      <c r="D86" s="23"/>
      <c r="E86" s="23"/>
      <c r="F86" s="23"/>
      <c r="G86" s="23"/>
      <c r="H86" s="23"/>
      <c r="I86" s="23"/>
      <c r="J86" s="23"/>
      <c r="K86" s="23"/>
      <c r="L86" s="23"/>
      <c r="M86" s="23"/>
      <c r="N86" s="23"/>
      <c r="O86" s="23"/>
      <c r="P86" s="23"/>
      <c r="Q86" s="23"/>
      <c r="R86" s="4"/>
      <c r="S86" s="23"/>
      <c r="T86" s="23"/>
      <c r="U86" s="23"/>
      <c r="V86" s="23"/>
    </row>
    <row r="87" spans="1:22" x14ac:dyDescent="0.25">
      <c r="A87" s="703"/>
      <c r="B87" s="4"/>
      <c r="C87" s="23"/>
      <c r="D87" s="23"/>
      <c r="E87" s="23"/>
      <c r="F87" s="23"/>
      <c r="G87" s="23"/>
      <c r="H87" s="23"/>
      <c r="I87" s="23"/>
      <c r="J87" s="23"/>
      <c r="K87" s="23"/>
      <c r="L87" s="23"/>
      <c r="M87" s="23"/>
      <c r="N87" s="23"/>
      <c r="O87" s="23"/>
      <c r="P87" s="23"/>
      <c r="Q87" s="23"/>
      <c r="R87" s="4"/>
      <c r="S87" s="23"/>
      <c r="T87" s="23"/>
      <c r="U87" s="23"/>
      <c r="V87" s="23"/>
    </row>
    <row r="88" spans="1:22" x14ac:dyDescent="0.25">
      <c r="A88" s="703"/>
      <c r="B88" s="4"/>
      <c r="C88" s="23"/>
      <c r="D88" s="23"/>
      <c r="E88" s="23"/>
      <c r="F88" s="23"/>
      <c r="G88" s="23"/>
      <c r="H88" s="23"/>
      <c r="I88" s="23"/>
      <c r="J88" s="23"/>
      <c r="K88" s="23"/>
      <c r="L88" s="23"/>
      <c r="M88" s="23"/>
      <c r="N88" s="23"/>
      <c r="O88" s="23"/>
      <c r="P88" s="23"/>
      <c r="Q88" s="23"/>
      <c r="R88" s="4"/>
      <c r="S88" s="23"/>
      <c r="T88" s="23"/>
      <c r="U88" s="23"/>
      <c r="V88" s="23"/>
    </row>
    <row r="89" spans="1:22" x14ac:dyDescent="0.25">
      <c r="A89" s="703"/>
      <c r="B89" s="4"/>
      <c r="C89" s="23"/>
      <c r="D89" s="23"/>
      <c r="E89" s="23"/>
      <c r="F89" s="23"/>
      <c r="G89" s="23"/>
      <c r="H89" s="23"/>
      <c r="I89" s="23"/>
      <c r="J89" s="23"/>
      <c r="K89" s="23"/>
      <c r="L89" s="23"/>
      <c r="M89" s="23"/>
      <c r="N89" s="23"/>
      <c r="O89" s="23"/>
      <c r="P89" s="23"/>
      <c r="Q89" s="23"/>
      <c r="R89" s="4"/>
      <c r="S89" s="23"/>
      <c r="T89" s="23"/>
      <c r="U89" s="23"/>
      <c r="V89" s="23"/>
    </row>
    <row r="90" spans="1:22" x14ac:dyDescent="0.25">
      <c r="A90" s="703"/>
      <c r="B90" s="4"/>
      <c r="C90" s="23"/>
      <c r="D90" s="23"/>
      <c r="E90" s="23"/>
      <c r="F90" s="23"/>
      <c r="G90" s="23"/>
      <c r="H90" s="23"/>
      <c r="I90" s="23"/>
      <c r="J90" s="23"/>
      <c r="K90" s="23"/>
      <c r="L90" s="23"/>
      <c r="M90" s="23"/>
      <c r="N90" s="23"/>
      <c r="O90" s="23"/>
      <c r="P90" s="23"/>
      <c r="Q90" s="23"/>
      <c r="R90" s="4"/>
      <c r="S90" s="23"/>
      <c r="T90" s="23"/>
      <c r="U90" s="23"/>
      <c r="V90" s="23"/>
    </row>
    <row r="91" spans="1:22" x14ac:dyDescent="0.25">
      <c r="A91" s="703"/>
      <c r="B91" s="4"/>
      <c r="C91" s="23"/>
      <c r="D91" s="23"/>
      <c r="E91" s="23"/>
      <c r="F91" s="23"/>
      <c r="G91" s="23"/>
      <c r="H91" s="23"/>
      <c r="I91" s="23"/>
      <c r="J91" s="23"/>
      <c r="K91" s="23"/>
      <c r="L91" s="23"/>
      <c r="M91" s="23"/>
      <c r="N91" s="23"/>
      <c r="O91" s="23"/>
      <c r="P91" s="23"/>
      <c r="Q91" s="23"/>
      <c r="R91" s="4"/>
      <c r="S91" s="23"/>
      <c r="T91" s="23"/>
      <c r="U91" s="23"/>
      <c r="V91" s="23"/>
    </row>
    <row r="92" spans="1:22" x14ac:dyDescent="0.25">
      <c r="A92" s="703"/>
      <c r="B92" s="4"/>
      <c r="C92" s="23"/>
      <c r="D92" s="23"/>
      <c r="E92" s="23"/>
      <c r="F92" s="23"/>
      <c r="G92" s="23"/>
      <c r="H92" s="23"/>
      <c r="I92" s="23"/>
      <c r="J92" s="23"/>
      <c r="K92" s="23"/>
      <c r="L92" s="23"/>
      <c r="M92" s="23"/>
      <c r="N92" s="23"/>
      <c r="O92" s="23"/>
      <c r="P92" s="23"/>
      <c r="Q92" s="23"/>
      <c r="R92" s="4"/>
      <c r="S92" s="23"/>
      <c r="T92" s="23"/>
      <c r="U92" s="23"/>
      <c r="V92" s="23"/>
    </row>
    <row r="93" spans="1:22" x14ac:dyDescent="0.25">
      <c r="A93" s="703"/>
      <c r="B93" s="4"/>
      <c r="C93" s="23"/>
      <c r="D93" s="23"/>
      <c r="E93" s="23"/>
      <c r="F93" s="23"/>
      <c r="G93" s="23"/>
      <c r="H93" s="23"/>
      <c r="I93" s="23"/>
      <c r="J93" s="23"/>
      <c r="K93" s="23"/>
      <c r="L93" s="23"/>
      <c r="M93" s="23"/>
      <c r="N93" s="23"/>
      <c r="O93" s="23"/>
      <c r="P93" s="23"/>
      <c r="Q93" s="23"/>
      <c r="R93" s="4"/>
      <c r="S93" s="23"/>
      <c r="T93" s="23"/>
      <c r="U93" s="23"/>
      <c r="V93" s="23"/>
    </row>
    <row r="94" spans="1:22" x14ac:dyDescent="0.25">
      <c r="A94" s="703"/>
      <c r="B94" s="4"/>
      <c r="C94" s="23"/>
      <c r="D94" s="23"/>
      <c r="E94" s="23"/>
      <c r="F94" s="23"/>
      <c r="G94" s="23"/>
      <c r="H94" s="23"/>
      <c r="I94" s="23"/>
      <c r="J94" s="23"/>
      <c r="K94" s="23"/>
      <c r="L94" s="23"/>
      <c r="M94" s="23"/>
      <c r="N94" s="23"/>
      <c r="O94" s="23"/>
      <c r="P94" s="23"/>
      <c r="Q94" s="23"/>
      <c r="R94" s="4"/>
      <c r="S94" s="23"/>
      <c r="T94" s="23"/>
      <c r="U94" s="23"/>
      <c r="V94" s="23"/>
    </row>
    <row r="95" spans="1:22" x14ac:dyDescent="0.25">
      <c r="A95" s="703"/>
      <c r="B95" s="4"/>
      <c r="C95" s="23"/>
      <c r="D95" s="23"/>
      <c r="E95" s="23"/>
      <c r="F95" s="23"/>
      <c r="G95" s="23"/>
      <c r="H95" s="23"/>
      <c r="I95" s="23"/>
      <c r="J95" s="23"/>
      <c r="K95" s="23"/>
      <c r="L95" s="23"/>
      <c r="M95" s="23"/>
      <c r="N95" s="23"/>
      <c r="O95" s="23"/>
      <c r="P95" s="23"/>
      <c r="Q95" s="23"/>
      <c r="R95" s="4"/>
      <c r="S95" s="23"/>
      <c r="T95" s="23"/>
      <c r="U95" s="23"/>
      <c r="V95" s="23"/>
    </row>
    <row r="96" spans="1:22" x14ac:dyDescent="0.25">
      <c r="A96" s="703"/>
      <c r="B96" s="4"/>
      <c r="C96" s="23"/>
      <c r="D96" s="23"/>
      <c r="E96" s="23"/>
      <c r="F96" s="23"/>
      <c r="G96" s="23"/>
      <c r="H96" s="23"/>
      <c r="I96" s="23"/>
      <c r="J96" s="23"/>
      <c r="K96" s="23"/>
      <c r="L96" s="23"/>
      <c r="M96" s="23"/>
      <c r="N96" s="23"/>
      <c r="O96" s="23"/>
      <c r="P96" s="23"/>
      <c r="Q96" s="23"/>
      <c r="R96" s="4"/>
      <c r="S96" s="23"/>
      <c r="T96" s="23"/>
      <c r="U96" s="23"/>
      <c r="V96" s="23"/>
    </row>
    <row r="97" spans="1:22" x14ac:dyDescent="0.25">
      <c r="A97" s="703"/>
      <c r="B97" s="4"/>
      <c r="C97" s="23"/>
      <c r="D97" s="23"/>
      <c r="E97" s="23"/>
      <c r="F97" s="23"/>
      <c r="G97" s="23"/>
      <c r="H97" s="23"/>
      <c r="I97" s="23"/>
      <c r="J97" s="23"/>
      <c r="K97" s="23"/>
      <c r="L97" s="23"/>
      <c r="M97" s="23"/>
      <c r="N97" s="23"/>
      <c r="O97" s="23"/>
      <c r="P97" s="23"/>
      <c r="Q97" s="23"/>
      <c r="R97" s="4"/>
      <c r="S97" s="23"/>
      <c r="T97" s="23"/>
      <c r="U97" s="23"/>
      <c r="V97" s="23"/>
    </row>
    <row r="98" spans="1:22" x14ac:dyDescent="0.25">
      <c r="A98" s="703"/>
      <c r="B98" s="4"/>
      <c r="C98" s="23"/>
      <c r="D98" s="23"/>
      <c r="E98" s="23"/>
      <c r="F98" s="23"/>
      <c r="G98" s="23"/>
      <c r="H98" s="23"/>
      <c r="I98" s="23"/>
      <c r="J98" s="23"/>
      <c r="K98" s="23"/>
      <c r="L98" s="23"/>
      <c r="M98" s="23"/>
      <c r="N98" s="23"/>
      <c r="O98" s="23"/>
      <c r="P98" s="23"/>
      <c r="Q98" s="23"/>
      <c r="R98" s="4"/>
      <c r="S98" s="23"/>
      <c r="T98" s="23"/>
      <c r="U98" s="23"/>
      <c r="V98" s="23"/>
    </row>
    <row r="99" spans="1:22" x14ac:dyDescent="0.25">
      <c r="A99" s="703"/>
      <c r="B99" s="4"/>
      <c r="C99" s="23"/>
      <c r="D99" s="23"/>
      <c r="E99" s="23"/>
      <c r="F99" s="23"/>
      <c r="G99" s="23"/>
      <c r="H99" s="23"/>
      <c r="I99" s="23"/>
      <c r="J99" s="23"/>
      <c r="K99" s="23"/>
      <c r="L99" s="23"/>
      <c r="M99" s="23"/>
      <c r="N99" s="23"/>
      <c r="O99" s="23"/>
      <c r="P99" s="23"/>
      <c r="Q99" s="23"/>
      <c r="R99" s="4"/>
      <c r="S99" s="23"/>
      <c r="T99" s="23"/>
      <c r="U99" s="23"/>
      <c r="V99" s="23"/>
    </row>
    <row r="100" spans="1:22" x14ac:dyDescent="0.25">
      <c r="A100" s="703"/>
      <c r="B100" s="4"/>
      <c r="C100" s="23"/>
      <c r="D100" s="23"/>
      <c r="E100" s="23"/>
      <c r="F100" s="23"/>
      <c r="G100" s="23"/>
      <c r="H100" s="23"/>
      <c r="I100" s="23"/>
      <c r="J100" s="23"/>
      <c r="K100" s="23"/>
      <c r="L100" s="23"/>
      <c r="M100" s="23"/>
      <c r="N100" s="23"/>
      <c r="O100" s="23"/>
      <c r="P100" s="23"/>
      <c r="Q100" s="23"/>
      <c r="R100" s="4"/>
      <c r="S100" s="23"/>
      <c r="T100" s="23"/>
      <c r="U100" s="23"/>
      <c r="V100" s="23"/>
    </row>
    <row r="101" spans="1:22" x14ac:dyDescent="0.25">
      <c r="A101" s="703"/>
      <c r="B101" s="4"/>
      <c r="C101" s="23"/>
      <c r="D101" s="23"/>
      <c r="E101" s="23"/>
      <c r="F101" s="23"/>
      <c r="G101" s="23"/>
      <c r="H101" s="23"/>
      <c r="I101" s="23"/>
      <c r="J101" s="23"/>
      <c r="K101" s="23"/>
      <c r="L101" s="23"/>
      <c r="M101" s="23"/>
      <c r="N101" s="23"/>
      <c r="O101" s="23"/>
      <c r="P101" s="23"/>
      <c r="Q101" s="23"/>
      <c r="R101" s="4"/>
      <c r="S101" s="23"/>
      <c r="T101" s="23"/>
      <c r="U101" s="23"/>
      <c r="V101" s="23"/>
    </row>
    <row r="102" spans="1:22" x14ac:dyDescent="0.25">
      <c r="A102" s="703"/>
      <c r="B102" s="4"/>
      <c r="C102" s="23"/>
      <c r="D102" s="23"/>
      <c r="E102" s="23"/>
      <c r="F102" s="23"/>
      <c r="G102" s="23"/>
      <c r="H102" s="23"/>
      <c r="I102" s="23"/>
      <c r="J102" s="23"/>
      <c r="K102" s="23"/>
      <c r="L102" s="23"/>
      <c r="M102" s="23"/>
      <c r="N102" s="23"/>
      <c r="O102" s="23"/>
      <c r="P102" s="23"/>
      <c r="Q102" s="23"/>
      <c r="R102" s="4"/>
      <c r="S102" s="23"/>
      <c r="T102" s="23"/>
      <c r="U102" s="23"/>
      <c r="V102" s="23"/>
    </row>
    <row r="103" spans="1:22" x14ac:dyDescent="0.25">
      <c r="A103" s="703"/>
      <c r="B103" s="4"/>
      <c r="C103" s="23"/>
      <c r="D103" s="23"/>
      <c r="E103" s="23"/>
      <c r="F103" s="23"/>
      <c r="G103" s="23"/>
      <c r="H103" s="23"/>
      <c r="I103" s="23"/>
      <c r="J103" s="23"/>
      <c r="K103" s="23"/>
      <c r="L103" s="23"/>
      <c r="M103" s="23"/>
      <c r="N103" s="23"/>
      <c r="O103" s="23"/>
      <c r="P103" s="23"/>
      <c r="Q103" s="23"/>
      <c r="R103" s="4"/>
      <c r="S103" s="23"/>
      <c r="T103" s="23"/>
      <c r="U103" s="23"/>
      <c r="V103" s="23"/>
    </row>
    <row r="104" spans="1:22" x14ac:dyDescent="0.25">
      <c r="A104" s="703"/>
      <c r="B104" s="4"/>
      <c r="C104" s="23"/>
      <c r="D104" s="23"/>
      <c r="E104" s="23"/>
      <c r="F104" s="23"/>
      <c r="G104" s="23"/>
      <c r="H104" s="23"/>
      <c r="I104" s="23"/>
      <c r="J104" s="23"/>
      <c r="K104" s="23"/>
      <c r="L104" s="23"/>
      <c r="M104" s="23"/>
      <c r="N104" s="23"/>
      <c r="O104" s="23"/>
      <c r="P104" s="23"/>
      <c r="Q104" s="23"/>
      <c r="R104" s="4"/>
      <c r="S104" s="23"/>
      <c r="T104" s="23"/>
      <c r="U104" s="23"/>
      <c r="V104" s="23"/>
    </row>
    <row r="105" spans="1:22" x14ac:dyDescent="0.25">
      <c r="A105" s="703"/>
      <c r="B105" s="4"/>
      <c r="C105" s="23"/>
      <c r="D105" s="23"/>
      <c r="E105" s="23"/>
      <c r="F105" s="23"/>
      <c r="G105" s="23"/>
      <c r="H105" s="23"/>
      <c r="I105" s="23"/>
      <c r="J105" s="23"/>
      <c r="K105" s="23"/>
      <c r="L105" s="23"/>
      <c r="M105" s="23"/>
      <c r="N105" s="23"/>
      <c r="O105" s="23"/>
      <c r="P105" s="23"/>
      <c r="Q105" s="23"/>
      <c r="R105" s="4"/>
      <c r="S105" s="23"/>
      <c r="T105" s="23"/>
      <c r="U105" s="23"/>
      <c r="V105" s="23"/>
    </row>
    <row r="106" spans="1:22" x14ac:dyDescent="0.25">
      <c r="C106" s="194"/>
      <c r="D106" s="194"/>
      <c r="E106" s="194"/>
      <c r="F106" s="194"/>
      <c r="G106" s="194"/>
      <c r="H106" s="194"/>
      <c r="I106" s="194"/>
      <c r="J106" s="194"/>
      <c r="K106" s="194"/>
      <c r="L106" s="194"/>
      <c r="M106" s="194"/>
      <c r="N106" s="194"/>
      <c r="O106" s="194"/>
      <c r="P106" s="194"/>
      <c r="Q106" s="194"/>
    </row>
    <row r="107" spans="1:22" x14ac:dyDescent="0.25">
      <c r="C107" s="194"/>
      <c r="D107" s="194"/>
      <c r="E107" s="194"/>
      <c r="F107" s="194"/>
      <c r="G107" s="194"/>
      <c r="H107" s="194"/>
      <c r="I107" s="194"/>
      <c r="J107" s="194"/>
      <c r="K107" s="194"/>
      <c r="L107" s="194"/>
      <c r="M107" s="194"/>
      <c r="N107" s="194"/>
      <c r="O107" s="194"/>
      <c r="P107" s="194"/>
      <c r="Q107" s="194"/>
    </row>
    <row r="108" spans="1:22" x14ac:dyDescent="0.25">
      <c r="C108" s="194"/>
      <c r="D108" s="194"/>
      <c r="E108" s="194"/>
      <c r="F108" s="194"/>
      <c r="G108" s="194"/>
      <c r="H108" s="194"/>
      <c r="I108" s="194"/>
      <c r="J108" s="194"/>
      <c r="K108" s="194"/>
      <c r="L108" s="194"/>
      <c r="M108" s="194"/>
      <c r="N108" s="194"/>
      <c r="O108" s="194"/>
      <c r="P108" s="194"/>
      <c r="Q108" s="194"/>
    </row>
    <row r="109" spans="1:22" x14ac:dyDescent="0.25">
      <c r="C109" s="194"/>
      <c r="D109" s="194"/>
      <c r="E109" s="194"/>
      <c r="F109" s="194"/>
      <c r="G109" s="194"/>
      <c r="H109" s="194"/>
      <c r="I109" s="194"/>
      <c r="J109" s="194"/>
      <c r="K109" s="194"/>
      <c r="L109" s="194"/>
      <c r="M109" s="194"/>
      <c r="N109" s="194"/>
      <c r="O109" s="194"/>
      <c r="P109" s="194"/>
      <c r="Q109" s="194"/>
    </row>
    <row r="110" spans="1:22" x14ac:dyDescent="0.25">
      <c r="C110" s="194"/>
      <c r="D110" s="194"/>
      <c r="E110" s="194"/>
      <c r="F110" s="194"/>
      <c r="G110" s="194"/>
      <c r="H110" s="194"/>
      <c r="I110" s="194"/>
      <c r="J110" s="194"/>
      <c r="K110" s="194"/>
      <c r="L110" s="194"/>
      <c r="M110" s="194"/>
      <c r="N110" s="194"/>
      <c r="O110" s="194"/>
      <c r="P110" s="194"/>
      <c r="Q110" s="194"/>
    </row>
    <row r="111" spans="1:22" x14ac:dyDescent="0.25">
      <c r="C111" s="194"/>
      <c r="D111" s="194"/>
      <c r="E111" s="194"/>
      <c r="F111" s="194"/>
      <c r="G111" s="194"/>
      <c r="H111" s="194"/>
      <c r="I111" s="194"/>
      <c r="J111" s="194"/>
      <c r="K111" s="194"/>
      <c r="L111" s="194"/>
      <c r="M111" s="194"/>
      <c r="N111" s="194"/>
      <c r="O111" s="194"/>
      <c r="P111" s="194"/>
      <c r="Q111" s="194"/>
    </row>
    <row r="112" spans="1:22" x14ac:dyDescent="0.25">
      <c r="C112" s="194"/>
      <c r="D112" s="194"/>
      <c r="E112" s="194"/>
      <c r="F112" s="194"/>
      <c r="G112" s="194"/>
      <c r="H112" s="194"/>
      <c r="I112" s="194"/>
      <c r="J112" s="194"/>
      <c r="K112" s="194"/>
      <c r="L112" s="194"/>
      <c r="M112" s="194"/>
      <c r="N112" s="194"/>
      <c r="O112" s="194"/>
      <c r="P112" s="194"/>
      <c r="Q112" s="194"/>
    </row>
    <row r="113" spans="3:3" x14ac:dyDescent="0.25">
      <c r="C113" s="194"/>
    </row>
    <row r="114" spans="3:3" x14ac:dyDescent="0.25">
      <c r="C114" s="194"/>
    </row>
    <row r="115" spans="3:3" x14ac:dyDescent="0.25">
      <c r="C115" s="194"/>
    </row>
    <row r="116" spans="3:3" x14ac:dyDescent="0.25">
      <c r="C116" s="194"/>
    </row>
    <row r="117" spans="3:3" x14ac:dyDescent="0.25">
      <c r="C117" s="194"/>
    </row>
    <row r="118" spans="3:3" x14ac:dyDescent="0.25">
      <c r="C118" s="194"/>
    </row>
    <row r="119" spans="3:3" x14ac:dyDescent="0.25">
      <c r="C119" s="194"/>
    </row>
    <row r="120" spans="3:3" x14ac:dyDescent="0.25">
      <c r="C120" s="194"/>
    </row>
    <row r="121" spans="3:3" x14ac:dyDescent="0.25">
      <c r="C121" s="194"/>
    </row>
    <row r="122" spans="3:3" x14ac:dyDescent="0.25">
      <c r="C122" s="194"/>
    </row>
    <row r="123" spans="3:3" x14ac:dyDescent="0.25">
      <c r="C123" s="194"/>
    </row>
    <row r="124" spans="3:3" x14ac:dyDescent="0.25">
      <c r="C124" s="194"/>
    </row>
    <row r="125" spans="3:3" x14ac:dyDescent="0.25">
      <c r="C125" s="194"/>
    </row>
    <row r="126" spans="3:3" x14ac:dyDescent="0.25">
      <c r="C126" s="194"/>
    </row>
    <row r="127" spans="3:3" x14ac:dyDescent="0.25">
      <c r="C127" s="194"/>
    </row>
    <row r="128" spans="3:3" x14ac:dyDescent="0.25">
      <c r="C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sheetData>
  <phoneticPr fontId="0" type="noConversion"/>
  <hyperlinks>
    <hyperlink ref="A1" location="'Working Budget with funding det'!A1" display="Main " xr:uid="{00000000-0004-0000-3100-000000000000}"/>
    <hyperlink ref="B1" location="'Table of Contents'!A1" display="TOC" xr:uid="{00000000-0004-0000-3100-000001000000}"/>
  </hyperlinks>
  <pageMargins left="0.7" right="0.7" top="0.75" bottom="0.75" header="0.3" footer="0.3"/>
  <pageSetup scale="70" fitToWidth="0" orientation="landscape" r:id="rId1"/>
  <headerFooter alignWithMargins="0">
    <oddFooter>&amp;L&amp;D     &amp;T&amp;C&amp;F&amp;R&amp;A</oddFooter>
  </headerFooter>
  <rowBreaks count="1" manualBreakCount="1">
    <brk id="31" max="16"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50"/>
    <pageSetUpPr fitToPage="1"/>
  </sheetPr>
  <dimension ref="A1:Y193"/>
  <sheetViews>
    <sheetView workbookViewId="0">
      <selection activeCell="S11" sqref="S11"/>
    </sheetView>
  </sheetViews>
  <sheetFormatPr defaultRowHeight="13.2" x14ac:dyDescent="0.25"/>
  <cols>
    <col min="1" max="1" width="10.4414062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1412</v>
      </c>
      <c r="B2" s="43"/>
      <c r="D2" s="194"/>
      <c r="E2" s="125"/>
      <c r="F2" s="194"/>
      <c r="G2" s="194"/>
      <c r="H2" s="194"/>
      <c r="I2" s="125" t="s">
        <v>706</v>
      </c>
      <c r="J2" s="125"/>
      <c r="K2" s="125"/>
      <c r="L2" s="125"/>
      <c r="M2" s="125"/>
      <c r="N2" s="125"/>
      <c r="O2" s="125"/>
      <c r="P2" s="125"/>
      <c r="Q2" s="125"/>
      <c r="R2" s="58" t="s">
        <v>1413</v>
      </c>
      <c r="U2" s="44" t="s">
        <v>1414</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9"/>
      <c r="J8" s="19"/>
      <c r="K8" s="19"/>
      <c r="L8" s="19"/>
      <c r="M8" s="19"/>
      <c r="N8" s="19"/>
      <c r="O8" s="19"/>
      <c r="P8" s="19"/>
      <c r="Q8" s="19"/>
      <c r="R8" s="18"/>
      <c r="S8" s="19"/>
      <c r="T8" s="19"/>
      <c r="U8" s="19"/>
    </row>
    <row r="9" spans="1:24" x14ac:dyDescent="0.25">
      <c r="A9" s="708">
        <v>5664</v>
      </c>
      <c r="B9" s="60" t="s">
        <v>1415</v>
      </c>
      <c r="C9" s="115">
        <v>51152</v>
      </c>
      <c r="D9" s="13">
        <v>54421</v>
      </c>
      <c r="E9" s="13">
        <v>35320</v>
      </c>
      <c r="F9" s="13">
        <v>51012</v>
      </c>
      <c r="G9" s="13">
        <v>52298</v>
      </c>
      <c r="H9" s="13">
        <v>53331</v>
      </c>
      <c r="I9" s="127">
        <v>53454</v>
      </c>
      <c r="J9" s="127">
        <f>-150+55514</f>
        <v>55364</v>
      </c>
      <c r="K9" s="14">
        <v>55957</v>
      </c>
      <c r="L9" s="127">
        <v>55957</v>
      </c>
      <c r="M9" s="14">
        <v>52856</v>
      </c>
      <c r="N9" s="127">
        <v>52856</v>
      </c>
      <c r="O9" s="14">
        <v>51558</v>
      </c>
      <c r="P9" s="13">
        <f>-150+51708</f>
        <v>51558</v>
      </c>
      <c r="Q9" s="14">
        <v>52000</v>
      </c>
      <c r="R9" s="13">
        <v>38766.75</v>
      </c>
      <c r="S9" s="14">
        <v>51418</v>
      </c>
      <c r="T9" s="14"/>
      <c r="U9" s="14"/>
      <c r="V9" s="29">
        <v>51689</v>
      </c>
      <c r="W9" s="25"/>
    </row>
    <row r="10" spans="1:24" x14ac:dyDescent="0.25">
      <c r="A10" s="708">
        <v>5665</v>
      </c>
      <c r="B10" s="60" t="s">
        <v>1416</v>
      </c>
      <c r="C10" s="115">
        <v>3190.82</v>
      </c>
      <c r="D10" s="13">
        <v>3270.21</v>
      </c>
      <c r="E10" s="13">
        <v>3861.12</v>
      </c>
      <c r="F10" s="13">
        <v>4166.21</v>
      </c>
      <c r="G10" s="13">
        <v>4229.2299999999996</v>
      </c>
      <c r="H10" s="13">
        <v>6478.06</v>
      </c>
      <c r="I10" s="127">
        <v>6592.29</v>
      </c>
      <c r="J10" s="127">
        <v>6947.75</v>
      </c>
      <c r="K10" s="14">
        <v>7455</v>
      </c>
      <c r="L10" s="127">
        <v>7452.55</v>
      </c>
      <c r="M10" s="14">
        <f t="shared" ref="M10" si="0">ROUND((+I10*1.03),0)</f>
        <v>6790</v>
      </c>
      <c r="N10" s="127">
        <v>7452.55</v>
      </c>
      <c r="O10" s="14">
        <v>7161</v>
      </c>
      <c r="P10" s="13">
        <v>7160.15</v>
      </c>
      <c r="Q10" s="14">
        <v>7519</v>
      </c>
      <c r="R10" s="13">
        <v>7205.75</v>
      </c>
      <c r="S10" s="14">
        <v>7206</v>
      </c>
      <c r="T10" s="14"/>
      <c r="U10" s="14"/>
      <c r="V10" s="29">
        <v>7206</v>
      </c>
      <c r="W10" s="25"/>
    </row>
    <row r="11" spans="1:24" x14ac:dyDescent="0.25">
      <c r="A11" s="708">
        <v>5666</v>
      </c>
      <c r="B11" s="60" t="s">
        <v>1417</v>
      </c>
      <c r="C11" s="115">
        <v>17486</v>
      </c>
      <c r="D11" s="13">
        <v>19041</v>
      </c>
      <c r="E11" s="13">
        <v>21160</v>
      </c>
      <c r="F11" s="13">
        <v>23373</v>
      </c>
      <c r="G11" s="13">
        <v>24489</v>
      </c>
      <c r="H11" s="13">
        <v>25109</v>
      </c>
      <c r="I11" s="127">
        <v>26171</v>
      </c>
      <c r="J11" s="127">
        <v>27254</v>
      </c>
      <c r="K11" s="14">
        <v>30887</v>
      </c>
      <c r="L11" s="127">
        <v>30886.560000000001</v>
      </c>
      <c r="M11" s="14">
        <v>31274</v>
      </c>
      <c r="N11" s="127">
        <v>31276</v>
      </c>
      <c r="O11" s="14">
        <v>31763</v>
      </c>
      <c r="P11" s="13">
        <v>31763</v>
      </c>
      <c r="Q11" s="14">
        <v>33810</v>
      </c>
      <c r="R11" s="13">
        <v>25356.75</v>
      </c>
      <c r="S11" s="14">
        <v>35600</v>
      </c>
      <c r="T11" s="14"/>
      <c r="U11" s="14"/>
      <c r="W11" s="25"/>
    </row>
    <row r="12" spans="1:24" x14ac:dyDescent="0.25">
      <c r="A12" s="708">
        <v>5667</v>
      </c>
      <c r="B12" s="60" t="s">
        <v>1418</v>
      </c>
      <c r="C12" s="210"/>
      <c r="D12" s="35"/>
      <c r="E12" s="35"/>
      <c r="F12" s="35"/>
      <c r="G12" s="35"/>
      <c r="H12" s="35">
        <v>150</v>
      </c>
      <c r="I12" s="127">
        <v>150</v>
      </c>
      <c r="J12" s="127">
        <v>150</v>
      </c>
      <c r="K12" s="14">
        <v>150</v>
      </c>
      <c r="L12" s="200">
        <v>150</v>
      </c>
      <c r="M12" s="14">
        <v>150</v>
      </c>
      <c r="N12" s="200">
        <v>150</v>
      </c>
      <c r="O12" s="14">
        <v>150</v>
      </c>
      <c r="P12" s="35">
        <v>150</v>
      </c>
      <c r="Q12" s="14">
        <v>150</v>
      </c>
      <c r="R12" s="35">
        <v>150</v>
      </c>
      <c r="S12" s="14">
        <v>150</v>
      </c>
      <c r="T12" s="36"/>
      <c r="U12" s="36"/>
      <c r="W12" s="25"/>
    </row>
    <row r="13" spans="1:24" x14ac:dyDescent="0.25">
      <c r="A13" s="708">
        <v>5668</v>
      </c>
      <c r="B13" s="60" t="s">
        <v>2158</v>
      </c>
      <c r="C13" s="210"/>
      <c r="D13" s="35"/>
      <c r="E13" s="35"/>
      <c r="F13" s="35"/>
      <c r="G13" s="35"/>
      <c r="H13" s="35"/>
      <c r="I13" s="200"/>
      <c r="J13" s="200"/>
      <c r="K13" s="36"/>
      <c r="L13" s="200"/>
      <c r="M13" s="36"/>
      <c r="N13" s="200"/>
      <c r="O13" s="36"/>
      <c r="P13" s="35"/>
      <c r="Q13" s="36"/>
      <c r="R13" s="35"/>
      <c r="S13" s="36">
        <v>0</v>
      </c>
      <c r="T13" s="36"/>
      <c r="U13" s="36"/>
      <c r="V13" s="317" t="s">
        <v>2159</v>
      </c>
      <c r="W13" s="25"/>
    </row>
    <row r="14" spans="1:24" ht="13.8" thickBot="1" x14ac:dyDescent="0.3">
      <c r="A14" s="708">
        <v>5670</v>
      </c>
      <c r="B14" s="60" t="s">
        <v>1419</v>
      </c>
      <c r="C14" s="116">
        <v>11246</v>
      </c>
      <c r="D14" s="15">
        <v>11142</v>
      </c>
      <c r="E14" s="15">
        <v>11597</v>
      </c>
      <c r="F14" s="15">
        <v>15707</v>
      </c>
      <c r="G14" s="15">
        <v>11479.07</v>
      </c>
      <c r="H14" s="15">
        <v>14183.83</v>
      </c>
      <c r="I14" s="252">
        <v>14457.07</v>
      </c>
      <c r="J14" s="252">
        <v>14985.69</v>
      </c>
      <c r="K14" s="16">
        <v>16730</v>
      </c>
      <c r="L14" s="252">
        <v>16729.689999999999</v>
      </c>
      <c r="M14" s="16">
        <v>19650</v>
      </c>
      <c r="N14" s="252">
        <v>19649.45</v>
      </c>
      <c r="O14" s="16">
        <v>20015</v>
      </c>
      <c r="P14" s="15">
        <v>19669.7</v>
      </c>
      <c r="Q14" s="16">
        <v>20445</v>
      </c>
      <c r="R14" s="15">
        <v>20458.61</v>
      </c>
      <c r="S14" s="16">
        <v>22500</v>
      </c>
      <c r="T14" s="16"/>
      <c r="U14" s="16"/>
      <c r="W14" s="478"/>
    </row>
    <row r="15" spans="1:24" x14ac:dyDescent="0.25">
      <c r="A15" s="708"/>
      <c r="B15" s="60"/>
      <c r="C15" s="117"/>
      <c r="D15" s="18"/>
      <c r="E15" s="18"/>
      <c r="F15" s="18"/>
      <c r="G15" s="18"/>
      <c r="H15" s="18"/>
      <c r="I15" s="18"/>
      <c r="J15" s="18"/>
      <c r="K15" s="19"/>
      <c r="L15" s="18"/>
      <c r="M15" s="19"/>
      <c r="N15" s="18"/>
      <c r="O15" s="19"/>
      <c r="P15" s="18"/>
      <c r="Q15" s="19"/>
      <c r="R15" s="18"/>
      <c r="S15" s="19"/>
      <c r="T15" s="19"/>
      <c r="U15" s="19"/>
    </row>
    <row r="16" spans="1:24" ht="13.8" thickBot="1" x14ac:dyDescent="0.3">
      <c r="A16" s="709"/>
      <c r="B16" s="583" t="s">
        <v>1420</v>
      </c>
      <c r="C16" s="577">
        <f>SUM(C9:C15)</f>
        <v>83074.820000000007</v>
      </c>
      <c r="D16" s="21">
        <f>SUM(D9:D15)</f>
        <v>87874.209999999992</v>
      </c>
      <c r="E16" s="21">
        <f>SUM(E9:E15)</f>
        <v>71938.12</v>
      </c>
      <c r="F16" s="21">
        <f>SUM(F9:F14)</f>
        <v>94258.209999999992</v>
      </c>
      <c r="G16" s="21">
        <f>SUM(G9:G14)</f>
        <v>92495.299999999988</v>
      </c>
      <c r="H16" s="21">
        <f>SUM(H9:H14)</f>
        <v>99251.89</v>
      </c>
      <c r="I16" s="21">
        <f>SUM(I9:I15)</f>
        <v>100824.36000000002</v>
      </c>
      <c r="J16" s="21">
        <f>SUM(J9:J15)</f>
        <v>104701.44</v>
      </c>
      <c r="K16" s="39">
        <f>SUM(K9:K15)</f>
        <v>111179</v>
      </c>
      <c r="L16" s="21">
        <f t="shared" ref="L16:P16" si="1">SUM(L9:L15)</f>
        <v>111175.8</v>
      </c>
      <c r="M16" s="39">
        <f t="shared" si="1"/>
        <v>110720</v>
      </c>
      <c r="N16" s="21">
        <f t="shared" si="1"/>
        <v>111384</v>
      </c>
      <c r="O16" s="39">
        <f t="shared" si="1"/>
        <v>110647</v>
      </c>
      <c r="P16" s="21">
        <f t="shared" si="1"/>
        <v>110300.84999999999</v>
      </c>
      <c r="Q16" s="39">
        <f>SUM(Q9:Q15)</f>
        <v>113924</v>
      </c>
      <c r="R16" s="21">
        <f>SUM(R9:R14)</f>
        <v>91937.86</v>
      </c>
      <c r="S16" s="39">
        <f>SUM(S9:S15)</f>
        <v>116874</v>
      </c>
      <c r="T16" s="39">
        <f>+S16</f>
        <v>116874</v>
      </c>
      <c r="U16" s="39">
        <f>+S16</f>
        <v>116874</v>
      </c>
    </row>
    <row r="17" spans="1:24" ht="13.8" thickTop="1" x14ac:dyDescent="0.25">
      <c r="A17" s="703"/>
      <c r="B17" s="584"/>
      <c r="C17" s="23"/>
      <c r="D17" s="23"/>
      <c r="E17" s="23"/>
      <c r="F17" s="23"/>
      <c r="G17" s="23"/>
      <c r="H17" s="23"/>
      <c r="I17" s="23"/>
      <c r="J17" s="23"/>
      <c r="K17" s="23"/>
      <c r="L17" s="23"/>
      <c r="M17" s="23"/>
      <c r="N17" s="23"/>
      <c r="O17" s="23"/>
      <c r="P17" s="23"/>
      <c r="Q17" s="23"/>
      <c r="R17" s="181" t="s">
        <v>732</v>
      </c>
      <c r="S17" s="1001">
        <f>+S16-Q16</f>
        <v>2950</v>
      </c>
      <c r="T17" s="1002">
        <f>ROUND((+S17/Q16),4)</f>
        <v>2.5899999999999999E-2</v>
      </c>
      <c r="U17" s="23"/>
      <c r="V17" s="25"/>
      <c r="W17" s="25"/>
      <c r="X17" s="25"/>
    </row>
    <row r="18" spans="1:24" x14ac:dyDescent="0.25">
      <c r="A18" s="54">
        <v>44930</v>
      </c>
      <c r="B18" s="584" t="s">
        <v>1963</v>
      </c>
      <c r="C18" s="23"/>
      <c r="D18" s="23"/>
      <c r="E18" s="23"/>
      <c r="F18" s="23"/>
      <c r="G18" s="23"/>
      <c r="H18" s="23"/>
      <c r="I18" s="23"/>
      <c r="J18" s="23"/>
      <c r="K18" s="23"/>
      <c r="L18" s="23"/>
      <c r="M18" s="23"/>
      <c r="N18" s="23"/>
      <c r="O18" s="23"/>
      <c r="P18" s="23"/>
      <c r="Q18" s="23"/>
      <c r="R18" s="25"/>
      <c r="S18" s="23"/>
      <c r="T18" s="23"/>
      <c r="U18" s="23"/>
      <c r="V18" s="25"/>
      <c r="W18" s="25"/>
      <c r="X18" s="25"/>
    </row>
    <row r="19" spans="1:24" x14ac:dyDescent="0.25">
      <c r="A19" s="54"/>
      <c r="B19" s="584"/>
      <c r="C19" s="23"/>
      <c r="D19" s="23"/>
      <c r="E19" s="23"/>
      <c r="F19" s="23"/>
      <c r="G19" s="23"/>
      <c r="H19" s="23"/>
      <c r="I19" s="23"/>
      <c r="J19" s="23"/>
      <c r="K19" s="23"/>
      <c r="L19" s="23"/>
      <c r="M19" s="23"/>
      <c r="N19" s="23"/>
      <c r="O19" s="23"/>
      <c r="P19" s="23"/>
      <c r="Q19" s="23"/>
      <c r="R19" s="25"/>
      <c r="S19" s="23"/>
      <c r="T19" s="23"/>
      <c r="U19" s="23"/>
      <c r="V19" s="25"/>
      <c r="W19" s="25"/>
      <c r="X19" s="25"/>
    </row>
    <row r="20" spans="1:24" x14ac:dyDescent="0.25">
      <c r="A20" s="54"/>
      <c r="B20" s="4"/>
      <c r="C20" s="23"/>
      <c r="D20" s="23"/>
      <c r="E20" s="23"/>
      <c r="F20" s="23"/>
      <c r="G20" s="23"/>
      <c r="H20" s="23"/>
      <c r="I20" s="23"/>
      <c r="J20" s="23"/>
      <c r="K20" s="23"/>
      <c r="L20" s="23"/>
      <c r="M20" s="23"/>
      <c r="N20" s="23"/>
      <c r="O20" s="23"/>
      <c r="P20" s="23"/>
      <c r="Q20" s="23"/>
      <c r="R20" s="25"/>
      <c r="S20" s="23"/>
      <c r="T20" s="23"/>
      <c r="U20" s="23"/>
      <c r="V20" s="25"/>
      <c r="W20" s="25"/>
      <c r="X20" s="25"/>
    </row>
    <row r="21" spans="1:24" x14ac:dyDescent="0.25">
      <c r="A21" s="54"/>
      <c r="B21" s="4"/>
      <c r="C21" s="23"/>
      <c r="D21" s="23"/>
      <c r="E21" s="23"/>
      <c r="F21" s="23"/>
      <c r="G21" s="23"/>
      <c r="H21" s="23"/>
      <c r="I21" s="23"/>
      <c r="J21" s="23"/>
      <c r="K21" s="23"/>
      <c r="L21" s="23"/>
      <c r="M21" s="23"/>
      <c r="N21" s="23"/>
      <c r="O21" s="23"/>
      <c r="P21" s="23"/>
      <c r="Q21" s="23"/>
      <c r="R21" s="25"/>
      <c r="S21" s="23"/>
      <c r="T21" s="23"/>
      <c r="U21" s="23"/>
      <c r="V21" s="25"/>
      <c r="W21" s="25"/>
      <c r="X21" s="25"/>
    </row>
    <row r="22" spans="1:24" ht="13.8" thickBot="1" x14ac:dyDescent="0.3">
      <c r="A22" s="703"/>
      <c r="B22" s="4"/>
      <c r="C22" s="24"/>
      <c r="D22" s="24"/>
      <c r="E22" s="24"/>
      <c r="F22" s="24"/>
      <c r="G22" s="24"/>
      <c r="H22" s="24"/>
      <c r="I22" s="24"/>
      <c r="J22" s="24"/>
      <c r="K22" s="24"/>
      <c r="L22" s="24"/>
      <c r="M22" s="24"/>
      <c r="N22" s="24"/>
      <c r="O22" s="24"/>
      <c r="P22" s="24"/>
      <c r="Q22" s="24"/>
      <c r="R22" s="25"/>
      <c r="S22" s="24"/>
      <c r="T22" s="24"/>
      <c r="U22" s="25"/>
      <c r="V22" s="25"/>
      <c r="W22" s="25"/>
      <c r="X22" s="25"/>
    </row>
    <row r="23" spans="1:24" ht="13.8" thickTop="1" x14ac:dyDescent="0.25">
      <c r="A23" s="718"/>
      <c r="B23" s="349"/>
      <c r="C23" s="350" t="s">
        <v>256</v>
      </c>
      <c r="D23" s="351" t="s">
        <v>256</v>
      </c>
      <c r="E23" s="350" t="s">
        <v>256</v>
      </c>
      <c r="F23" s="194"/>
      <c r="G23" s="194"/>
      <c r="H23" s="194"/>
      <c r="I23" s="194"/>
      <c r="J23" s="194"/>
      <c r="K23" s="194"/>
      <c r="L23" s="194"/>
      <c r="O23" s="352" t="s">
        <v>255</v>
      </c>
      <c r="P23" s="353" t="s">
        <v>716</v>
      </c>
      <c r="Q23" s="354" t="s">
        <v>730</v>
      </c>
      <c r="R23" s="353" t="s">
        <v>731</v>
      </c>
      <c r="S23" s="355"/>
      <c r="T23" s="550"/>
      <c r="U23" s="354"/>
      <c r="V23" s="25"/>
      <c r="W23" s="25"/>
      <c r="X23" s="25"/>
    </row>
    <row r="24" spans="1:24" ht="13.8" thickBot="1" x14ac:dyDescent="0.3">
      <c r="A24" s="719"/>
      <c r="B24" s="356"/>
      <c r="C24" s="403" t="s">
        <v>243</v>
      </c>
      <c r="D24" s="403" t="s">
        <v>244</v>
      </c>
      <c r="E24" s="359" t="s">
        <v>245</v>
      </c>
      <c r="F24" s="194"/>
      <c r="G24" s="194"/>
      <c r="H24" s="194"/>
      <c r="I24" s="194"/>
      <c r="J24" s="194"/>
      <c r="K24" s="194"/>
      <c r="L24" s="194"/>
      <c r="O24" s="359" t="s">
        <v>469</v>
      </c>
      <c r="P24" s="359" t="s">
        <v>1345</v>
      </c>
      <c r="Q24" s="358" t="s">
        <v>732</v>
      </c>
      <c r="R24" s="360" t="s">
        <v>732</v>
      </c>
      <c r="S24" s="361" t="s">
        <v>733</v>
      </c>
      <c r="T24" s="551"/>
      <c r="U24" s="359"/>
      <c r="V24" s="25"/>
      <c r="W24" s="25"/>
      <c r="X24" s="25"/>
    </row>
    <row r="25" spans="1:24" ht="13.8" thickTop="1" x14ac:dyDescent="0.25">
      <c r="A25" s="726"/>
      <c r="B25" s="376"/>
      <c r="C25" s="365"/>
      <c r="D25" s="365"/>
      <c r="E25" s="365"/>
      <c r="F25" s="194"/>
      <c r="G25" s="194"/>
      <c r="H25" s="194"/>
      <c r="I25" s="194"/>
      <c r="J25" s="194"/>
      <c r="K25" s="194"/>
      <c r="L25" s="194"/>
      <c r="O25" s="365"/>
      <c r="P25" s="365"/>
      <c r="Q25" s="366"/>
      <c r="R25" s="365"/>
      <c r="S25" s="404"/>
      <c r="T25" s="552"/>
      <c r="U25" s="405"/>
      <c r="V25" s="25"/>
      <c r="W25" s="25"/>
      <c r="X25" s="25"/>
    </row>
    <row r="26" spans="1:24" x14ac:dyDescent="0.25">
      <c r="A26" s="724">
        <v>5664</v>
      </c>
      <c r="B26" s="369" t="s">
        <v>1421</v>
      </c>
      <c r="C26" s="373">
        <v>51152</v>
      </c>
      <c r="D26" s="373">
        <v>54421</v>
      </c>
      <c r="E26" s="373">
        <v>35320</v>
      </c>
      <c r="F26" s="194"/>
      <c r="G26" s="194"/>
      <c r="H26" s="194"/>
      <c r="I26" s="194"/>
      <c r="J26" s="194"/>
      <c r="K26" s="194"/>
      <c r="L26" s="194"/>
      <c r="O26" s="372">
        <f t="shared" ref="O26:O31" si="2">+Q9</f>
        <v>52000</v>
      </c>
      <c r="P26" s="393">
        <f t="shared" ref="P26:P31" si="3">+S9</f>
        <v>51418</v>
      </c>
      <c r="Q26" s="396">
        <f t="shared" ref="Q26:Q31" si="4">+P26-O26</f>
        <v>-582</v>
      </c>
      <c r="R26" s="374">
        <f t="shared" ref="R26:R31" si="5">IF(O26+P26&lt;&gt;0,IF(O26&lt;&gt;0,IF(Q26&lt;&gt;0,ROUND((+Q26/O26),4),""),1),"")</f>
        <v>-1.12E-2</v>
      </c>
      <c r="S26" s="367" t="s">
        <v>2393</v>
      </c>
      <c r="T26" s="553"/>
      <c r="U26" s="368"/>
      <c r="V26" s="25"/>
      <c r="W26" s="25"/>
      <c r="X26" s="25"/>
    </row>
    <row r="27" spans="1:24" x14ac:dyDescent="0.25">
      <c r="A27" s="724">
        <v>5665</v>
      </c>
      <c r="B27" s="369" t="s">
        <v>1416</v>
      </c>
      <c r="C27" s="373">
        <v>3190.82</v>
      </c>
      <c r="D27" s="373">
        <v>3270.21</v>
      </c>
      <c r="E27" s="373">
        <v>3861.12</v>
      </c>
      <c r="F27" s="194"/>
      <c r="G27" s="194"/>
      <c r="H27" s="194"/>
      <c r="I27" s="194"/>
      <c r="J27" s="194"/>
      <c r="K27" s="194"/>
      <c r="L27" s="194"/>
      <c r="O27" s="372">
        <f t="shared" si="2"/>
        <v>7519</v>
      </c>
      <c r="P27" s="393">
        <f t="shared" si="3"/>
        <v>7206</v>
      </c>
      <c r="Q27" s="396">
        <f t="shared" si="4"/>
        <v>-313</v>
      </c>
      <c r="R27" s="374">
        <f t="shared" si="5"/>
        <v>-4.1599999999999998E-2</v>
      </c>
      <c r="S27" s="367" t="s">
        <v>2393</v>
      </c>
      <c r="T27" s="553"/>
      <c r="U27" s="368"/>
      <c r="V27" s="25"/>
      <c r="W27" s="25"/>
      <c r="X27" s="25"/>
    </row>
    <row r="28" spans="1:24" x14ac:dyDescent="0.25">
      <c r="A28" s="724">
        <v>5666</v>
      </c>
      <c r="B28" s="369" t="s">
        <v>1417</v>
      </c>
      <c r="C28" s="373">
        <v>17486</v>
      </c>
      <c r="D28" s="373">
        <v>19041</v>
      </c>
      <c r="E28" s="373">
        <v>21160</v>
      </c>
      <c r="F28" s="194"/>
      <c r="G28" s="194"/>
      <c r="H28" s="194"/>
      <c r="I28" s="194"/>
      <c r="J28" s="194"/>
      <c r="K28" s="194"/>
      <c r="L28" s="194"/>
      <c r="O28" s="372">
        <f t="shared" si="2"/>
        <v>33810</v>
      </c>
      <c r="P28" s="393">
        <f t="shared" si="3"/>
        <v>35600</v>
      </c>
      <c r="Q28" s="396">
        <f t="shared" si="4"/>
        <v>1790</v>
      </c>
      <c r="R28" s="374">
        <f t="shared" si="5"/>
        <v>5.2900000000000003E-2</v>
      </c>
      <c r="S28" s="367" t="s">
        <v>2392</v>
      </c>
      <c r="T28" s="553"/>
      <c r="U28" s="368"/>
      <c r="V28" s="25"/>
      <c r="W28" s="25"/>
      <c r="X28" s="25"/>
    </row>
    <row r="29" spans="1:24" x14ac:dyDescent="0.25">
      <c r="A29" s="724">
        <v>5667</v>
      </c>
      <c r="B29" s="369" t="s">
        <v>1418</v>
      </c>
      <c r="C29" s="375"/>
      <c r="D29" s="375"/>
      <c r="E29" s="375"/>
      <c r="F29" s="194"/>
      <c r="G29" s="194"/>
      <c r="H29" s="194"/>
      <c r="I29" s="194"/>
      <c r="J29" s="194"/>
      <c r="K29" s="194"/>
      <c r="L29" s="194"/>
      <c r="O29" s="372">
        <f t="shared" si="2"/>
        <v>150</v>
      </c>
      <c r="P29" s="393">
        <f t="shared" si="3"/>
        <v>150</v>
      </c>
      <c r="Q29" s="396">
        <f t="shared" si="4"/>
        <v>0</v>
      </c>
      <c r="R29" s="374" t="str">
        <f t="shared" si="5"/>
        <v/>
      </c>
      <c r="S29" s="406"/>
      <c r="T29" s="930"/>
      <c r="U29" s="407"/>
      <c r="V29" s="25"/>
      <c r="W29" s="25"/>
      <c r="X29" s="25"/>
    </row>
    <row r="30" spans="1:24" x14ac:dyDescent="0.25">
      <c r="A30" s="724">
        <v>5668</v>
      </c>
      <c r="B30" s="397" t="s">
        <v>2158</v>
      </c>
      <c r="C30" s="375"/>
      <c r="D30" s="375"/>
      <c r="E30" s="375"/>
      <c r="F30" s="194"/>
      <c r="G30" s="194"/>
      <c r="H30" s="194"/>
      <c r="I30" s="194"/>
      <c r="J30" s="194"/>
      <c r="K30" s="194"/>
      <c r="L30" s="194"/>
      <c r="O30" s="372">
        <f t="shared" si="2"/>
        <v>0</v>
      </c>
      <c r="P30" s="393">
        <f t="shared" si="3"/>
        <v>0</v>
      </c>
      <c r="Q30" s="396">
        <f t="shared" si="4"/>
        <v>0</v>
      </c>
      <c r="R30" s="374" t="str">
        <f t="shared" si="5"/>
        <v/>
      </c>
      <c r="S30" s="406"/>
      <c r="T30" s="930"/>
      <c r="U30" s="407"/>
      <c r="V30" s="25"/>
      <c r="W30" s="25"/>
      <c r="X30" s="25"/>
    </row>
    <row r="31" spans="1:24" ht="13.8" thickBot="1" x14ac:dyDescent="0.3">
      <c r="A31" s="724">
        <v>5670</v>
      </c>
      <c r="B31" s="369" t="s">
        <v>1419</v>
      </c>
      <c r="C31" s="371">
        <v>11246</v>
      </c>
      <c r="D31" s="371">
        <v>11142</v>
      </c>
      <c r="E31" s="371">
        <v>11597</v>
      </c>
      <c r="F31" s="194"/>
      <c r="G31" s="194"/>
      <c r="H31" s="194"/>
      <c r="I31" s="194"/>
      <c r="J31" s="194"/>
      <c r="K31" s="194"/>
      <c r="L31" s="194"/>
      <c r="O31" s="372">
        <f t="shared" si="2"/>
        <v>20445</v>
      </c>
      <c r="P31" s="393">
        <f t="shared" si="3"/>
        <v>22500</v>
      </c>
      <c r="Q31" s="396">
        <f t="shared" si="4"/>
        <v>2055</v>
      </c>
      <c r="R31" s="374">
        <f t="shared" si="5"/>
        <v>0.10050000000000001</v>
      </c>
      <c r="S31" s="367" t="s">
        <v>2394</v>
      </c>
      <c r="T31" s="553"/>
      <c r="U31" s="401"/>
      <c r="V31" s="25"/>
      <c r="W31" s="25"/>
      <c r="X31" s="25"/>
    </row>
    <row r="32" spans="1:24" x14ac:dyDescent="0.25">
      <c r="A32" s="703"/>
      <c r="B32" s="4"/>
      <c r="C32" s="23"/>
      <c r="D32" s="23"/>
      <c r="E32" s="23"/>
      <c r="F32" s="23"/>
      <c r="G32" s="23"/>
      <c r="H32" s="194"/>
      <c r="I32" s="194"/>
      <c r="J32" s="194"/>
      <c r="K32" s="194"/>
      <c r="L32" s="194"/>
      <c r="O32" s="23"/>
      <c r="P32" s="23"/>
      <c r="Q32" s="23"/>
      <c r="R32" s="25"/>
      <c r="S32" s="23"/>
      <c r="T32" s="23"/>
      <c r="U32" s="23"/>
      <c r="V32" s="25"/>
      <c r="W32" s="25"/>
      <c r="X32" s="25"/>
    </row>
    <row r="33" spans="1:24" x14ac:dyDescent="0.25">
      <c r="A33" s="703"/>
      <c r="B33" s="4" t="s">
        <v>735</v>
      </c>
      <c r="C33" s="23"/>
      <c r="D33" s="23"/>
      <c r="E33" s="23"/>
      <c r="F33" s="23"/>
      <c r="G33" s="23"/>
      <c r="H33" s="194"/>
      <c r="I33" s="194"/>
      <c r="J33" s="194"/>
      <c r="K33" s="194"/>
      <c r="L33" s="194"/>
      <c r="O33" s="597">
        <f>SUM(O26:O32)</f>
        <v>113924</v>
      </c>
      <c r="P33" s="597">
        <f>SUM(P26:P32)</f>
        <v>116874</v>
      </c>
      <c r="Q33" s="25">
        <f>+P33-O33</f>
        <v>2950</v>
      </c>
      <c r="R33" s="598">
        <f>IF(O33+P33&lt;&gt;0,IF(O33&lt;&gt;0,IF(Q33&lt;&gt;0,ROUND((+Q33/O33),4),""),1),"")</f>
        <v>2.5899999999999999E-2</v>
      </c>
      <c r="S33" s="23"/>
      <c r="T33" s="23"/>
      <c r="U33" s="23"/>
      <c r="V33" s="25"/>
      <c r="W33" s="25"/>
      <c r="X33" s="25"/>
    </row>
    <row r="34" spans="1:24" x14ac:dyDescent="0.25">
      <c r="A34" s="703"/>
      <c r="B34" s="4"/>
      <c r="C34" s="23"/>
      <c r="D34" s="23"/>
      <c r="E34" s="23"/>
      <c r="F34" s="23"/>
      <c r="G34" s="23"/>
      <c r="H34" s="194"/>
      <c r="I34" s="23"/>
      <c r="J34" s="23"/>
      <c r="K34" s="23"/>
      <c r="L34" s="23"/>
      <c r="M34" s="23"/>
      <c r="N34" s="23"/>
      <c r="O34" s="23"/>
      <c r="P34" s="23"/>
      <c r="Q34" s="23"/>
      <c r="R34" s="25"/>
      <c r="S34" s="23"/>
      <c r="T34" s="23"/>
      <c r="U34" s="23"/>
      <c r="V34" s="25"/>
      <c r="W34" s="25"/>
      <c r="X34" s="25"/>
    </row>
    <row r="35" spans="1:24" x14ac:dyDescent="0.25">
      <c r="A35" s="703"/>
      <c r="B35" s="4"/>
      <c r="C35" s="23"/>
      <c r="D35" s="23"/>
      <c r="E35" s="23"/>
      <c r="F35" s="23"/>
      <c r="G35" s="23"/>
      <c r="H35" s="194"/>
      <c r="I35" s="23"/>
      <c r="J35" s="23"/>
      <c r="K35" s="23"/>
      <c r="L35" s="23"/>
      <c r="M35" s="23"/>
      <c r="N35" s="23"/>
      <c r="O35" s="23"/>
      <c r="P35" s="23"/>
      <c r="Q35" s="23"/>
      <c r="R35" s="25"/>
      <c r="S35" s="23"/>
      <c r="T35" s="23"/>
      <c r="U35" s="23"/>
      <c r="V35" s="25"/>
      <c r="W35" s="25"/>
      <c r="X35" s="25"/>
    </row>
    <row r="36" spans="1:24" x14ac:dyDescent="0.25">
      <c r="A36" s="703"/>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5">
      <c r="A37" s="703"/>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5">
      <c r="A38" s="703"/>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5">
      <c r="A39" s="703"/>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5">
      <c r="A40" s="703"/>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5">
      <c r="A41" s="703"/>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5">
      <c r="A44" s="703"/>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5">
      <c r="A45" s="703"/>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5">
      <c r="A46" s="703"/>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5">
      <c r="A47" s="703"/>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5">
      <c r="A48" s="703"/>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5">
      <c r="A49" s="703"/>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5">
      <c r="A50" s="703"/>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5">
      <c r="A51" s="703"/>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5">
      <c r="A52" s="703"/>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5">
      <c r="A53" s="703"/>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5">
      <c r="A54" s="703"/>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5">
      <c r="A55" s="703"/>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5">
      <c r="A56" s="703"/>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5">
      <c r="A57" s="703"/>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5">
      <c r="A58" s="703"/>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5">
      <c r="A59" s="703"/>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5">
      <c r="A60" s="703"/>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5">
      <c r="A61" s="703"/>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5">
      <c r="A62" s="703"/>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5">
      <c r="A63" s="703"/>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5">
      <c r="A64" s="703"/>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5">
      <c r="A65" s="703"/>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5">
      <c r="A66" s="703"/>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5">
      <c r="A67" s="703"/>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5">
      <c r="A68" s="703"/>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5">
      <c r="A69" s="703"/>
      <c r="B69" s="4"/>
      <c r="C69" s="23"/>
      <c r="D69" s="23"/>
      <c r="E69" s="23"/>
      <c r="F69" s="23"/>
      <c r="G69" s="23"/>
      <c r="H69" s="23"/>
      <c r="I69" s="23"/>
      <c r="J69" s="23"/>
      <c r="K69" s="23"/>
      <c r="L69" s="23"/>
      <c r="M69" s="23"/>
      <c r="N69" s="23"/>
      <c r="O69" s="23"/>
      <c r="P69" s="23"/>
      <c r="Q69" s="23"/>
      <c r="R69" s="25"/>
      <c r="S69" s="23"/>
      <c r="T69" s="23"/>
      <c r="U69" s="23"/>
      <c r="V69" s="25"/>
      <c r="W69" s="25"/>
      <c r="X69" s="25"/>
    </row>
    <row r="70" spans="1:24" x14ac:dyDescent="0.25">
      <c r="A70" s="703"/>
      <c r="B70" s="4"/>
      <c r="C70" s="23"/>
      <c r="D70" s="23"/>
      <c r="E70" s="23"/>
      <c r="F70" s="23"/>
      <c r="G70" s="23"/>
      <c r="H70" s="23"/>
      <c r="I70" s="23"/>
      <c r="J70" s="23"/>
      <c r="K70" s="23"/>
      <c r="L70" s="23"/>
      <c r="M70" s="23"/>
      <c r="N70" s="23"/>
      <c r="O70" s="23"/>
      <c r="P70" s="23"/>
      <c r="Q70" s="23"/>
      <c r="R70" s="25"/>
      <c r="S70" s="23"/>
      <c r="T70" s="23"/>
      <c r="U70" s="23"/>
      <c r="V70" s="25"/>
      <c r="W70" s="25"/>
      <c r="X70" s="25"/>
    </row>
    <row r="71" spans="1:24" x14ac:dyDescent="0.25">
      <c r="A71" s="703"/>
      <c r="B71" s="4"/>
      <c r="C71" s="23"/>
      <c r="D71" s="23"/>
      <c r="E71" s="23"/>
      <c r="F71" s="23"/>
      <c r="G71" s="23"/>
      <c r="H71" s="23"/>
      <c r="I71" s="23"/>
      <c r="J71" s="23"/>
      <c r="K71" s="23"/>
      <c r="L71" s="23"/>
      <c r="M71" s="23"/>
      <c r="N71" s="23"/>
      <c r="O71" s="23"/>
      <c r="P71" s="23"/>
      <c r="Q71" s="23"/>
      <c r="R71" s="25"/>
      <c r="S71" s="23"/>
      <c r="T71" s="23"/>
      <c r="U71" s="23"/>
      <c r="V71" s="25"/>
      <c r="W71" s="25"/>
      <c r="X71" s="25"/>
    </row>
    <row r="72" spans="1:24" x14ac:dyDescent="0.25">
      <c r="A72" s="703"/>
      <c r="B72" s="4"/>
      <c r="C72" s="23"/>
      <c r="D72" s="23"/>
      <c r="E72" s="23"/>
      <c r="F72" s="23"/>
      <c r="G72" s="23"/>
      <c r="H72" s="23"/>
      <c r="I72" s="23"/>
      <c r="J72" s="23"/>
      <c r="K72" s="23"/>
      <c r="L72" s="23"/>
      <c r="M72" s="23"/>
      <c r="N72" s="23"/>
      <c r="O72" s="23"/>
      <c r="P72" s="23"/>
      <c r="Q72" s="23"/>
      <c r="R72" s="25"/>
      <c r="S72" s="23"/>
      <c r="T72" s="23"/>
      <c r="U72" s="23"/>
      <c r="V72" s="25"/>
      <c r="W72" s="25"/>
      <c r="X72" s="25"/>
    </row>
    <row r="73" spans="1:24" x14ac:dyDescent="0.25">
      <c r="A73" s="703"/>
      <c r="B73" s="4"/>
      <c r="C73" s="23"/>
      <c r="D73" s="23"/>
      <c r="E73" s="23"/>
      <c r="F73" s="23"/>
      <c r="G73" s="23"/>
      <c r="H73" s="23"/>
      <c r="I73" s="23"/>
      <c r="J73" s="23"/>
      <c r="K73" s="23"/>
      <c r="L73" s="23"/>
      <c r="M73" s="23"/>
      <c r="N73" s="23"/>
      <c r="O73" s="23"/>
      <c r="P73" s="23"/>
      <c r="Q73" s="23"/>
      <c r="R73" s="25"/>
      <c r="S73" s="23"/>
      <c r="T73" s="23"/>
      <c r="U73" s="23"/>
      <c r="V73" s="25"/>
      <c r="W73" s="25"/>
      <c r="X73" s="25"/>
    </row>
    <row r="74" spans="1:24" x14ac:dyDescent="0.25">
      <c r="A74" s="703"/>
      <c r="B74" s="4"/>
      <c r="C74" s="23"/>
      <c r="D74" s="23"/>
      <c r="E74" s="23"/>
      <c r="F74" s="23"/>
      <c r="G74" s="23"/>
      <c r="H74" s="23"/>
      <c r="I74" s="23"/>
      <c r="J74" s="23"/>
      <c r="K74" s="23"/>
      <c r="L74" s="23"/>
      <c r="M74" s="23"/>
      <c r="N74" s="23"/>
      <c r="O74" s="23"/>
      <c r="P74" s="23"/>
      <c r="Q74" s="23"/>
      <c r="R74" s="25"/>
      <c r="S74" s="23"/>
      <c r="T74" s="23"/>
      <c r="U74" s="23"/>
      <c r="V74" s="25"/>
      <c r="W74" s="25"/>
      <c r="X74" s="25"/>
    </row>
    <row r="75" spans="1:24" x14ac:dyDescent="0.25">
      <c r="A75" s="703"/>
      <c r="B75" s="4"/>
      <c r="C75" s="23"/>
      <c r="D75" s="23"/>
      <c r="E75" s="23"/>
      <c r="F75" s="23"/>
      <c r="G75" s="23"/>
      <c r="H75" s="23"/>
      <c r="I75" s="23"/>
      <c r="J75" s="23"/>
      <c r="K75" s="23"/>
      <c r="L75" s="23"/>
      <c r="M75" s="23"/>
      <c r="N75" s="23"/>
      <c r="O75" s="23"/>
      <c r="P75" s="23"/>
      <c r="Q75" s="23"/>
      <c r="R75" s="25"/>
      <c r="S75" s="23"/>
      <c r="T75" s="23"/>
      <c r="U75" s="23"/>
      <c r="V75" s="25"/>
      <c r="W75" s="25"/>
      <c r="X75" s="25"/>
    </row>
    <row r="76" spans="1:24" x14ac:dyDescent="0.25">
      <c r="A76" s="703"/>
      <c r="B76" s="4"/>
      <c r="C76" s="23"/>
      <c r="D76" s="23"/>
      <c r="E76" s="23"/>
      <c r="F76" s="23"/>
      <c r="G76" s="23"/>
      <c r="H76" s="23"/>
      <c r="I76" s="23"/>
      <c r="J76" s="23"/>
      <c r="K76" s="23"/>
      <c r="L76" s="23"/>
      <c r="M76" s="23"/>
      <c r="N76" s="23"/>
      <c r="O76" s="23"/>
      <c r="P76" s="23"/>
      <c r="Q76" s="23"/>
      <c r="R76" s="25"/>
      <c r="S76" s="23"/>
      <c r="T76" s="23"/>
      <c r="U76" s="23"/>
      <c r="V76" s="25"/>
      <c r="W76" s="25"/>
      <c r="X76" s="25"/>
    </row>
    <row r="77" spans="1:24" x14ac:dyDescent="0.25">
      <c r="A77" s="703"/>
      <c r="B77" s="4"/>
      <c r="C77" s="23"/>
      <c r="D77" s="23"/>
      <c r="E77" s="23"/>
      <c r="F77" s="23"/>
      <c r="G77" s="23"/>
      <c r="H77" s="23"/>
      <c r="I77" s="23"/>
      <c r="J77" s="23"/>
      <c r="K77" s="23"/>
      <c r="L77" s="23"/>
      <c r="M77" s="23"/>
      <c r="N77" s="23"/>
      <c r="O77" s="23"/>
      <c r="P77" s="23"/>
      <c r="Q77" s="23"/>
      <c r="R77" s="25"/>
      <c r="S77" s="23"/>
      <c r="T77" s="23"/>
      <c r="U77" s="23"/>
      <c r="V77" s="25"/>
      <c r="W77" s="25"/>
      <c r="X77" s="25"/>
    </row>
    <row r="78" spans="1:24" x14ac:dyDescent="0.25">
      <c r="A78" s="703"/>
      <c r="B78" s="4"/>
      <c r="C78" s="23"/>
      <c r="D78" s="23"/>
      <c r="E78" s="23"/>
      <c r="F78" s="23"/>
      <c r="G78" s="23"/>
      <c r="H78" s="23"/>
      <c r="I78" s="23"/>
      <c r="J78" s="23"/>
      <c r="K78" s="23"/>
      <c r="L78" s="23"/>
      <c r="M78" s="23"/>
      <c r="N78" s="23"/>
      <c r="O78" s="23"/>
      <c r="P78" s="23"/>
      <c r="Q78" s="23"/>
      <c r="R78" s="25"/>
      <c r="S78" s="23"/>
      <c r="T78" s="23"/>
      <c r="U78" s="23"/>
      <c r="V78" s="25"/>
      <c r="W78" s="25"/>
      <c r="X78" s="25"/>
    </row>
    <row r="79" spans="1:24" x14ac:dyDescent="0.25">
      <c r="A79" s="703"/>
      <c r="B79" s="4"/>
      <c r="C79" s="23"/>
      <c r="D79" s="23"/>
      <c r="E79" s="23"/>
      <c r="F79" s="23"/>
      <c r="G79" s="23"/>
      <c r="H79" s="23"/>
      <c r="I79" s="23"/>
      <c r="J79" s="23"/>
      <c r="K79" s="23"/>
      <c r="L79" s="23"/>
      <c r="M79" s="23"/>
      <c r="N79" s="23"/>
      <c r="O79" s="23"/>
      <c r="P79" s="23"/>
      <c r="Q79" s="23"/>
      <c r="R79" s="25"/>
      <c r="S79" s="23"/>
      <c r="T79" s="23"/>
      <c r="U79" s="23"/>
      <c r="V79" s="25"/>
      <c r="W79" s="25"/>
      <c r="X79" s="25"/>
    </row>
    <row r="80" spans="1:24" x14ac:dyDescent="0.25">
      <c r="A80" s="703"/>
      <c r="B80" s="4"/>
      <c r="C80" s="23"/>
      <c r="D80" s="23"/>
      <c r="E80" s="23"/>
      <c r="F80" s="23"/>
      <c r="G80" s="23"/>
      <c r="H80" s="23"/>
      <c r="I80" s="23"/>
      <c r="J80" s="23"/>
      <c r="K80" s="23"/>
      <c r="L80" s="23"/>
      <c r="M80" s="23"/>
      <c r="N80" s="23"/>
      <c r="O80" s="23"/>
      <c r="P80" s="23"/>
      <c r="Q80" s="23"/>
      <c r="R80" s="25"/>
      <c r="S80" s="23"/>
      <c r="T80" s="23"/>
      <c r="U80" s="23"/>
      <c r="V80" s="25"/>
      <c r="W80" s="25"/>
      <c r="X80" s="25"/>
    </row>
    <row r="81" spans="1:24" x14ac:dyDescent="0.25">
      <c r="A81" s="703"/>
      <c r="B81" s="4"/>
      <c r="C81" s="23"/>
      <c r="D81" s="23"/>
      <c r="E81" s="23"/>
      <c r="F81" s="23"/>
      <c r="G81" s="23"/>
      <c r="H81" s="23"/>
      <c r="I81" s="23"/>
      <c r="J81" s="23"/>
      <c r="K81" s="23"/>
      <c r="L81" s="23"/>
      <c r="M81" s="23"/>
      <c r="N81" s="23"/>
      <c r="O81" s="23"/>
      <c r="P81" s="23"/>
      <c r="Q81" s="23"/>
      <c r="R81" s="25"/>
      <c r="S81" s="23"/>
      <c r="T81" s="23"/>
      <c r="U81" s="23"/>
      <c r="V81" s="25"/>
      <c r="W81" s="25"/>
      <c r="X81" s="25"/>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5">
      <c r="A124" s="703"/>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5">
      <c r="A125" s="703"/>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5">
      <c r="A126" s="703"/>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5">
      <c r="A127" s="703"/>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5">
      <c r="A128" s="703"/>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5">
      <c r="A129" s="703"/>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5">
      <c r="A130" s="703"/>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5">
      <c r="A131" s="703"/>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5">
      <c r="A132" s="703"/>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5">
      <c r="A133" s="703"/>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5">
      <c r="A134" s="703"/>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5">
      <c r="A135" s="703"/>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5">
      <c r="A136" s="703"/>
      <c r="B136" s="4"/>
      <c r="C136" s="23"/>
      <c r="D136" s="23"/>
      <c r="E136" s="23"/>
      <c r="F136" s="23"/>
      <c r="G136" s="23"/>
      <c r="H136" s="23"/>
      <c r="I136" s="23"/>
      <c r="J136" s="23"/>
      <c r="K136" s="23"/>
      <c r="L136" s="23"/>
      <c r="M136" s="23"/>
      <c r="N136" s="23"/>
      <c r="O136" s="23"/>
      <c r="P136" s="23"/>
      <c r="Q136" s="23"/>
      <c r="R136" s="4"/>
      <c r="S136" s="23"/>
      <c r="T136" s="23"/>
      <c r="U136" s="23"/>
      <c r="V136" s="4"/>
      <c r="W136" s="4"/>
      <c r="X136" s="4"/>
    </row>
    <row r="137" spans="1:24" x14ac:dyDescent="0.25">
      <c r="A137" s="703"/>
      <c r="B137" s="4"/>
      <c r="C137" s="23"/>
      <c r="D137" s="23"/>
      <c r="E137" s="23"/>
      <c r="F137" s="23"/>
      <c r="G137" s="23"/>
      <c r="H137" s="23"/>
      <c r="I137" s="23"/>
      <c r="J137" s="23"/>
      <c r="K137" s="23"/>
      <c r="L137" s="23"/>
      <c r="M137" s="23"/>
      <c r="N137" s="23"/>
      <c r="O137" s="23"/>
      <c r="P137" s="23"/>
      <c r="Q137" s="23"/>
      <c r="R137" s="4"/>
      <c r="S137" s="23"/>
      <c r="T137" s="23"/>
      <c r="U137" s="23"/>
      <c r="V137" s="4"/>
      <c r="W137" s="4"/>
      <c r="X137" s="4"/>
    </row>
    <row r="138" spans="1:24" x14ac:dyDescent="0.25">
      <c r="A138" s="703"/>
      <c r="B138" s="4"/>
      <c r="C138" s="23"/>
      <c r="D138" s="23"/>
      <c r="E138" s="23"/>
      <c r="F138" s="23"/>
      <c r="G138" s="23"/>
      <c r="H138" s="23"/>
      <c r="I138" s="23"/>
      <c r="J138" s="23"/>
      <c r="K138" s="23"/>
      <c r="L138" s="23"/>
      <c r="M138" s="23"/>
      <c r="N138" s="23"/>
      <c r="O138" s="23"/>
      <c r="P138" s="23"/>
      <c r="Q138" s="23"/>
      <c r="R138" s="4"/>
      <c r="S138" s="23"/>
      <c r="T138" s="23"/>
      <c r="U138" s="23"/>
      <c r="V138" s="4"/>
      <c r="W138" s="4"/>
      <c r="X138" s="4"/>
    </row>
    <row r="139" spans="1:24" x14ac:dyDescent="0.25">
      <c r="A139" s="703"/>
      <c r="B139" s="4"/>
      <c r="C139" s="23"/>
      <c r="D139" s="23"/>
      <c r="E139" s="23"/>
      <c r="F139" s="23"/>
      <c r="G139" s="23"/>
      <c r="H139" s="23"/>
      <c r="I139" s="23"/>
      <c r="J139" s="23"/>
      <c r="K139" s="23"/>
      <c r="L139" s="23"/>
      <c r="M139" s="23"/>
      <c r="N139" s="23"/>
      <c r="O139" s="23"/>
      <c r="P139" s="23"/>
      <c r="Q139" s="23"/>
      <c r="R139" s="4"/>
      <c r="S139" s="23"/>
      <c r="T139" s="23"/>
      <c r="U139" s="23"/>
      <c r="V139" s="4"/>
      <c r="W139" s="4"/>
      <c r="X139" s="4"/>
    </row>
    <row r="140" spans="1:24" x14ac:dyDescent="0.25">
      <c r="A140" s="703"/>
      <c r="B140" s="4"/>
      <c r="C140" s="23"/>
      <c r="D140" s="23"/>
      <c r="E140" s="23"/>
      <c r="F140" s="23"/>
      <c r="G140" s="23"/>
      <c r="H140" s="23"/>
      <c r="I140" s="23"/>
      <c r="J140" s="23"/>
      <c r="K140" s="23"/>
      <c r="L140" s="23"/>
      <c r="M140" s="23"/>
      <c r="N140" s="23"/>
      <c r="O140" s="23"/>
      <c r="P140" s="23"/>
      <c r="Q140" s="23"/>
      <c r="R140" s="4"/>
      <c r="S140" s="23"/>
      <c r="T140" s="23"/>
      <c r="U140" s="23"/>
      <c r="V140" s="4"/>
      <c r="W140" s="4"/>
      <c r="X140" s="4"/>
    </row>
    <row r="141" spans="1:24" x14ac:dyDescent="0.25">
      <c r="A141" s="703"/>
      <c r="B141" s="4"/>
      <c r="C141" s="23"/>
      <c r="D141" s="23"/>
      <c r="E141" s="23"/>
      <c r="F141" s="23"/>
      <c r="G141" s="23"/>
      <c r="H141" s="23"/>
      <c r="I141" s="23"/>
      <c r="J141" s="23"/>
      <c r="K141" s="23"/>
      <c r="L141" s="23"/>
      <c r="M141" s="23"/>
      <c r="N141" s="23"/>
      <c r="O141" s="23"/>
      <c r="P141" s="23"/>
      <c r="Q141" s="23"/>
      <c r="R141" s="4"/>
      <c r="S141" s="23"/>
      <c r="T141" s="23"/>
      <c r="U141" s="23"/>
      <c r="V141" s="4"/>
      <c r="W141" s="4"/>
      <c r="X141" s="4"/>
    </row>
    <row r="142" spans="1:24" x14ac:dyDescent="0.25">
      <c r="A142" s="703"/>
      <c r="B142" s="4"/>
      <c r="C142" s="23"/>
      <c r="D142" s="23"/>
      <c r="E142" s="23"/>
      <c r="F142" s="23"/>
      <c r="G142" s="23"/>
      <c r="H142" s="23"/>
      <c r="I142" s="23"/>
      <c r="J142" s="23"/>
      <c r="K142" s="23"/>
      <c r="L142" s="23"/>
      <c r="M142" s="23"/>
      <c r="N142" s="23"/>
      <c r="O142" s="23"/>
      <c r="P142" s="23"/>
      <c r="Q142" s="23"/>
      <c r="R142" s="4"/>
      <c r="S142" s="23"/>
      <c r="T142" s="23"/>
      <c r="U142" s="23"/>
      <c r="V142" s="4"/>
      <c r="W142" s="4"/>
      <c r="X142" s="4"/>
    </row>
    <row r="143" spans="1:24" x14ac:dyDescent="0.25">
      <c r="A143" s="703"/>
      <c r="B143" s="4"/>
      <c r="C143" s="23"/>
      <c r="D143" s="23"/>
      <c r="E143" s="23"/>
      <c r="F143" s="23"/>
      <c r="G143" s="23"/>
      <c r="H143" s="23"/>
      <c r="I143" s="23"/>
      <c r="J143" s="23"/>
      <c r="K143" s="23"/>
      <c r="L143" s="23"/>
      <c r="M143" s="23"/>
      <c r="N143" s="23"/>
      <c r="O143" s="23"/>
      <c r="P143" s="23"/>
      <c r="Q143" s="23"/>
      <c r="R143" s="4"/>
      <c r="S143" s="23"/>
      <c r="T143" s="23"/>
      <c r="U143" s="23"/>
      <c r="V143" s="4"/>
      <c r="W143" s="4"/>
      <c r="X143" s="4"/>
    </row>
    <row r="144" spans="1:24" x14ac:dyDescent="0.25">
      <c r="A144" s="703"/>
      <c r="B144" s="4"/>
      <c r="C144" s="23"/>
      <c r="D144" s="23"/>
      <c r="E144" s="23"/>
      <c r="F144" s="23"/>
      <c r="G144" s="23"/>
      <c r="H144" s="23"/>
      <c r="I144" s="23"/>
      <c r="J144" s="23"/>
      <c r="K144" s="23"/>
      <c r="L144" s="23"/>
      <c r="M144" s="23"/>
      <c r="N144" s="23"/>
      <c r="O144" s="23"/>
      <c r="P144" s="23"/>
      <c r="Q144" s="23"/>
      <c r="R144" s="4"/>
      <c r="S144" s="23"/>
      <c r="T144" s="23"/>
      <c r="U144" s="23"/>
      <c r="V144" s="4"/>
      <c r="W144" s="4"/>
      <c r="X144" s="4"/>
    </row>
    <row r="145" spans="1:24" x14ac:dyDescent="0.25">
      <c r="A145" s="703"/>
      <c r="B145" s="4"/>
      <c r="C145" s="23"/>
      <c r="D145" s="23"/>
      <c r="E145" s="23"/>
      <c r="F145" s="23"/>
      <c r="G145" s="23"/>
      <c r="H145" s="23"/>
      <c r="I145" s="23"/>
      <c r="J145" s="23"/>
      <c r="K145" s="23"/>
      <c r="L145" s="23"/>
      <c r="M145" s="23"/>
      <c r="N145" s="23"/>
      <c r="O145" s="23"/>
      <c r="P145" s="23"/>
      <c r="Q145" s="23"/>
      <c r="R145" s="4"/>
      <c r="S145" s="23"/>
      <c r="T145" s="23"/>
      <c r="U145" s="23"/>
      <c r="V145" s="4"/>
      <c r="W145" s="4"/>
      <c r="X145" s="4"/>
    </row>
    <row r="146" spans="1:24" x14ac:dyDescent="0.25">
      <c r="C146" s="194"/>
      <c r="D146" s="194"/>
      <c r="E146" s="194"/>
      <c r="F146" s="194"/>
      <c r="G146" s="194"/>
      <c r="H146" s="194"/>
      <c r="I146" s="194"/>
      <c r="J146" s="194"/>
      <c r="K146" s="194"/>
      <c r="L146" s="194"/>
      <c r="M146" s="194"/>
      <c r="N146" s="194"/>
      <c r="O146" s="194"/>
      <c r="P146" s="194"/>
      <c r="Q146" s="194"/>
    </row>
    <row r="147" spans="1:24" x14ac:dyDescent="0.25">
      <c r="C147" s="194"/>
    </row>
    <row r="148" spans="1:24" x14ac:dyDescent="0.25">
      <c r="C148" s="194"/>
    </row>
    <row r="149" spans="1:24" x14ac:dyDescent="0.25">
      <c r="C149" s="194"/>
    </row>
    <row r="150" spans="1:24" x14ac:dyDescent="0.25">
      <c r="C150" s="194"/>
    </row>
    <row r="151" spans="1:24" x14ac:dyDescent="0.25">
      <c r="C151" s="194"/>
    </row>
    <row r="152" spans="1:24" x14ac:dyDescent="0.25">
      <c r="C152" s="194"/>
    </row>
    <row r="153" spans="1:24" x14ac:dyDescent="0.25">
      <c r="C153" s="194"/>
    </row>
    <row r="154" spans="1:24" x14ac:dyDescent="0.25">
      <c r="C154" s="194"/>
    </row>
    <row r="155" spans="1:24" x14ac:dyDescent="0.25">
      <c r="C155" s="194"/>
    </row>
    <row r="156" spans="1:24" x14ac:dyDescent="0.25">
      <c r="C156" s="194"/>
    </row>
    <row r="157" spans="1:24" x14ac:dyDescent="0.25">
      <c r="C157" s="194"/>
    </row>
    <row r="158" spans="1:24" x14ac:dyDescent="0.25">
      <c r="C158" s="194"/>
    </row>
    <row r="159" spans="1:24" x14ac:dyDescent="0.25">
      <c r="C159" s="194"/>
    </row>
    <row r="160" spans="1:24"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row r="180" spans="3:3" x14ac:dyDescent="0.25">
      <c r="C180" s="194"/>
    </row>
    <row r="181" spans="3:3" x14ac:dyDescent="0.25">
      <c r="C181" s="194"/>
    </row>
    <row r="182" spans="3:3" x14ac:dyDescent="0.25">
      <c r="C182" s="194"/>
    </row>
    <row r="183" spans="3:3" x14ac:dyDescent="0.25">
      <c r="C183" s="194"/>
    </row>
    <row r="184" spans="3:3" x14ac:dyDescent="0.25">
      <c r="C184" s="194"/>
    </row>
    <row r="185" spans="3:3" x14ac:dyDescent="0.25">
      <c r="C185" s="194"/>
    </row>
    <row r="186" spans="3:3" x14ac:dyDescent="0.25">
      <c r="C186" s="194"/>
    </row>
    <row r="187" spans="3:3" x14ac:dyDescent="0.25">
      <c r="C187" s="194"/>
    </row>
    <row r="188" spans="3:3" x14ac:dyDescent="0.25">
      <c r="C188" s="194"/>
    </row>
    <row r="189" spans="3:3" x14ac:dyDescent="0.25">
      <c r="C189" s="194"/>
    </row>
    <row r="190" spans="3:3" x14ac:dyDescent="0.25">
      <c r="C190" s="194"/>
    </row>
    <row r="191" spans="3:3" x14ac:dyDescent="0.25">
      <c r="C191" s="194"/>
    </row>
    <row r="192" spans="3:3" x14ac:dyDescent="0.25">
      <c r="C192" s="194"/>
    </row>
    <row r="193" spans="3:3" x14ac:dyDescent="0.25">
      <c r="C193" s="194"/>
    </row>
  </sheetData>
  <phoneticPr fontId="0" type="noConversion"/>
  <hyperlinks>
    <hyperlink ref="A1" location="'Working Budget with funding det'!A1" display="Main " xr:uid="{00000000-0004-0000-3200-000000000000}"/>
    <hyperlink ref="B1" location="'Table of Contents'!A1" display="TOC" xr:uid="{00000000-0004-0000-3200-000001000000}"/>
  </hyperlinks>
  <pageMargins left="0.75" right="0.75" top="1" bottom="1" header="0.5" footer="0.5"/>
  <pageSetup scale="91" orientation="landscape" horizontalDpi="300" verticalDpi="300" r:id="rId1"/>
  <headerFooter alignWithMargins="0">
    <oddFooter>&amp;L&amp;D     &amp;T&amp;C&amp;F&amp;R&amp;A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50"/>
    <pageSetUpPr fitToPage="1"/>
  </sheetPr>
  <dimension ref="A1:Y179"/>
  <sheetViews>
    <sheetView topLeftCell="A6" workbookViewId="0">
      <selection activeCell="S14" sqref="S14"/>
    </sheetView>
  </sheetViews>
  <sheetFormatPr defaultRowHeight="13.2" x14ac:dyDescent="0.25"/>
  <cols>
    <col min="1" max="1" width="10.77734375" style="712" customWidth="1"/>
    <col min="2" max="2" width="38.109375" customWidth="1"/>
    <col min="3" max="3" width="15.77734375" style="1" hidden="1" customWidth="1"/>
    <col min="4" max="14" width="15.44140625" style="105" hidden="1" customWidth="1"/>
    <col min="15" max="17" width="15.44140625" style="105" customWidth="1"/>
    <col min="18" max="18" width="15.77734375" customWidth="1"/>
    <col min="19" max="21" width="16.77734375" style="1" customWidth="1"/>
    <col min="22" max="24" width="14.44140625" customWidth="1"/>
    <col min="25" max="25" width="14.6640625" style="2"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1422</v>
      </c>
      <c r="B2" s="43"/>
      <c r="D2" s="194"/>
      <c r="E2" s="125"/>
      <c r="F2" s="194"/>
      <c r="G2" s="194"/>
      <c r="H2" s="194"/>
      <c r="I2" s="125" t="s">
        <v>706</v>
      </c>
      <c r="J2" s="125"/>
      <c r="K2" s="125"/>
      <c r="L2" s="125"/>
      <c r="M2" s="125"/>
      <c r="N2" s="125"/>
      <c r="O2" s="125"/>
      <c r="P2" s="125"/>
      <c r="Q2" s="125"/>
      <c r="R2" s="58" t="s">
        <v>563</v>
      </c>
      <c r="U2" s="44" t="s">
        <v>1423</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113" t="s">
        <v>256</v>
      </c>
      <c r="F4" s="212" t="s">
        <v>256</v>
      </c>
      <c r="G4" s="212" t="s">
        <v>1067</v>
      </c>
      <c r="H4" s="103" t="s">
        <v>256</v>
      </c>
      <c r="I4" s="228" t="s">
        <v>256</v>
      </c>
      <c r="J4" s="228" t="s">
        <v>256</v>
      </c>
      <c r="K4" s="228" t="s">
        <v>255</v>
      </c>
      <c r="L4" s="228" t="s">
        <v>256</v>
      </c>
      <c r="M4" s="228" t="s">
        <v>255</v>
      </c>
      <c r="N4" s="228" t="s">
        <v>256</v>
      </c>
      <c r="O4" s="228" t="s">
        <v>255</v>
      </c>
      <c r="P4" s="228" t="s">
        <v>256</v>
      </c>
      <c r="Q4" s="228" t="s">
        <v>255</v>
      </c>
      <c r="R4" s="103" t="s">
        <v>708</v>
      </c>
      <c r="S4" s="7" t="s">
        <v>1345</v>
      </c>
      <c r="T4" s="7" t="s">
        <v>1345</v>
      </c>
      <c r="U4" s="7" t="s">
        <v>1345</v>
      </c>
    </row>
    <row r="5" spans="1:24" x14ac:dyDescent="0.25">
      <c r="A5" s="705"/>
      <c r="B5" s="184"/>
      <c r="C5" s="112"/>
      <c r="D5" s="82"/>
      <c r="E5" s="102"/>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82"/>
      <c r="D6" s="102"/>
      <c r="E6" s="102"/>
      <c r="F6" s="82"/>
      <c r="G6" s="82"/>
      <c r="H6" s="82"/>
      <c r="I6" s="84"/>
      <c r="J6" s="45"/>
      <c r="K6" s="45"/>
      <c r="L6" s="45"/>
      <c r="M6" s="45"/>
      <c r="N6" s="45"/>
      <c r="O6" s="84"/>
      <c r="P6" s="84"/>
      <c r="Q6" s="84"/>
      <c r="R6" s="82"/>
      <c r="S6" s="83" t="s">
        <v>713</v>
      </c>
      <c r="T6" s="83" t="s">
        <v>481</v>
      </c>
      <c r="U6" s="45" t="s">
        <v>714</v>
      </c>
    </row>
    <row r="7" spans="1:24" ht="13.8" thickBot="1" x14ac:dyDescent="0.3">
      <c r="A7" s="706" t="s">
        <v>715</v>
      </c>
      <c r="B7" s="78"/>
      <c r="C7" s="243" t="s">
        <v>243</v>
      </c>
      <c r="D7" s="243" t="s">
        <v>244</v>
      </c>
      <c r="E7" s="77" t="s">
        <v>245</v>
      </c>
      <c r="F7" s="77" t="s">
        <v>464</v>
      </c>
      <c r="G7" s="77" t="s">
        <v>465</v>
      </c>
      <c r="H7" s="77" t="s">
        <v>248</v>
      </c>
      <c r="I7" s="77" t="s">
        <v>249</v>
      </c>
      <c r="J7" s="77" t="s">
        <v>468</v>
      </c>
      <c r="K7" s="9" t="s">
        <v>251</v>
      </c>
      <c r="L7" s="9" t="s">
        <v>251</v>
      </c>
      <c r="M7" s="9" t="s">
        <v>252</v>
      </c>
      <c r="N7" s="9" t="s">
        <v>252</v>
      </c>
      <c r="O7" s="77" t="s">
        <v>253</v>
      </c>
      <c r="P7" s="77" t="s">
        <v>253</v>
      </c>
      <c r="Q7" s="9" t="s">
        <v>469</v>
      </c>
      <c r="R7" s="121">
        <v>45291</v>
      </c>
      <c r="S7" s="77" t="s">
        <v>716</v>
      </c>
      <c r="T7" s="77"/>
      <c r="U7" s="9" t="s">
        <v>481</v>
      </c>
    </row>
    <row r="8" spans="1:24" ht="13.8" thickTop="1" x14ac:dyDescent="0.25">
      <c r="A8" s="725"/>
      <c r="B8" s="185"/>
      <c r="C8" s="117"/>
      <c r="D8" s="117"/>
      <c r="E8" s="117"/>
      <c r="F8" s="337"/>
      <c r="G8" s="117"/>
      <c r="H8" s="117"/>
      <c r="I8" s="87"/>
      <c r="J8" s="87"/>
      <c r="K8" s="87"/>
      <c r="L8" s="87"/>
      <c r="M8" s="87"/>
      <c r="N8" s="87"/>
      <c r="O8" s="87"/>
      <c r="P8" s="87"/>
      <c r="Q8" s="87"/>
      <c r="R8" s="117"/>
      <c r="S8" s="87"/>
      <c r="T8" s="180"/>
      <c r="U8" s="29"/>
    </row>
    <row r="9" spans="1:24" x14ac:dyDescent="0.25">
      <c r="A9" s="725">
        <v>5170</v>
      </c>
      <c r="B9" s="60" t="s">
        <v>1424</v>
      </c>
      <c r="C9" s="117">
        <v>37150.800000000003</v>
      </c>
      <c r="D9" s="117">
        <v>37644.33</v>
      </c>
      <c r="E9" s="117">
        <v>32019.119999999999</v>
      </c>
      <c r="F9" s="117">
        <v>20586.78</v>
      </c>
      <c r="G9" s="117">
        <v>14635.2</v>
      </c>
      <c r="H9" s="117">
        <v>5024.76</v>
      </c>
      <c r="I9" s="312">
        <v>2859.88</v>
      </c>
      <c r="J9" s="312">
        <v>1363.08</v>
      </c>
      <c r="K9" s="87">
        <v>2045</v>
      </c>
      <c r="L9" s="312">
        <v>2726.16</v>
      </c>
      <c r="M9" s="87">
        <v>2045</v>
      </c>
      <c r="N9" s="312">
        <v>1363.08</v>
      </c>
      <c r="O9" s="87">
        <v>2045</v>
      </c>
      <c r="P9" s="117"/>
      <c r="Q9" s="87">
        <v>2045</v>
      </c>
      <c r="R9" s="117"/>
      <c r="S9" s="87">
        <v>2045</v>
      </c>
      <c r="T9" s="87"/>
      <c r="U9" s="14"/>
    </row>
    <row r="10" spans="1:24" x14ac:dyDescent="0.25">
      <c r="A10" s="708">
        <v>5171</v>
      </c>
      <c r="B10" s="60" t="s">
        <v>1425</v>
      </c>
      <c r="C10" s="115">
        <v>752282</v>
      </c>
      <c r="D10" s="115">
        <v>789701</v>
      </c>
      <c r="E10" s="115">
        <v>794597</v>
      </c>
      <c r="F10" s="115">
        <v>837143</v>
      </c>
      <c r="G10" s="115">
        <v>861504</v>
      </c>
      <c r="H10" s="115">
        <v>900214</v>
      </c>
      <c r="I10" s="311">
        <v>926159</v>
      </c>
      <c r="J10" s="311">
        <v>912706</v>
      </c>
      <c r="K10" s="263">
        <v>973492</v>
      </c>
      <c r="L10" s="311">
        <v>973492</v>
      </c>
      <c r="M10" s="263">
        <v>1066196</v>
      </c>
      <c r="N10" s="311">
        <v>1066196</v>
      </c>
      <c r="O10" s="263">
        <v>1062570</v>
      </c>
      <c r="P10" s="115">
        <v>1062570</v>
      </c>
      <c r="Q10" s="263">
        <v>1095624</v>
      </c>
      <c r="R10" s="115">
        <v>1096171.2</v>
      </c>
      <c r="S10" s="263">
        <v>1155361</v>
      </c>
      <c r="T10" s="263"/>
      <c r="U10" s="263"/>
    </row>
    <row r="11" spans="1:24" x14ac:dyDescent="0.25">
      <c r="A11" s="708">
        <v>5172</v>
      </c>
      <c r="B11" s="60" t="s">
        <v>1426</v>
      </c>
      <c r="C11" s="115">
        <v>41378.050000000003</v>
      </c>
      <c r="D11" s="117">
        <v>34572.11</v>
      </c>
      <c r="E11" s="117">
        <v>34401.49</v>
      </c>
      <c r="F11" s="117">
        <v>29550.62</v>
      </c>
      <c r="G11" s="117">
        <v>31957.59</v>
      </c>
      <c r="H11" s="117">
        <v>33882</v>
      </c>
      <c r="I11" s="312">
        <v>40175</v>
      </c>
      <c r="J11" s="312">
        <v>42895.26</v>
      </c>
      <c r="K11" s="87">
        <v>45000</v>
      </c>
      <c r="L11" s="312">
        <v>38554</v>
      </c>
      <c r="M11" s="87">
        <v>43000</v>
      </c>
      <c r="N11" s="312">
        <v>28610.32</v>
      </c>
      <c r="O11" s="87">
        <v>44000</v>
      </c>
      <c r="P11" s="117">
        <v>39365</v>
      </c>
      <c r="Q11" s="87">
        <v>44000</v>
      </c>
      <c r="R11" s="115">
        <v>30257.15</v>
      </c>
      <c r="S11" s="87">
        <v>44000</v>
      </c>
      <c r="T11" s="87"/>
      <c r="U11" s="87"/>
    </row>
    <row r="12" spans="1:24" x14ac:dyDescent="0.25">
      <c r="A12" s="708">
        <v>5173</v>
      </c>
      <c r="B12" s="60" t="s">
        <v>1427</v>
      </c>
      <c r="C12" s="115">
        <v>789.92</v>
      </c>
      <c r="D12" s="117">
        <v>1375.17</v>
      </c>
      <c r="E12" s="117"/>
      <c r="F12" s="117"/>
      <c r="G12" s="117">
        <v>4419.51</v>
      </c>
      <c r="H12" s="117">
        <v>6452.9</v>
      </c>
      <c r="I12" s="312">
        <v>12673.77</v>
      </c>
      <c r="J12" s="312"/>
      <c r="K12" s="87">
        <v>10000</v>
      </c>
      <c r="L12" s="312">
        <v>13196.03</v>
      </c>
      <c r="M12" s="87">
        <v>10000</v>
      </c>
      <c r="N12" s="312">
        <v>4</v>
      </c>
      <c r="O12" s="87">
        <v>10000</v>
      </c>
      <c r="P12" s="117">
        <v>4434.8599999999997</v>
      </c>
      <c r="Q12" s="87">
        <v>10000</v>
      </c>
      <c r="R12" s="115">
        <v>4664</v>
      </c>
      <c r="S12" s="87">
        <v>10000</v>
      </c>
      <c r="T12" s="87"/>
      <c r="U12" s="87"/>
    </row>
    <row r="13" spans="1:24" x14ac:dyDescent="0.25">
      <c r="A13" s="708">
        <v>5174</v>
      </c>
      <c r="B13" s="60" t="s">
        <v>1428</v>
      </c>
      <c r="C13" s="115">
        <v>872311.05</v>
      </c>
      <c r="D13" s="115">
        <v>808998.23</v>
      </c>
      <c r="E13" s="115">
        <v>827690.49</v>
      </c>
      <c r="F13" s="115">
        <v>837917.94</v>
      </c>
      <c r="G13" s="115">
        <v>898762.32</v>
      </c>
      <c r="H13" s="115">
        <v>992555.93</v>
      </c>
      <c r="I13" s="311">
        <v>1013426.8</v>
      </c>
      <c r="J13" s="311">
        <v>1010436.67</v>
      </c>
      <c r="K13" s="263">
        <f>-60000+1186320</f>
        <v>1126320</v>
      </c>
      <c r="L13" s="311">
        <v>1010035.23</v>
      </c>
      <c r="M13" s="263">
        <v>1194420</v>
      </c>
      <c r="N13" s="311">
        <v>987858.17</v>
      </c>
      <c r="O13" s="263">
        <v>1185000</v>
      </c>
      <c r="P13" s="115">
        <v>1075698.1499999999</v>
      </c>
      <c r="Q13" s="263">
        <v>1246000</v>
      </c>
      <c r="R13" s="115">
        <f>517611.1+28206.7+28206.7</f>
        <v>574024.49999999988</v>
      </c>
      <c r="S13" s="263">
        <v>1350000</v>
      </c>
      <c r="T13" s="263"/>
      <c r="U13" s="263"/>
    </row>
    <row r="14" spans="1:24" x14ac:dyDescent="0.25">
      <c r="A14" s="708">
        <v>5175</v>
      </c>
      <c r="B14" s="60" t="s">
        <v>1429</v>
      </c>
      <c r="C14" s="115">
        <v>15818.97</v>
      </c>
      <c r="D14" s="115">
        <v>14158.12</v>
      </c>
      <c r="E14" s="115">
        <v>12158.54</v>
      </c>
      <c r="F14" s="115">
        <v>13916.38</v>
      </c>
      <c r="G14" s="115">
        <v>14114.32</v>
      </c>
      <c r="H14" s="115">
        <v>14773.5</v>
      </c>
      <c r="I14" s="311">
        <v>15020.46</v>
      </c>
      <c r="J14" s="311">
        <v>14799.71</v>
      </c>
      <c r="K14" s="263">
        <v>17200</v>
      </c>
      <c r="L14" s="311">
        <v>14596.92</v>
      </c>
      <c r="M14" s="263">
        <v>17200</v>
      </c>
      <c r="N14" s="311">
        <v>13558.18</v>
      </c>
      <c r="O14" s="263">
        <v>17665</v>
      </c>
      <c r="P14" s="115">
        <v>1033.52</v>
      </c>
      <c r="Q14" s="263">
        <v>17665</v>
      </c>
      <c r="R14" s="115">
        <f>63440.86-28206.7-28206.7</f>
        <v>7027.4600000000028</v>
      </c>
      <c r="S14" s="263">
        <v>17665</v>
      </c>
      <c r="T14" s="263"/>
      <c r="U14" s="263"/>
    </row>
    <row r="15" spans="1:24" x14ac:dyDescent="0.25">
      <c r="A15" s="708">
        <v>5177</v>
      </c>
      <c r="B15" s="60" t="s">
        <v>1430</v>
      </c>
      <c r="C15" s="210">
        <v>40990.46</v>
      </c>
      <c r="D15" s="210">
        <v>44116.78</v>
      </c>
      <c r="E15" s="210">
        <v>47581.79</v>
      </c>
      <c r="F15" s="210">
        <v>50108.41</v>
      </c>
      <c r="G15" s="210">
        <v>53564.43</v>
      </c>
      <c r="H15" s="210">
        <v>55523.24</v>
      </c>
      <c r="I15" s="568">
        <v>58672.800000000003</v>
      </c>
      <c r="J15" s="568">
        <v>58606.29</v>
      </c>
      <c r="K15" s="224">
        <v>64000</v>
      </c>
      <c r="L15" s="568">
        <v>63532.27</v>
      </c>
      <c r="M15" s="224">
        <v>65000</v>
      </c>
      <c r="N15" s="568">
        <v>64224.89</v>
      </c>
      <c r="O15" s="224">
        <v>70000</v>
      </c>
      <c r="P15" s="210">
        <v>67761.53</v>
      </c>
      <c r="Q15" s="224">
        <v>75000</v>
      </c>
      <c r="R15" s="210">
        <v>39614.04</v>
      </c>
      <c r="S15" s="224">
        <f>ROUND(((+'113 Town Mtg'!S10+'122 Selectboard'!S19+'135 Acct'!S12+'141 BOA'!S16+'145 Treas'!S16+'155 IT'!S11+'161 Clerk'!S18+'175 Planning'!S13+'197 Farm Mkt'!S10+'211 Police'!S28+'212 Dispatch'!S19+'241 Bldg'!S20+'291 Emergency'!S10+'294 Forest Warden'!S10+'299 Tree Warden'!S10+'420 DPW'!S17+'423 Snow'!S12+'433 Solid Waste'!S13+'491 Cemetery'!S11+'511 BOH'!S21+'541 COA'!S11+'610 Library'!S16+'630 Recreation'!S13)*0.0145),)+902</f>
        <v>78012</v>
      </c>
      <c r="T15" s="224"/>
      <c r="U15" s="224"/>
    </row>
    <row r="16" spans="1:24" ht="13.8" thickBot="1" x14ac:dyDescent="0.3">
      <c r="A16" s="708">
        <v>5179</v>
      </c>
      <c r="B16" s="60" t="s">
        <v>1431</v>
      </c>
      <c r="C16" s="116">
        <v>97.96</v>
      </c>
      <c r="D16" s="15">
        <v>225.66</v>
      </c>
      <c r="E16" s="15">
        <v>145.66</v>
      </c>
      <c r="F16" s="15">
        <v>129.02000000000001</v>
      </c>
      <c r="G16" s="15"/>
      <c r="H16" s="15"/>
      <c r="I16" s="252"/>
      <c r="J16" s="252"/>
      <c r="K16" s="16"/>
      <c r="L16" s="313"/>
      <c r="M16" s="264"/>
      <c r="N16" s="313"/>
      <c r="O16" s="264"/>
      <c r="P16" s="116"/>
      <c r="Q16" s="16"/>
      <c r="R16" s="116"/>
      <c r="S16" s="16"/>
      <c r="T16" s="16"/>
      <c r="U16" s="16"/>
    </row>
    <row r="17" spans="1:24" x14ac:dyDescent="0.25">
      <c r="A17" s="708"/>
      <c r="B17" s="60"/>
      <c r="C17" s="117"/>
      <c r="D17" s="117"/>
      <c r="E17" s="117"/>
      <c r="F17" s="30"/>
      <c r="G17" s="117"/>
      <c r="H17" s="117"/>
      <c r="I17" s="18"/>
      <c r="J17" s="18"/>
      <c r="K17" s="19"/>
      <c r="L17" s="18"/>
      <c r="M17" s="19"/>
      <c r="N17" s="18"/>
      <c r="O17" s="19"/>
      <c r="P17" s="18"/>
      <c r="Q17" s="19"/>
      <c r="R17" s="18"/>
      <c r="S17" s="19"/>
      <c r="T17" s="19"/>
      <c r="U17" s="19"/>
    </row>
    <row r="18" spans="1:24" x14ac:dyDescent="0.25">
      <c r="A18" s="708"/>
      <c r="B18" s="61" t="s">
        <v>718</v>
      </c>
      <c r="C18" s="115">
        <f>SUM(C9:C17)</f>
        <v>1760819.2100000002</v>
      </c>
      <c r="D18" s="13">
        <f>SUM(D9:D17)</f>
        <v>1730791.4</v>
      </c>
      <c r="E18" s="13">
        <f>SUM(E9:E17)</f>
        <v>1748594.09</v>
      </c>
      <c r="F18" s="13">
        <f>SUM(F9:F16)</f>
        <v>1789352.1499999997</v>
      </c>
      <c r="G18" s="13">
        <f>SUM(G9:G16)</f>
        <v>1878957.3699999999</v>
      </c>
      <c r="H18" s="13">
        <f>SUM(H9:H16)</f>
        <v>2008426.33</v>
      </c>
      <c r="I18" s="13">
        <f>SUM(I9:I17)</f>
        <v>2068987.7100000002</v>
      </c>
      <c r="J18" s="13">
        <f>SUM(J9:J17)</f>
        <v>2040807.01</v>
      </c>
      <c r="K18" s="14">
        <f>SUM(K9:K17)</f>
        <v>2238057</v>
      </c>
      <c r="L18" s="13">
        <f t="shared" ref="L18:O18" si="0">SUM(L9:L17)</f>
        <v>2116132.61</v>
      </c>
      <c r="M18" s="14">
        <f t="shared" si="0"/>
        <v>2397861</v>
      </c>
      <c r="N18" s="13">
        <f t="shared" ref="N18" si="1">SUM(N9:N17)</f>
        <v>2161814.6400000006</v>
      </c>
      <c r="O18" s="14">
        <f t="shared" si="0"/>
        <v>2391280</v>
      </c>
      <c r="P18" s="13">
        <f t="shared" ref="P18" si="2">SUM(P9:P17)</f>
        <v>2250863.0599999996</v>
      </c>
      <c r="Q18" s="14">
        <f>SUM(Q9:Q17)</f>
        <v>2490334</v>
      </c>
      <c r="R18" s="13">
        <f>SUM(R9:R16)</f>
        <v>1751758.3499999996</v>
      </c>
      <c r="S18" s="14">
        <f>SUM(S9:S17)</f>
        <v>2657083</v>
      </c>
      <c r="T18" s="14">
        <f>SUM(T9:T17)</f>
        <v>0</v>
      </c>
      <c r="U18" s="14">
        <f>SUM(U9:U17)</f>
        <v>0</v>
      </c>
    </row>
    <row r="19" spans="1:24" x14ac:dyDescent="0.25">
      <c r="A19" s="708"/>
      <c r="B19" s="12"/>
      <c r="C19" s="13"/>
      <c r="D19" s="13"/>
      <c r="E19" s="13"/>
      <c r="F19" s="13"/>
      <c r="G19" s="13"/>
      <c r="H19" s="13"/>
      <c r="I19" s="13"/>
      <c r="J19" s="13"/>
      <c r="K19" s="14"/>
      <c r="L19" s="13"/>
      <c r="M19" s="14"/>
      <c r="N19" s="13"/>
      <c r="O19" s="14"/>
      <c r="P19" s="13"/>
      <c r="Q19" s="14"/>
      <c r="R19" s="13"/>
      <c r="S19" s="14"/>
      <c r="T19" s="14"/>
      <c r="U19" s="14"/>
    </row>
    <row r="20" spans="1:24" ht="13.8" thickBot="1" x14ac:dyDescent="0.3">
      <c r="A20" s="709"/>
      <c r="B20" s="20" t="s">
        <v>1432</v>
      </c>
      <c r="C20" s="21">
        <f t="shared" ref="C20:S20" si="3">+C18</f>
        <v>1760819.2100000002</v>
      </c>
      <c r="D20" s="21">
        <f t="shared" si="3"/>
        <v>1730791.4</v>
      </c>
      <c r="E20" s="21">
        <f t="shared" si="3"/>
        <v>1748594.09</v>
      </c>
      <c r="F20" s="21">
        <f>+F18</f>
        <v>1789352.1499999997</v>
      </c>
      <c r="G20" s="21">
        <f>+G18</f>
        <v>1878957.3699999999</v>
      </c>
      <c r="H20" s="21">
        <f>+H18</f>
        <v>2008426.33</v>
      </c>
      <c r="I20" s="21">
        <f t="shared" si="3"/>
        <v>2068987.7100000002</v>
      </c>
      <c r="J20" s="21">
        <f t="shared" ref="J20" si="4">+J18</f>
        <v>2040807.01</v>
      </c>
      <c r="K20" s="22">
        <f t="shared" ref="K20:O20" si="5">+K18</f>
        <v>2238057</v>
      </c>
      <c r="L20" s="21">
        <f t="shared" si="5"/>
        <v>2116132.61</v>
      </c>
      <c r="M20" s="22">
        <f t="shared" si="5"/>
        <v>2397861</v>
      </c>
      <c r="N20" s="21">
        <f t="shared" ref="N20" si="6">+N18</f>
        <v>2161814.6400000006</v>
      </c>
      <c r="O20" s="22">
        <f t="shared" si="5"/>
        <v>2391280</v>
      </c>
      <c r="P20" s="21">
        <f t="shared" ref="P20" si="7">+P18</f>
        <v>2250863.0599999996</v>
      </c>
      <c r="Q20" s="22">
        <f t="shared" ref="Q20" si="8">+Q18</f>
        <v>2490334</v>
      </c>
      <c r="R20" s="21">
        <f t="shared" si="3"/>
        <v>1751758.3499999996</v>
      </c>
      <c r="S20" s="22">
        <f t="shared" si="3"/>
        <v>2657083</v>
      </c>
      <c r="T20" s="22">
        <f>+S20</f>
        <v>2657083</v>
      </c>
      <c r="U20" s="22">
        <f>+S20</f>
        <v>2657083</v>
      </c>
    </row>
    <row r="21" spans="1:24" ht="13.8" thickTop="1" x14ac:dyDescent="0.25">
      <c r="A21" s="703"/>
      <c r="B21" s="4"/>
      <c r="C21" s="24"/>
      <c r="D21" s="24"/>
      <c r="E21" s="24"/>
      <c r="F21" s="24"/>
      <c r="G21" s="24"/>
      <c r="H21" s="24"/>
      <c r="I21" s="24"/>
      <c r="J21" s="24"/>
      <c r="K21" s="24"/>
      <c r="L21" s="24"/>
      <c r="M21" s="24"/>
      <c r="N21" s="24"/>
      <c r="O21" s="24"/>
      <c r="P21" s="24"/>
      <c r="Q21" s="24"/>
      <c r="R21" s="181" t="s">
        <v>732</v>
      </c>
      <c r="S21" s="1001">
        <f>+S20-Q20</f>
        <v>166749</v>
      </c>
      <c r="T21" s="1002">
        <f>ROUND((+S21/Q20),4)</f>
        <v>6.7000000000000004E-2</v>
      </c>
      <c r="U21" s="23"/>
      <c r="V21" s="25"/>
      <c r="W21" s="25"/>
      <c r="X21" s="25"/>
    </row>
    <row r="22" spans="1:24" x14ac:dyDescent="0.25">
      <c r="A22" s="1243">
        <v>45257</v>
      </c>
      <c r="B22" s="4" t="s">
        <v>2294</v>
      </c>
      <c r="C22" s="24"/>
      <c r="D22" s="24"/>
      <c r="E22" s="24"/>
      <c r="F22" s="24"/>
      <c r="G22" s="24"/>
      <c r="H22" s="24"/>
      <c r="I22" s="24"/>
      <c r="J22" s="24"/>
      <c r="K22" s="24"/>
      <c r="L22" s="24"/>
      <c r="M22" s="24"/>
      <c r="N22" s="24"/>
      <c r="O22" s="24"/>
      <c r="P22" s="24"/>
      <c r="Q22" s="24"/>
      <c r="R22" s="25"/>
      <c r="S22" s="24"/>
      <c r="T22" s="24"/>
      <c r="U22" s="23"/>
      <c r="V22" s="25"/>
      <c r="W22" s="25"/>
      <c r="X22" s="25"/>
    </row>
    <row r="23" spans="1:24" x14ac:dyDescent="0.25">
      <c r="A23" s="54">
        <v>45308</v>
      </c>
      <c r="B23" s="4" t="s">
        <v>2549</v>
      </c>
      <c r="C23" s="24"/>
      <c r="D23" s="24"/>
      <c r="E23" s="24"/>
      <c r="F23" s="24"/>
      <c r="G23" s="24"/>
      <c r="H23" s="24"/>
      <c r="I23" s="24"/>
      <c r="J23" s="24"/>
      <c r="K23" s="24"/>
      <c r="L23" s="24"/>
      <c r="M23" s="24"/>
      <c r="N23" s="24"/>
      <c r="O23" s="24"/>
      <c r="P23" s="24"/>
      <c r="Q23" s="24"/>
      <c r="R23" s="25"/>
      <c r="S23" s="24"/>
      <c r="T23" s="24"/>
      <c r="U23" s="23"/>
      <c r="V23" s="25"/>
      <c r="W23" s="25"/>
      <c r="X23" s="25"/>
    </row>
    <row r="24" spans="1:24" x14ac:dyDescent="0.25">
      <c r="A24" s="54">
        <v>45314</v>
      </c>
      <c r="B24" s="4" t="s">
        <v>2556</v>
      </c>
      <c r="C24" s="24"/>
      <c r="D24" s="24"/>
      <c r="E24" s="24"/>
      <c r="F24" s="24"/>
      <c r="G24" s="24"/>
      <c r="H24" s="24"/>
      <c r="I24" s="24"/>
      <c r="J24" s="24"/>
      <c r="K24" s="24"/>
      <c r="L24" s="24"/>
      <c r="M24" s="24"/>
      <c r="N24" s="24"/>
      <c r="O24" s="24"/>
      <c r="P24" s="24"/>
      <c r="Q24" s="24"/>
      <c r="R24" s="25"/>
      <c r="S24" s="24"/>
      <c r="T24" s="24"/>
      <c r="U24" s="23"/>
      <c r="V24" s="25"/>
      <c r="W24" s="25"/>
      <c r="X24" s="25"/>
    </row>
    <row r="25" spans="1:24" x14ac:dyDescent="0.25">
      <c r="A25" s="54">
        <v>45322</v>
      </c>
      <c r="B25" s="4" t="s">
        <v>2580</v>
      </c>
      <c r="C25" s="24"/>
      <c r="D25" s="24"/>
      <c r="E25" s="24"/>
      <c r="F25" s="24"/>
      <c r="G25" s="24"/>
      <c r="H25" s="24"/>
      <c r="I25" s="24"/>
      <c r="J25" s="24"/>
      <c r="K25" s="24"/>
      <c r="L25" s="24"/>
      <c r="M25" s="24"/>
      <c r="N25" s="24"/>
      <c r="O25" s="24"/>
      <c r="P25" s="24"/>
      <c r="Q25" s="24"/>
      <c r="R25" s="25"/>
      <c r="S25" s="24"/>
      <c r="T25" s="24"/>
      <c r="U25" s="23"/>
      <c r="V25" s="25"/>
      <c r="W25" s="25"/>
      <c r="X25" s="25"/>
    </row>
    <row r="26" spans="1:24" ht="13.8" thickBot="1" x14ac:dyDescent="0.3">
      <c r="A26" s="54"/>
      <c r="B26" s="4"/>
      <c r="C26" s="23"/>
      <c r="D26" s="23"/>
      <c r="E26" s="23"/>
      <c r="F26" s="23"/>
      <c r="G26" s="23"/>
      <c r="H26" s="23"/>
      <c r="I26" s="23"/>
      <c r="J26" s="23"/>
      <c r="K26" s="23"/>
      <c r="L26" s="23"/>
      <c r="M26" s="23"/>
      <c r="N26" s="23"/>
      <c r="O26" s="23"/>
      <c r="P26" s="23"/>
      <c r="Q26" s="23"/>
      <c r="R26" s="25"/>
      <c r="S26" s="23"/>
      <c r="T26" s="23"/>
      <c r="U26" s="23"/>
      <c r="V26" s="25"/>
      <c r="W26" s="25"/>
      <c r="X26" s="25"/>
    </row>
    <row r="27" spans="1:24" ht="13.8" thickTop="1" x14ac:dyDescent="0.25">
      <c r="A27" s="718"/>
      <c r="B27" s="349"/>
      <c r="C27" s="350" t="s">
        <v>256</v>
      </c>
      <c r="D27" s="351" t="s">
        <v>256</v>
      </c>
      <c r="E27" s="350" t="s">
        <v>256</v>
      </c>
      <c r="F27" s="194"/>
      <c r="G27" s="194"/>
      <c r="H27" s="194"/>
      <c r="I27" s="194"/>
      <c r="J27" s="194"/>
      <c r="K27" s="194"/>
      <c r="L27" s="194"/>
      <c r="O27" s="352" t="s">
        <v>255</v>
      </c>
      <c r="P27" s="353" t="s">
        <v>716</v>
      </c>
      <c r="Q27" s="354" t="s">
        <v>730</v>
      </c>
      <c r="R27" s="353" t="s">
        <v>731</v>
      </c>
      <c r="S27" s="355"/>
      <c r="T27" s="550"/>
      <c r="U27" s="354"/>
      <c r="V27" s="25"/>
      <c r="W27" s="25"/>
      <c r="X27" s="25"/>
    </row>
    <row r="28" spans="1:24" ht="13.8" thickBot="1" x14ac:dyDescent="0.3">
      <c r="A28" s="719"/>
      <c r="B28" s="356"/>
      <c r="C28" s="403" t="s">
        <v>243</v>
      </c>
      <c r="D28" s="403" t="s">
        <v>244</v>
      </c>
      <c r="E28" s="359" t="s">
        <v>245</v>
      </c>
      <c r="F28" s="194"/>
      <c r="G28" s="194"/>
      <c r="H28" s="194"/>
      <c r="I28" s="194"/>
      <c r="J28" s="194"/>
      <c r="K28" s="194"/>
      <c r="L28" s="194"/>
      <c r="O28" s="359" t="s">
        <v>469</v>
      </c>
      <c r="P28" s="359" t="s">
        <v>1345</v>
      </c>
      <c r="Q28" s="358" t="s">
        <v>732</v>
      </c>
      <c r="R28" s="360" t="s">
        <v>732</v>
      </c>
      <c r="S28" s="361" t="s">
        <v>733</v>
      </c>
      <c r="T28" s="551"/>
      <c r="U28" s="359"/>
      <c r="V28" s="25"/>
      <c r="W28" s="25"/>
      <c r="X28" s="25"/>
    </row>
    <row r="29" spans="1:24" ht="13.8" thickTop="1" x14ac:dyDescent="0.25">
      <c r="A29" s="726"/>
      <c r="B29" s="376"/>
      <c r="C29" s="408"/>
      <c r="D29" s="408"/>
      <c r="E29" s="408"/>
      <c r="F29" s="194"/>
      <c r="G29" s="194"/>
      <c r="H29" s="194"/>
      <c r="I29" s="194"/>
      <c r="J29" s="194"/>
      <c r="K29" s="194"/>
      <c r="L29" s="194"/>
      <c r="O29" s="409"/>
      <c r="P29" s="408"/>
      <c r="Q29" s="396"/>
      <c r="R29" s="408"/>
      <c r="S29" s="404"/>
      <c r="T29" s="552"/>
      <c r="U29" s="410"/>
      <c r="V29" s="25"/>
      <c r="W29" s="25"/>
      <c r="X29" s="25"/>
    </row>
    <row r="30" spans="1:24" x14ac:dyDescent="0.25">
      <c r="A30" s="726">
        <v>5170</v>
      </c>
      <c r="B30" s="397" t="s">
        <v>1424</v>
      </c>
      <c r="C30" s="408">
        <v>37150.800000000003</v>
      </c>
      <c r="D30" s="408">
        <v>37644.33</v>
      </c>
      <c r="E30" s="408">
        <v>32019.119999999999</v>
      </c>
      <c r="F30" s="194"/>
      <c r="G30" s="194"/>
      <c r="H30" s="194"/>
      <c r="I30" s="194"/>
      <c r="J30" s="194"/>
      <c r="K30" s="194"/>
      <c r="L30" s="194"/>
      <c r="O30" s="396">
        <f t="shared" ref="O30:O36" si="9">+Q9</f>
        <v>2045</v>
      </c>
      <c r="P30" s="525">
        <f t="shared" ref="P30:P36" si="10">+S9</f>
        <v>2045</v>
      </c>
      <c r="Q30" s="396">
        <f t="shared" ref="Q30:Q36" si="11">+P30-O30</f>
        <v>0</v>
      </c>
      <c r="R30" s="374" t="str">
        <f t="shared" ref="R30:R36" si="12">IF(O30+P30&lt;&gt;0,IF(O30&lt;&gt;0,IF(Q30&lt;&gt;0,ROUND((+Q30/O30),4),""),1),"")</f>
        <v/>
      </c>
      <c r="S30" s="379"/>
      <c r="T30" s="920"/>
      <c r="U30" s="368"/>
      <c r="V30" s="25"/>
      <c r="W30" s="25"/>
      <c r="X30" s="25"/>
    </row>
    <row r="31" spans="1:24" x14ac:dyDescent="0.25">
      <c r="A31" s="724">
        <v>5171</v>
      </c>
      <c r="B31" s="397" t="s">
        <v>1425</v>
      </c>
      <c r="C31" s="411">
        <v>752282</v>
      </c>
      <c r="D31" s="411">
        <v>789701</v>
      </c>
      <c r="E31" s="411">
        <v>794597</v>
      </c>
      <c r="F31" s="194"/>
      <c r="G31" s="194"/>
      <c r="H31" s="194"/>
      <c r="I31" s="194"/>
      <c r="J31" s="194"/>
      <c r="K31" s="194"/>
      <c r="L31" s="194"/>
      <c r="O31" s="396">
        <f t="shared" si="9"/>
        <v>1095624</v>
      </c>
      <c r="P31" s="525">
        <f t="shared" si="10"/>
        <v>1155361</v>
      </c>
      <c r="Q31" s="396">
        <f t="shared" si="11"/>
        <v>59737</v>
      </c>
      <c r="R31" s="374">
        <f t="shared" si="12"/>
        <v>5.45E-2</v>
      </c>
      <c r="S31" s="367"/>
      <c r="T31" s="553"/>
      <c r="U31" s="368"/>
      <c r="V31" s="25"/>
      <c r="W31" s="25"/>
      <c r="X31" s="25"/>
    </row>
    <row r="32" spans="1:24" x14ac:dyDescent="0.25">
      <c r="A32" s="724">
        <v>5172</v>
      </c>
      <c r="B32" s="397" t="s">
        <v>1426</v>
      </c>
      <c r="C32" s="411">
        <v>41378.050000000003</v>
      </c>
      <c r="D32" s="408">
        <v>34572.11</v>
      </c>
      <c r="E32" s="408">
        <v>34401.49</v>
      </c>
      <c r="F32" s="194"/>
      <c r="G32" s="194"/>
      <c r="H32" s="194"/>
      <c r="I32" s="194"/>
      <c r="J32" s="194"/>
      <c r="K32" s="194"/>
      <c r="L32" s="194"/>
      <c r="O32" s="396">
        <f t="shared" si="9"/>
        <v>44000</v>
      </c>
      <c r="P32" s="525">
        <f t="shared" si="10"/>
        <v>44000</v>
      </c>
      <c r="Q32" s="396">
        <f t="shared" si="11"/>
        <v>0</v>
      </c>
      <c r="R32" s="374" t="str">
        <f t="shared" si="12"/>
        <v/>
      </c>
      <c r="S32" s="379"/>
      <c r="T32" s="920"/>
      <c r="U32" s="396"/>
      <c r="V32" s="25"/>
      <c r="W32" s="25"/>
      <c r="X32" s="25"/>
    </row>
    <row r="33" spans="1:24" x14ac:dyDescent="0.25">
      <c r="A33" s="724">
        <v>5173</v>
      </c>
      <c r="B33" s="397" t="s">
        <v>1427</v>
      </c>
      <c r="C33" s="411">
        <v>789.92</v>
      </c>
      <c r="D33" s="408">
        <v>1375.17</v>
      </c>
      <c r="E33" s="408"/>
      <c r="F33" s="194"/>
      <c r="G33" s="194"/>
      <c r="H33" s="194"/>
      <c r="I33" s="194"/>
      <c r="J33" s="194"/>
      <c r="K33" s="194"/>
      <c r="L33" s="194"/>
      <c r="O33" s="396">
        <f t="shared" si="9"/>
        <v>10000</v>
      </c>
      <c r="P33" s="525">
        <f t="shared" si="10"/>
        <v>10000</v>
      </c>
      <c r="Q33" s="396">
        <f t="shared" si="11"/>
        <v>0</v>
      </c>
      <c r="R33" s="374" t="str">
        <f t="shared" si="12"/>
        <v/>
      </c>
      <c r="S33" s="379"/>
      <c r="T33" s="920"/>
      <c r="U33" s="396"/>
      <c r="V33" s="25"/>
      <c r="W33" s="25"/>
      <c r="X33" s="25"/>
    </row>
    <row r="34" spans="1:24" x14ac:dyDescent="0.25">
      <c r="A34" s="724">
        <v>5174</v>
      </c>
      <c r="B34" s="397" t="s">
        <v>1428</v>
      </c>
      <c r="C34" s="411">
        <v>872311.05</v>
      </c>
      <c r="D34" s="411">
        <v>808998.23</v>
      </c>
      <c r="E34" s="411">
        <v>827690.49</v>
      </c>
      <c r="F34" s="194"/>
      <c r="G34" s="194"/>
      <c r="H34" s="194"/>
      <c r="I34" s="194"/>
      <c r="J34" s="194"/>
      <c r="K34" s="194"/>
      <c r="L34" s="194"/>
      <c r="O34" s="396">
        <f t="shared" si="9"/>
        <v>1246000</v>
      </c>
      <c r="P34" s="525">
        <f t="shared" si="10"/>
        <v>1350000</v>
      </c>
      <c r="Q34" s="396">
        <f t="shared" si="11"/>
        <v>104000</v>
      </c>
      <c r="R34" s="374">
        <f t="shared" si="12"/>
        <v>8.3500000000000005E-2</v>
      </c>
      <c r="S34" s="367" t="s">
        <v>2324</v>
      </c>
      <c r="T34" s="553"/>
      <c r="U34" s="368"/>
      <c r="V34" s="25"/>
      <c r="W34" s="25"/>
      <c r="X34" s="25"/>
    </row>
    <row r="35" spans="1:24" x14ac:dyDescent="0.25">
      <c r="A35" s="724">
        <v>5175</v>
      </c>
      <c r="B35" s="397" t="s">
        <v>1429</v>
      </c>
      <c r="C35" s="411">
        <v>15818.97</v>
      </c>
      <c r="D35" s="411">
        <v>14158.12</v>
      </c>
      <c r="E35" s="411">
        <v>12158.54</v>
      </c>
      <c r="F35" s="194"/>
      <c r="G35" s="194"/>
      <c r="H35" s="194"/>
      <c r="I35" s="194"/>
      <c r="J35" s="194"/>
      <c r="K35" s="194"/>
      <c r="L35" s="194"/>
      <c r="O35" s="396">
        <f t="shared" si="9"/>
        <v>17665</v>
      </c>
      <c r="P35" s="525">
        <f t="shared" si="10"/>
        <v>17665</v>
      </c>
      <c r="Q35" s="396">
        <f t="shared" si="11"/>
        <v>0</v>
      </c>
      <c r="R35" s="374" t="str">
        <f t="shared" si="12"/>
        <v/>
      </c>
      <c r="S35" s="367"/>
      <c r="T35" s="553"/>
      <c r="U35" s="368"/>
      <c r="V35" s="25"/>
      <c r="W35" s="25"/>
      <c r="X35" s="25"/>
    </row>
    <row r="36" spans="1:24" x14ac:dyDescent="0.25">
      <c r="A36" s="724">
        <v>5177</v>
      </c>
      <c r="B36" s="397" t="s">
        <v>1430</v>
      </c>
      <c r="C36" s="412">
        <v>40990.46</v>
      </c>
      <c r="D36" s="412">
        <v>44116.78</v>
      </c>
      <c r="E36" s="412">
        <v>47581.79</v>
      </c>
      <c r="F36" s="194"/>
      <c r="G36" s="194"/>
      <c r="H36" s="194"/>
      <c r="I36" s="194"/>
      <c r="J36" s="194"/>
      <c r="K36" s="194"/>
      <c r="L36" s="194"/>
      <c r="O36" s="396">
        <f t="shared" si="9"/>
        <v>75000</v>
      </c>
      <c r="P36" s="414">
        <f t="shared" si="10"/>
        <v>78012</v>
      </c>
      <c r="Q36" s="368">
        <f t="shared" si="11"/>
        <v>3012</v>
      </c>
      <c r="R36" s="374">
        <f t="shared" si="12"/>
        <v>4.02E-2</v>
      </c>
      <c r="S36" s="367"/>
      <c r="T36" s="553"/>
      <c r="U36" s="368"/>
      <c r="V36" s="25"/>
      <c r="W36" s="25"/>
      <c r="X36" s="25"/>
    </row>
    <row r="37" spans="1:24" x14ac:dyDescent="0.25">
      <c r="A37" s="703"/>
      <c r="B37" s="4"/>
      <c r="C37" s="23"/>
      <c r="D37" s="23"/>
      <c r="E37" s="23"/>
      <c r="F37" s="23"/>
      <c r="G37" s="23"/>
      <c r="H37" s="194"/>
      <c r="I37" s="194"/>
      <c r="J37" s="194"/>
      <c r="K37" s="194"/>
      <c r="L37" s="194"/>
      <c r="O37" s="23"/>
      <c r="P37" s="23"/>
      <c r="Q37" s="23"/>
      <c r="R37" s="25"/>
      <c r="S37" s="23"/>
      <c r="T37" s="23"/>
      <c r="U37" s="23"/>
      <c r="V37" s="25"/>
      <c r="W37" s="25"/>
      <c r="X37" s="25"/>
    </row>
    <row r="38" spans="1:24" x14ac:dyDescent="0.25">
      <c r="A38" s="703"/>
      <c r="B38" s="4" t="s">
        <v>735</v>
      </c>
      <c r="C38" s="23"/>
      <c r="D38" s="23"/>
      <c r="E38" s="23"/>
      <c r="F38" s="23"/>
      <c r="G38" s="23"/>
      <c r="H38" s="194"/>
      <c r="I38" s="194"/>
      <c r="J38" s="194"/>
      <c r="K38" s="194"/>
      <c r="L38" s="194"/>
      <c r="O38" s="597">
        <f>SUM(O29:O37)</f>
        <v>2490334</v>
      </c>
      <c r="P38" s="597">
        <f>SUM(P29:P37)</f>
        <v>2657083</v>
      </c>
      <c r="Q38" s="25">
        <f>+P38-O38</f>
        <v>166749</v>
      </c>
      <c r="R38" s="598">
        <f>IF(O38+P38&lt;&gt;0,IF(O38&lt;&gt;0,IF(Q38&lt;&gt;0,ROUND((+Q38/O38),4),""),1),"")</f>
        <v>6.7000000000000004E-2</v>
      </c>
      <c r="S38" s="23"/>
      <c r="T38" s="23"/>
      <c r="U38" s="23"/>
      <c r="V38" s="25"/>
      <c r="W38" s="25"/>
      <c r="X38" s="25"/>
    </row>
    <row r="39" spans="1:24" x14ac:dyDescent="0.25">
      <c r="A39" s="703"/>
      <c r="B39" s="4"/>
      <c r="C39" s="23"/>
      <c r="D39" s="23"/>
      <c r="E39" s="23"/>
      <c r="F39" s="23"/>
      <c r="G39" s="23"/>
      <c r="H39" s="23"/>
      <c r="I39" s="23"/>
      <c r="J39" s="23"/>
      <c r="K39" s="23"/>
      <c r="L39" s="23"/>
      <c r="M39" s="23"/>
      <c r="N39" s="23"/>
      <c r="O39" s="23"/>
      <c r="P39" s="23"/>
      <c r="Q39" s="23"/>
      <c r="R39" s="23"/>
      <c r="S39" s="23"/>
      <c r="T39" s="23"/>
      <c r="U39" s="23"/>
      <c r="V39" s="23"/>
      <c r="W39" s="23"/>
      <c r="X39" s="23"/>
    </row>
    <row r="40" spans="1:24" x14ac:dyDescent="0.25">
      <c r="A40" s="703"/>
      <c r="B40" s="4"/>
      <c r="C40" s="23"/>
      <c r="D40" s="23"/>
      <c r="E40" s="23"/>
      <c r="F40" s="23"/>
      <c r="G40" s="23"/>
      <c r="H40" s="23"/>
      <c r="I40" s="23"/>
      <c r="J40" s="23"/>
      <c r="K40" s="23"/>
      <c r="L40" s="23"/>
      <c r="M40" s="23"/>
      <c r="N40" s="23"/>
      <c r="O40" s="23"/>
      <c r="P40" s="23"/>
      <c r="Q40" s="23"/>
      <c r="R40" s="23"/>
      <c r="S40" s="23"/>
      <c r="T40" s="23"/>
      <c r="U40" s="23"/>
      <c r="V40" s="23"/>
      <c r="W40" s="23"/>
      <c r="X40" s="23"/>
    </row>
    <row r="41" spans="1:24" x14ac:dyDescent="0.25">
      <c r="A41" s="703"/>
      <c r="B41" s="4"/>
      <c r="C41" s="23"/>
      <c r="D41" s="23"/>
      <c r="E41" s="23"/>
      <c r="F41" s="23"/>
      <c r="G41" s="23"/>
      <c r="H41" s="23"/>
      <c r="I41" s="23"/>
      <c r="J41" s="23"/>
      <c r="K41" s="23"/>
      <c r="L41" s="23"/>
      <c r="M41" s="23"/>
      <c r="N41" s="23"/>
      <c r="O41" s="23"/>
      <c r="P41" s="23"/>
      <c r="Q41" s="23"/>
      <c r="R41" s="23"/>
      <c r="S41" s="23"/>
      <c r="T41" s="23"/>
      <c r="U41" s="23"/>
      <c r="V41" s="23"/>
      <c r="W41" s="23"/>
      <c r="X41" s="23"/>
    </row>
    <row r="42" spans="1:24"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5">
      <c r="A44" s="703"/>
      <c r="B44" s="4"/>
      <c r="C44" s="23"/>
      <c r="D44" s="23"/>
      <c r="E44" s="23"/>
      <c r="F44" s="23"/>
      <c r="G44" s="23"/>
      <c r="H44" s="23"/>
      <c r="I44" s="23"/>
      <c r="J44" s="23"/>
      <c r="K44" s="23"/>
      <c r="L44" s="23"/>
      <c r="M44" s="23"/>
      <c r="N44" s="23"/>
      <c r="O44" s="23"/>
      <c r="P44" s="23"/>
      <c r="Q44" s="23"/>
      <c r="R44" s="23"/>
      <c r="S44" s="23"/>
      <c r="T44" s="23"/>
      <c r="U44" s="23"/>
      <c r="V44" s="23"/>
      <c r="W44" s="23"/>
      <c r="X44" s="23"/>
    </row>
    <row r="45" spans="1:24" x14ac:dyDescent="0.25">
      <c r="A45" s="703"/>
      <c r="B45" s="4"/>
      <c r="C45" s="23"/>
      <c r="D45" s="23"/>
      <c r="E45" s="23"/>
      <c r="F45" s="23"/>
      <c r="G45" s="23"/>
      <c r="H45" s="23"/>
      <c r="I45" s="23"/>
      <c r="J45" s="23"/>
      <c r="K45" s="23"/>
      <c r="L45" s="23"/>
      <c r="M45" s="23"/>
      <c r="N45" s="23"/>
      <c r="O45" s="23"/>
      <c r="P45" s="23"/>
      <c r="Q45" s="23"/>
      <c r="R45" s="23"/>
      <c r="S45" s="23"/>
      <c r="T45" s="23"/>
      <c r="U45" s="23"/>
      <c r="V45" s="23"/>
      <c r="W45" s="23"/>
      <c r="X45" s="23"/>
    </row>
    <row r="46" spans="1:24" x14ac:dyDescent="0.25">
      <c r="A46" s="703"/>
      <c r="B46" s="4"/>
      <c r="C46" s="194"/>
      <c r="D46" s="194"/>
      <c r="E46" s="194"/>
      <c r="F46" s="194"/>
      <c r="G46" s="194"/>
      <c r="H46" s="194"/>
      <c r="I46" s="194"/>
      <c r="J46" s="194"/>
      <c r="K46" s="194"/>
      <c r="L46" s="194"/>
      <c r="M46" s="194"/>
      <c r="N46" s="194"/>
      <c r="O46" s="194"/>
      <c r="P46" s="194"/>
      <c r="Q46" s="194"/>
    </row>
    <row r="47" spans="1:24" x14ac:dyDescent="0.25">
      <c r="A47" s="703"/>
      <c r="B47" s="4"/>
      <c r="C47" s="23"/>
      <c r="D47" s="23"/>
      <c r="E47" s="23"/>
      <c r="F47" s="23"/>
      <c r="G47" s="23"/>
      <c r="H47" s="23"/>
      <c r="I47" s="23"/>
      <c r="J47" s="23"/>
      <c r="K47" s="23"/>
      <c r="L47" s="23"/>
      <c r="M47" s="23"/>
      <c r="N47" s="23"/>
      <c r="O47" s="23"/>
      <c r="P47" s="23"/>
      <c r="Q47" s="23"/>
      <c r="R47" s="23"/>
      <c r="S47" s="23"/>
      <c r="T47" s="23"/>
      <c r="U47" s="23"/>
      <c r="V47" s="23"/>
      <c r="W47" s="23"/>
      <c r="X47" s="23"/>
    </row>
    <row r="48" spans="1:24" x14ac:dyDescent="0.25">
      <c r="A48" s="703"/>
      <c r="B48" s="4"/>
      <c r="C48" s="23"/>
      <c r="D48" s="23"/>
      <c r="E48" s="23"/>
      <c r="F48" s="23"/>
      <c r="G48" s="23"/>
      <c r="H48" s="23"/>
      <c r="I48" s="23"/>
      <c r="J48" s="23"/>
      <c r="K48" s="23"/>
      <c r="L48" s="23"/>
      <c r="M48" s="23"/>
      <c r="N48" s="23"/>
      <c r="O48" s="23"/>
      <c r="P48" s="23"/>
      <c r="Q48" s="23"/>
      <c r="R48" s="23"/>
      <c r="S48" s="23"/>
      <c r="T48" s="23"/>
      <c r="U48" s="23"/>
      <c r="V48" s="23"/>
      <c r="W48" s="23"/>
      <c r="X48" s="23"/>
    </row>
    <row r="49" spans="1:24" x14ac:dyDescent="0.25">
      <c r="A49" s="703"/>
      <c r="B49" s="4"/>
      <c r="C49" s="23"/>
      <c r="D49" s="23"/>
      <c r="E49" s="23"/>
      <c r="F49" s="23"/>
      <c r="G49" s="23"/>
      <c r="H49" s="23"/>
      <c r="I49" s="23"/>
      <c r="J49" s="23"/>
      <c r="K49" s="23"/>
      <c r="L49" s="23"/>
      <c r="M49" s="23"/>
      <c r="N49" s="23"/>
      <c r="O49" s="23"/>
      <c r="P49" s="23"/>
      <c r="Q49" s="23"/>
      <c r="R49" s="23"/>
      <c r="S49" s="23"/>
      <c r="T49" s="23"/>
      <c r="U49" s="23"/>
      <c r="V49" s="23"/>
      <c r="W49" s="23"/>
      <c r="X49" s="23"/>
    </row>
    <row r="50" spans="1:24" x14ac:dyDescent="0.25">
      <c r="A50" s="703"/>
      <c r="B50" s="4"/>
      <c r="C50" s="23"/>
      <c r="D50" s="23"/>
      <c r="E50" s="23"/>
      <c r="F50" s="23"/>
      <c r="G50" s="23"/>
      <c r="H50" s="23"/>
      <c r="I50" s="23"/>
      <c r="J50" s="23"/>
      <c r="K50" s="23"/>
      <c r="L50" s="23"/>
      <c r="M50" s="23"/>
      <c r="N50" s="23"/>
      <c r="O50" s="23"/>
      <c r="P50" s="23"/>
      <c r="Q50" s="23"/>
      <c r="R50" s="23"/>
      <c r="S50" s="23"/>
      <c r="T50" s="23"/>
      <c r="U50" s="23"/>
      <c r="V50" s="23"/>
      <c r="W50" s="23"/>
      <c r="X50" s="23"/>
    </row>
    <row r="51" spans="1:24" x14ac:dyDescent="0.25">
      <c r="A51" s="703"/>
      <c r="B51" s="4"/>
      <c r="C51" s="23"/>
      <c r="D51" s="23"/>
      <c r="E51" s="23"/>
      <c r="F51" s="23"/>
      <c r="G51" s="23"/>
      <c r="H51" s="23"/>
      <c r="I51" s="23"/>
      <c r="J51" s="23"/>
      <c r="K51" s="23"/>
      <c r="L51" s="23"/>
      <c r="M51" s="23"/>
      <c r="N51" s="23"/>
      <c r="O51" s="23"/>
      <c r="P51" s="23"/>
      <c r="Q51" s="23"/>
      <c r="R51" s="23"/>
      <c r="S51" s="23"/>
      <c r="T51" s="23"/>
      <c r="U51" s="23"/>
      <c r="V51" s="23"/>
      <c r="W51" s="23"/>
      <c r="X51" s="23"/>
    </row>
    <row r="52" spans="1:24" x14ac:dyDescent="0.25">
      <c r="A52" s="703"/>
      <c r="B52" s="4"/>
      <c r="C52" s="23"/>
      <c r="D52" s="23"/>
      <c r="E52" s="23"/>
      <c r="F52" s="23"/>
      <c r="G52" s="23"/>
      <c r="H52" s="23"/>
      <c r="I52" s="23"/>
      <c r="J52" s="23"/>
      <c r="K52" s="23"/>
      <c r="L52" s="23"/>
      <c r="M52" s="23"/>
      <c r="N52" s="23"/>
      <c r="O52" s="23"/>
      <c r="P52" s="23"/>
      <c r="Q52" s="23"/>
      <c r="R52" s="23"/>
      <c r="S52" s="23"/>
      <c r="T52" s="23"/>
      <c r="U52" s="23"/>
      <c r="V52" s="23"/>
      <c r="W52" s="23"/>
      <c r="X52" s="23"/>
    </row>
    <row r="53" spans="1:24" x14ac:dyDescent="0.25">
      <c r="A53" s="703"/>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5">
      <c r="A54" s="703"/>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5">
      <c r="A55" s="703"/>
      <c r="B55" s="4"/>
      <c r="C55" s="23"/>
      <c r="D55" s="23"/>
      <c r="E55" s="23"/>
      <c r="F55" s="23"/>
      <c r="G55" s="23"/>
      <c r="H55" s="23"/>
      <c r="I55" s="23"/>
      <c r="J55" s="23"/>
      <c r="K55" s="23"/>
      <c r="L55" s="23"/>
      <c r="M55" s="23"/>
      <c r="N55" s="23"/>
      <c r="O55" s="23"/>
      <c r="P55" s="23"/>
      <c r="Q55" s="23"/>
      <c r="R55" s="23"/>
      <c r="S55" s="23"/>
      <c r="T55" s="23"/>
      <c r="U55" s="23"/>
      <c r="V55" s="23"/>
      <c r="W55" s="23"/>
      <c r="X55" s="23"/>
    </row>
    <row r="56" spans="1:24" x14ac:dyDescent="0.25">
      <c r="A56" s="703"/>
      <c r="B56" s="4"/>
      <c r="C56" s="23"/>
      <c r="D56" s="23"/>
      <c r="E56" s="23"/>
      <c r="F56" s="23"/>
      <c r="G56" s="23"/>
      <c r="H56" s="23"/>
      <c r="I56" s="23"/>
      <c r="J56" s="23"/>
      <c r="K56" s="23"/>
      <c r="L56" s="23"/>
      <c r="M56" s="23"/>
      <c r="N56" s="23"/>
      <c r="O56" s="23"/>
      <c r="P56" s="23"/>
      <c r="Q56" s="23"/>
      <c r="R56" s="23"/>
      <c r="S56" s="23"/>
      <c r="T56" s="23"/>
      <c r="U56" s="23"/>
      <c r="V56" s="23"/>
      <c r="W56" s="23"/>
      <c r="X56" s="23"/>
    </row>
    <row r="57" spans="1:24" x14ac:dyDescent="0.25">
      <c r="A57" s="703"/>
      <c r="B57" s="4"/>
      <c r="C57" s="194"/>
      <c r="D57" s="194"/>
      <c r="E57" s="194"/>
      <c r="F57" s="194"/>
      <c r="G57" s="194"/>
      <c r="H57" s="194"/>
      <c r="I57" s="194"/>
      <c r="J57" s="194"/>
      <c r="K57" s="194"/>
      <c r="L57" s="194"/>
      <c r="M57" s="194"/>
      <c r="N57" s="194"/>
      <c r="O57" s="194"/>
      <c r="P57" s="194"/>
      <c r="Q57" s="194"/>
    </row>
    <row r="58" spans="1:24" x14ac:dyDescent="0.25">
      <c r="A58" s="703"/>
      <c r="B58" s="4"/>
      <c r="C58" s="23"/>
      <c r="D58" s="23"/>
      <c r="E58" s="23"/>
      <c r="F58" s="23"/>
      <c r="G58" s="23"/>
      <c r="H58" s="23"/>
      <c r="I58" s="23"/>
      <c r="J58" s="23"/>
      <c r="K58" s="23"/>
      <c r="L58" s="23"/>
      <c r="M58" s="23"/>
      <c r="N58" s="23"/>
      <c r="O58" s="23"/>
      <c r="P58" s="23"/>
      <c r="Q58" s="23"/>
      <c r="R58" s="23"/>
      <c r="S58" s="23"/>
      <c r="T58" s="23"/>
      <c r="U58" s="23"/>
      <c r="V58" s="23"/>
      <c r="W58" s="23"/>
      <c r="X58" s="23"/>
    </row>
    <row r="59" spans="1:24" x14ac:dyDescent="0.25">
      <c r="A59" s="703"/>
      <c r="B59" s="4"/>
      <c r="C59" s="23"/>
      <c r="D59" s="23"/>
      <c r="E59" s="23"/>
      <c r="F59" s="23"/>
      <c r="G59" s="23"/>
      <c r="H59" s="23"/>
      <c r="I59" s="23"/>
      <c r="J59" s="23"/>
      <c r="K59" s="23"/>
      <c r="L59" s="23"/>
      <c r="M59" s="23"/>
      <c r="N59" s="23"/>
      <c r="O59" s="23"/>
      <c r="P59" s="23"/>
      <c r="Q59" s="23"/>
      <c r="R59" s="23"/>
      <c r="S59" s="23"/>
      <c r="T59" s="23"/>
      <c r="U59" s="23"/>
      <c r="V59" s="23"/>
      <c r="W59" s="23"/>
      <c r="X59" s="23"/>
    </row>
    <row r="60" spans="1:24" x14ac:dyDescent="0.25">
      <c r="A60" s="703"/>
      <c r="B60" s="4"/>
      <c r="C60" s="23"/>
      <c r="D60" s="23"/>
      <c r="E60" s="23"/>
      <c r="F60" s="23"/>
      <c r="G60" s="23"/>
      <c r="H60" s="23"/>
      <c r="I60" s="23"/>
      <c r="J60" s="23"/>
      <c r="K60" s="23"/>
      <c r="L60" s="23"/>
      <c r="M60" s="23"/>
      <c r="N60" s="23"/>
      <c r="O60" s="23"/>
      <c r="P60" s="23"/>
      <c r="Q60" s="23"/>
      <c r="R60" s="23"/>
      <c r="S60" s="23"/>
      <c r="T60" s="23"/>
      <c r="U60" s="23"/>
      <c r="V60" s="23"/>
      <c r="W60" s="23"/>
      <c r="X60" s="23"/>
    </row>
    <row r="61" spans="1:24" x14ac:dyDescent="0.25">
      <c r="A61" s="703"/>
      <c r="B61" s="4"/>
      <c r="C61" s="23"/>
      <c r="D61" s="23"/>
      <c r="E61" s="23"/>
      <c r="F61" s="23"/>
      <c r="G61" s="23"/>
      <c r="H61" s="23"/>
      <c r="I61" s="23"/>
      <c r="J61" s="23"/>
      <c r="K61" s="23"/>
      <c r="L61" s="23"/>
      <c r="M61" s="23"/>
      <c r="N61" s="23"/>
      <c r="O61" s="23"/>
      <c r="P61" s="23"/>
      <c r="Q61" s="23"/>
      <c r="R61" s="23"/>
      <c r="S61" s="23"/>
      <c r="T61" s="23"/>
      <c r="U61" s="23"/>
      <c r="V61" s="23"/>
      <c r="W61" s="23"/>
      <c r="X61" s="23"/>
    </row>
    <row r="62" spans="1:24" x14ac:dyDescent="0.25">
      <c r="A62" s="703"/>
      <c r="B62" s="4"/>
      <c r="C62" s="23"/>
      <c r="D62" s="23"/>
      <c r="E62" s="23"/>
      <c r="F62" s="23"/>
      <c r="G62" s="23"/>
      <c r="H62" s="23"/>
      <c r="I62" s="23"/>
      <c r="J62" s="23"/>
      <c r="K62" s="23"/>
      <c r="L62" s="23"/>
      <c r="M62" s="23"/>
      <c r="N62" s="23"/>
      <c r="O62" s="23"/>
      <c r="P62" s="23"/>
      <c r="Q62" s="23"/>
      <c r="R62" s="23"/>
      <c r="S62" s="23"/>
      <c r="T62" s="23"/>
      <c r="U62" s="23"/>
      <c r="V62" s="23"/>
      <c r="W62" s="23"/>
      <c r="X62" s="23"/>
    </row>
    <row r="63" spans="1:24" x14ac:dyDescent="0.25">
      <c r="A63" s="703"/>
      <c r="B63" s="4"/>
      <c r="C63" s="23"/>
      <c r="D63" s="23"/>
      <c r="E63" s="23"/>
      <c r="F63" s="23"/>
      <c r="G63" s="23"/>
      <c r="H63" s="23"/>
      <c r="I63" s="23"/>
      <c r="J63" s="23"/>
      <c r="K63" s="23"/>
      <c r="L63" s="23"/>
      <c r="M63" s="23"/>
      <c r="N63" s="23"/>
      <c r="O63" s="23"/>
      <c r="P63" s="23"/>
      <c r="Q63" s="23"/>
      <c r="R63" s="23"/>
      <c r="S63" s="23"/>
      <c r="T63" s="23"/>
      <c r="U63" s="23"/>
      <c r="V63" s="23"/>
      <c r="W63" s="23"/>
      <c r="X63" s="23"/>
    </row>
    <row r="64" spans="1:24" x14ac:dyDescent="0.25">
      <c r="A64" s="703"/>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5">
      <c r="A65" s="703"/>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5">
      <c r="A66" s="703"/>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5">
      <c r="A67" s="703"/>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5">
      <c r="A68" s="703"/>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5">
      <c r="A69" s="703"/>
      <c r="B69" s="4"/>
      <c r="C69" s="23"/>
      <c r="D69" s="23"/>
      <c r="E69" s="23"/>
      <c r="F69" s="23"/>
      <c r="G69" s="23"/>
      <c r="H69" s="23"/>
      <c r="I69" s="23"/>
      <c r="J69" s="23"/>
      <c r="K69" s="23"/>
      <c r="L69" s="23"/>
      <c r="M69" s="23"/>
      <c r="N69" s="23"/>
      <c r="O69" s="23"/>
      <c r="P69" s="23"/>
      <c r="Q69" s="23"/>
      <c r="R69" s="25"/>
      <c r="S69" s="23"/>
      <c r="T69" s="23"/>
      <c r="U69" s="23"/>
      <c r="V69" s="25"/>
      <c r="W69" s="25"/>
      <c r="X69" s="25"/>
    </row>
    <row r="70" spans="1:24" x14ac:dyDescent="0.25">
      <c r="A70" s="703"/>
      <c r="B70" s="4"/>
      <c r="C70" s="23"/>
      <c r="D70" s="23"/>
      <c r="E70" s="23"/>
      <c r="F70" s="23"/>
      <c r="G70" s="23"/>
      <c r="H70" s="23"/>
      <c r="I70" s="23"/>
      <c r="J70" s="23"/>
      <c r="K70" s="23"/>
      <c r="L70" s="23"/>
      <c r="M70" s="23"/>
      <c r="N70" s="23"/>
      <c r="O70" s="23"/>
      <c r="P70" s="23"/>
      <c r="Q70" s="23"/>
      <c r="R70" s="25"/>
      <c r="S70" s="23"/>
      <c r="T70" s="23"/>
      <c r="U70" s="23"/>
      <c r="V70" s="25"/>
      <c r="W70" s="25"/>
      <c r="X70" s="25"/>
    </row>
    <row r="71" spans="1:24" x14ac:dyDescent="0.25">
      <c r="A71" s="703"/>
      <c r="B71" s="4"/>
      <c r="C71" s="23"/>
      <c r="D71" s="23"/>
      <c r="E71" s="23"/>
      <c r="F71" s="23"/>
      <c r="G71" s="23"/>
      <c r="H71" s="23"/>
      <c r="I71" s="23"/>
      <c r="J71" s="23"/>
      <c r="K71" s="23"/>
      <c r="L71" s="23"/>
      <c r="M71" s="23"/>
      <c r="N71" s="23"/>
      <c r="O71" s="23"/>
      <c r="P71" s="23"/>
      <c r="Q71" s="23"/>
      <c r="R71" s="25"/>
      <c r="S71" s="23"/>
      <c r="T71" s="23"/>
      <c r="U71" s="23"/>
      <c r="V71" s="25"/>
      <c r="W71" s="25"/>
      <c r="X71" s="25"/>
    </row>
    <row r="72" spans="1:24" x14ac:dyDescent="0.25">
      <c r="A72" s="703"/>
      <c r="B72" s="4"/>
      <c r="C72" s="23"/>
      <c r="D72" s="23"/>
      <c r="E72" s="23"/>
      <c r="F72" s="23"/>
      <c r="G72" s="23"/>
      <c r="H72" s="23"/>
      <c r="I72" s="23"/>
      <c r="J72" s="23"/>
      <c r="K72" s="23"/>
      <c r="L72" s="23"/>
      <c r="M72" s="23"/>
      <c r="N72" s="23"/>
      <c r="O72" s="23"/>
      <c r="P72" s="23"/>
      <c r="Q72" s="23"/>
      <c r="R72" s="25"/>
      <c r="S72" s="23"/>
      <c r="T72" s="23"/>
      <c r="U72" s="23"/>
      <c r="V72" s="25"/>
      <c r="W72" s="25"/>
      <c r="X72" s="25"/>
    </row>
    <row r="73" spans="1:24" x14ac:dyDescent="0.25">
      <c r="A73" s="703"/>
      <c r="B73" s="4"/>
      <c r="C73" s="23"/>
      <c r="D73" s="23"/>
      <c r="E73" s="23"/>
      <c r="F73" s="23"/>
      <c r="G73" s="23"/>
      <c r="H73" s="23"/>
      <c r="I73" s="23"/>
      <c r="J73" s="23"/>
      <c r="K73" s="23"/>
      <c r="L73" s="23"/>
      <c r="M73" s="23"/>
      <c r="N73" s="23"/>
      <c r="O73" s="23"/>
      <c r="P73" s="23"/>
      <c r="Q73" s="23"/>
      <c r="R73" s="25"/>
      <c r="S73" s="23"/>
      <c r="T73" s="23"/>
      <c r="U73" s="23"/>
      <c r="V73" s="25"/>
      <c r="W73" s="25"/>
      <c r="X73" s="25"/>
    </row>
    <row r="74" spans="1:24"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5">
      <c r="A124" s="703"/>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5">
      <c r="A125" s="703"/>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5">
      <c r="A126" s="703"/>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5">
      <c r="A127" s="703"/>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5">
      <c r="A128" s="703"/>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5">
      <c r="A129" s="703"/>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5">
      <c r="A130" s="703"/>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5">
      <c r="A131" s="703"/>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5">
      <c r="A132" s="703"/>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5">
      <c r="A133" s="703"/>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5">
      <c r="A134" s="703"/>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5">
      <c r="A135" s="703"/>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5">
      <c r="A136" s="703"/>
      <c r="B136" s="4"/>
      <c r="C136" s="23"/>
      <c r="D136" s="23"/>
      <c r="E136" s="23"/>
      <c r="F136" s="23"/>
      <c r="G136" s="23"/>
      <c r="H136" s="23"/>
      <c r="I136" s="23"/>
      <c r="J136" s="23"/>
      <c r="K136" s="23"/>
      <c r="L136" s="23"/>
      <c r="M136" s="23"/>
      <c r="N136" s="23"/>
      <c r="O136" s="23"/>
      <c r="P136" s="23"/>
      <c r="Q136" s="23"/>
      <c r="R136" s="4"/>
      <c r="S136" s="23"/>
      <c r="T136" s="23"/>
      <c r="U136" s="23"/>
      <c r="V136" s="4"/>
      <c r="W136" s="4"/>
      <c r="X136" s="4"/>
    </row>
    <row r="137" spans="1:24" x14ac:dyDescent="0.25">
      <c r="A137" s="703"/>
      <c r="B137" s="4"/>
      <c r="C137" s="23"/>
      <c r="D137" s="23"/>
      <c r="E137" s="23"/>
      <c r="F137" s="23"/>
      <c r="G137" s="23"/>
      <c r="H137" s="23"/>
      <c r="I137" s="23"/>
      <c r="J137" s="23"/>
      <c r="K137" s="23"/>
      <c r="L137" s="23"/>
      <c r="M137" s="23"/>
      <c r="N137" s="23"/>
      <c r="O137" s="23"/>
      <c r="P137" s="23"/>
      <c r="Q137" s="23"/>
      <c r="R137" s="4"/>
      <c r="S137" s="23"/>
      <c r="T137" s="23"/>
      <c r="U137" s="23"/>
      <c r="V137" s="4"/>
      <c r="W137" s="4"/>
      <c r="X137" s="4"/>
    </row>
    <row r="138" spans="1:24" x14ac:dyDescent="0.25">
      <c r="C138" s="194"/>
      <c r="D138" s="194"/>
      <c r="E138" s="194"/>
      <c r="F138" s="194"/>
      <c r="G138" s="194"/>
      <c r="H138" s="194"/>
      <c r="I138" s="194"/>
      <c r="J138" s="194"/>
      <c r="K138" s="194"/>
      <c r="L138" s="194"/>
      <c r="M138" s="194"/>
      <c r="N138" s="194"/>
      <c r="O138" s="194"/>
      <c r="P138" s="194"/>
      <c r="Q138" s="194"/>
    </row>
    <row r="139" spans="1:24" x14ac:dyDescent="0.25">
      <c r="C139" s="194"/>
      <c r="D139" s="194"/>
      <c r="E139" s="194"/>
      <c r="F139" s="194"/>
      <c r="G139" s="194"/>
      <c r="H139" s="194"/>
      <c r="I139" s="194"/>
      <c r="J139" s="194"/>
      <c r="K139" s="194"/>
      <c r="L139" s="194"/>
      <c r="M139" s="194"/>
      <c r="N139" s="194"/>
      <c r="O139" s="194"/>
      <c r="P139" s="194"/>
      <c r="Q139" s="194"/>
    </row>
    <row r="140" spans="1:24" x14ac:dyDescent="0.25">
      <c r="C140" s="194"/>
      <c r="D140" s="194"/>
      <c r="E140" s="194"/>
      <c r="F140" s="194"/>
      <c r="G140" s="194"/>
      <c r="H140" s="194"/>
      <c r="I140" s="194"/>
      <c r="J140" s="194"/>
      <c r="K140" s="194"/>
      <c r="L140" s="194"/>
      <c r="M140" s="194"/>
      <c r="N140" s="194"/>
      <c r="O140" s="194"/>
      <c r="P140" s="194"/>
      <c r="Q140" s="194"/>
    </row>
    <row r="141" spans="1:24" x14ac:dyDescent="0.25">
      <c r="C141" s="194"/>
      <c r="D141" s="194"/>
      <c r="E141" s="194"/>
      <c r="F141" s="194"/>
      <c r="G141" s="194"/>
      <c r="H141" s="194"/>
      <c r="I141" s="194"/>
      <c r="J141" s="194"/>
      <c r="K141" s="194"/>
      <c r="L141" s="194"/>
      <c r="M141" s="194"/>
      <c r="N141" s="194"/>
      <c r="O141" s="194"/>
      <c r="P141" s="194"/>
      <c r="Q141" s="194"/>
    </row>
    <row r="142" spans="1:24" x14ac:dyDescent="0.25">
      <c r="C142" s="194"/>
      <c r="D142" s="194"/>
      <c r="E142" s="194"/>
      <c r="F142" s="194"/>
      <c r="G142" s="194"/>
      <c r="H142" s="194"/>
      <c r="I142" s="194"/>
      <c r="J142" s="194"/>
      <c r="K142" s="194"/>
      <c r="L142" s="194"/>
      <c r="M142" s="194"/>
      <c r="N142" s="194"/>
      <c r="O142" s="194"/>
      <c r="P142" s="194"/>
      <c r="Q142" s="194"/>
    </row>
    <row r="143" spans="1:24" x14ac:dyDescent="0.25">
      <c r="C143" s="194"/>
      <c r="D143" s="194"/>
      <c r="E143" s="194"/>
      <c r="F143" s="194"/>
      <c r="G143" s="194"/>
      <c r="H143" s="194"/>
      <c r="I143" s="194"/>
      <c r="J143" s="194"/>
      <c r="K143" s="194"/>
      <c r="L143" s="194"/>
      <c r="M143" s="194"/>
      <c r="N143" s="194"/>
      <c r="O143" s="194"/>
      <c r="P143" s="194"/>
      <c r="Q143" s="194"/>
    </row>
    <row r="144" spans="1:24" x14ac:dyDescent="0.25">
      <c r="C144" s="194"/>
      <c r="D144" s="194"/>
      <c r="E144" s="194"/>
      <c r="F144" s="194"/>
      <c r="G144" s="194"/>
      <c r="H144" s="194"/>
      <c r="I144" s="194"/>
      <c r="J144" s="194"/>
      <c r="K144" s="194"/>
      <c r="L144" s="194"/>
      <c r="M144" s="194"/>
      <c r="N144" s="194"/>
      <c r="O144" s="194"/>
      <c r="P144" s="194"/>
      <c r="Q144" s="194"/>
    </row>
    <row r="145" spans="3:17" x14ac:dyDescent="0.25">
      <c r="C145" s="194"/>
      <c r="D145" s="194"/>
      <c r="E145" s="194"/>
      <c r="F145" s="194"/>
      <c r="G145" s="194"/>
      <c r="H145" s="194"/>
      <c r="I145" s="194"/>
      <c r="J145" s="194"/>
      <c r="K145" s="194"/>
      <c r="L145" s="194"/>
      <c r="M145" s="194"/>
      <c r="N145" s="194"/>
      <c r="O145" s="194"/>
      <c r="P145" s="194"/>
      <c r="Q145" s="194"/>
    </row>
    <row r="146" spans="3:17" x14ac:dyDescent="0.25">
      <c r="C146" s="194"/>
      <c r="D146" s="194"/>
      <c r="E146" s="194"/>
      <c r="F146" s="194"/>
      <c r="G146" s="194"/>
      <c r="H146" s="194"/>
      <c r="I146" s="194"/>
      <c r="J146" s="194"/>
      <c r="K146" s="194"/>
      <c r="L146" s="194"/>
      <c r="M146" s="194"/>
      <c r="N146" s="194"/>
      <c r="O146" s="194"/>
      <c r="P146" s="194"/>
      <c r="Q146" s="194"/>
    </row>
    <row r="147" spans="3:17" x14ac:dyDescent="0.25">
      <c r="C147" s="194"/>
    </row>
    <row r="148" spans="3:17" x14ac:dyDescent="0.25">
      <c r="C148" s="194"/>
    </row>
    <row r="149" spans="3:17" x14ac:dyDescent="0.25">
      <c r="C149" s="194"/>
    </row>
    <row r="150" spans="3:17" x14ac:dyDescent="0.25">
      <c r="C150" s="194"/>
    </row>
    <row r="151" spans="3:17" x14ac:dyDescent="0.25">
      <c r="C151" s="194"/>
    </row>
    <row r="152" spans="3:17" x14ac:dyDescent="0.25">
      <c r="C152" s="194"/>
    </row>
    <row r="153" spans="3:17" x14ac:dyDescent="0.25">
      <c r="C153" s="194"/>
    </row>
    <row r="154" spans="3:17" x14ac:dyDescent="0.25">
      <c r="C154" s="194"/>
    </row>
    <row r="155" spans="3:17" x14ac:dyDescent="0.25">
      <c r="C155" s="194"/>
    </row>
    <row r="156" spans="3:17" x14ac:dyDescent="0.25">
      <c r="C156" s="194"/>
    </row>
    <row r="157" spans="3:17" x14ac:dyDescent="0.25">
      <c r="C157" s="194"/>
    </row>
    <row r="158" spans="3:17" x14ac:dyDescent="0.25">
      <c r="C158" s="194"/>
    </row>
    <row r="159" spans="3:17" x14ac:dyDescent="0.25">
      <c r="C159" s="194"/>
    </row>
    <row r="160" spans="3:17"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sheetData>
  <phoneticPr fontId="0" type="noConversion"/>
  <hyperlinks>
    <hyperlink ref="A1" location="'Working Budget with funding det'!A1" display="Main " xr:uid="{00000000-0004-0000-3300-000000000000}"/>
    <hyperlink ref="B1" location="'Table of Contents'!A1" display="TOC" xr:uid="{00000000-0004-0000-3300-000001000000}"/>
  </hyperlinks>
  <pageMargins left="0.75" right="0.75" top="1" bottom="1" header="0.5" footer="0.5"/>
  <pageSetup scale="83" fitToHeight="2" orientation="landscape" horizontalDpi="300" verticalDpi="300" r:id="rId1"/>
  <headerFooter alignWithMargins="0">
    <oddFooter>&amp;L&amp;D     &amp;T&amp;C&amp;F&amp;R&amp;A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50"/>
    <pageSetUpPr fitToPage="1"/>
  </sheetPr>
  <dimension ref="A1:Y186"/>
  <sheetViews>
    <sheetView topLeftCell="B4" workbookViewId="0">
      <selection activeCell="R19" sqref="R19"/>
    </sheetView>
  </sheetViews>
  <sheetFormatPr defaultRowHeight="13.2" x14ac:dyDescent="0.25"/>
  <cols>
    <col min="1" max="1" width="9.44140625" style="712" bestFit="1"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1422</v>
      </c>
      <c r="B2" s="43"/>
      <c r="D2" s="194"/>
      <c r="E2" s="125"/>
      <c r="F2" s="194"/>
      <c r="G2" s="194"/>
      <c r="H2" s="194"/>
      <c r="I2" s="125" t="s">
        <v>706</v>
      </c>
      <c r="J2" s="125"/>
      <c r="K2" s="125"/>
      <c r="L2" s="125"/>
      <c r="M2" s="125"/>
      <c r="N2" s="125"/>
      <c r="O2" s="125"/>
      <c r="P2" s="125"/>
      <c r="Q2" s="125"/>
      <c r="R2" s="58" t="s">
        <v>1433</v>
      </c>
      <c r="U2" s="44" t="s">
        <v>1434</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82"/>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9"/>
      <c r="J8" s="19"/>
      <c r="K8" s="19"/>
      <c r="L8" s="19"/>
      <c r="M8" s="19"/>
      <c r="N8" s="19"/>
      <c r="O8" s="19"/>
      <c r="P8" s="19"/>
      <c r="Q8" s="19"/>
      <c r="R8" s="18"/>
      <c r="S8" s="19"/>
      <c r="T8" s="19"/>
      <c r="U8" s="19"/>
    </row>
    <row r="9" spans="1:24" x14ac:dyDescent="0.25">
      <c r="A9" s="725">
        <v>5740</v>
      </c>
      <c r="B9" s="101" t="s">
        <v>1435</v>
      </c>
      <c r="C9" s="117"/>
      <c r="D9" s="18">
        <v>0</v>
      </c>
      <c r="E9" s="18">
        <v>-3549.82</v>
      </c>
      <c r="F9" s="18">
        <v>84898.93</v>
      </c>
      <c r="G9" s="18">
        <v>87959.99</v>
      </c>
      <c r="H9" s="18">
        <v>95065.72</v>
      </c>
      <c r="I9" s="18">
        <v>85911.72</v>
      </c>
      <c r="J9" s="18">
        <v>92318.19</v>
      </c>
      <c r="K9" s="19">
        <v>96000</v>
      </c>
      <c r="L9" s="18">
        <v>108176.48</v>
      </c>
      <c r="M9" s="19">
        <v>115000</v>
      </c>
      <c r="N9" s="18">
        <v>104258.71</v>
      </c>
      <c r="O9" s="19">
        <v>119600</v>
      </c>
      <c r="P9" s="18">
        <v>105911.64</v>
      </c>
      <c r="Q9" s="19">
        <v>119600</v>
      </c>
      <c r="R9" s="13">
        <v>98034.85</v>
      </c>
      <c r="S9" s="19">
        <v>119600</v>
      </c>
      <c r="T9" s="19"/>
      <c r="U9" s="19"/>
    </row>
    <row r="10" spans="1:24" hidden="1" x14ac:dyDescent="0.25">
      <c r="A10" s="708">
        <v>5741</v>
      </c>
      <c r="B10" s="60" t="s">
        <v>1436</v>
      </c>
      <c r="C10" s="115">
        <v>21364.2</v>
      </c>
      <c r="D10" s="13">
        <v>15982.01</v>
      </c>
      <c r="E10" s="13">
        <v>42461.2</v>
      </c>
      <c r="F10" s="13"/>
      <c r="G10" s="13"/>
      <c r="H10" s="13"/>
      <c r="I10" s="13"/>
      <c r="J10" s="13"/>
      <c r="K10" s="14"/>
      <c r="L10" s="13"/>
      <c r="M10" s="14"/>
      <c r="N10" s="13"/>
      <c r="O10" s="14"/>
      <c r="P10" s="13"/>
      <c r="Q10" s="14"/>
      <c r="R10" s="13"/>
      <c r="S10" s="14"/>
      <c r="T10" s="14"/>
      <c r="U10" s="14"/>
    </row>
    <row r="11" spans="1:24" hidden="1" x14ac:dyDescent="0.25">
      <c r="A11" s="708">
        <v>5742</v>
      </c>
      <c r="B11" s="60" t="s">
        <v>1437</v>
      </c>
      <c r="C11" s="115">
        <v>17605.150000000001</v>
      </c>
      <c r="D11" s="13">
        <v>18724.45</v>
      </c>
      <c r="E11" s="13">
        <v>20577.13</v>
      </c>
      <c r="F11" s="13"/>
      <c r="G11" s="13"/>
      <c r="H11" s="13"/>
      <c r="I11" s="13"/>
      <c r="J11" s="13"/>
      <c r="K11" s="14"/>
      <c r="L11" s="13"/>
      <c r="M11" s="14"/>
      <c r="N11" s="13"/>
      <c r="O11" s="14"/>
      <c r="P11" s="13"/>
      <c r="Q11" s="14"/>
      <c r="R11" s="13"/>
      <c r="S11" s="14"/>
      <c r="T11" s="14"/>
      <c r="U11" s="14"/>
    </row>
    <row r="12" spans="1:24" hidden="1" x14ac:dyDescent="0.25">
      <c r="A12" s="708">
        <v>5743</v>
      </c>
      <c r="B12" s="60" t="s">
        <v>1438</v>
      </c>
      <c r="C12" s="115">
        <v>1000.35</v>
      </c>
      <c r="D12" s="13">
        <v>1005.96</v>
      </c>
      <c r="E12" s="13">
        <v>1030.95</v>
      </c>
      <c r="F12" s="13"/>
      <c r="G12" s="13"/>
      <c r="H12" s="13"/>
      <c r="I12" s="13"/>
      <c r="J12" s="13"/>
      <c r="K12" s="14"/>
      <c r="L12" s="13"/>
      <c r="M12" s="14"/>
      <c r="N12" s="13"/>
      <c r="O12" s="14"/>
      <c r="P12" s="13"/>
      <c r="Q12" s="14"/>
      <c r="R12" s="13"/>
      <c r="S12" s="14"/>
      <c r="T12" s="14"/>
      <c r="U12" s="14"/>
    </row>
    <row r="13" spans="1:24" hidden="1" x14ac:dyDescent="0.25">
      <c r="A13" s="708">
        <v>5744</v>
      </c>
      <c r="B13" s="60" t="s">
        <v>1439</v>
      </c>
      <c r="C13" s="115"/>
      <c r="D13" s="13">
        <v>12333.31</v>
      </c>
      <c r="E13" s="13"/>
      <c r="F13" s="13"/>
      <c r="G13" s="13"/>
      <c r="H13" s="13"/>
      <c r="I13" s="13"/>
      <c r="J13" s="13"/>
      <c r="K13" s="14"/>
      <c r="L13" s="13"/>
      <c r="M13" s="14"/>
      <c r="N13" s="13"/>
      <c r="O13" s="14"/>
      <c r="P13" s="13"/>
      <c r="Q13" s="14"/>
      <c r="R13" s="13"/>
      <c r="S13" s="14"/>
      <c r="T13" s="14"/>
      <c r="U13" s="14"/>
    </row>
    <row r="14" spans="1:24" hidden="1" x14ac:dyDescent="0.25">
      <c r="A14" s="708">
        <v>5745</v>
      </c>
      <c r="B14" s="60" t="s">
        <v>1440</v>
      </c>
      <c r="C14" s="115">
        <v>10976.55</v>
      </c>
      <c r="D14" s="13">
        <v>15601.73</v>
      </c>
      <c r="E14" s="13">
        <v>9612.56</v>
      </c>
      <c r="F14" s="13"/>
      <c r="G14" s="13"/>
      <c r="H14" s="13"/>
      <c r="I14" s="13"/>
      <c r="J14" s="13"/>
      <c r="K14" s="14"/>
      <c r="L14" s="13"/>
      <c r="M14" s="14"/>
      <c r="N14" s="13"/>
      <c r="O14" s="14"/>
      <c r="P14" s="13"/>
      <c r="Q14" s="14"/>
      <c r="R14" s="13"/>
      <c r="S14" s="14"/>
      <c r="T14" s="14"/>
      <c r="U14" s="14"/>
    </row>
    <row r="15" spans="1:24" hidden="1" x14ac:dyDescent="0.25">
      <c r="A15" s="708">
        <v>5746</v>
      </c>
      <c r="B15" s="60" t="s">
        <v>1441</v>
      </c>
      <c r="C15" s="115">
        <v>10922.15</v>
      </c>
      <c r="D15" s="13">
        <v>10661.36</v>
      </c>
      <c r="E15" s="13">
        <v>13409.88</v>
      </c>
      <c r="F15" s="13"/>
      <c r="G15" s="13"/>
      <c r="H15" s="13"/>
      <c r="I15" s="13"/>
      <c r="J15" s="13"/>
      <c r="K15" s="14"/>
      <c r="L15" s="13"/>
      <c r="M15" s="14"/>
      <c r="N15" s="13"/>
      <c r="O15" s="14"/>
      <c r="P15" s="13"/>
      <c r="Q15" s="14"/>
      <c r="R15" s="13"/>
      <c r="S15" s="14"/>
      <c r="T15" s="14"/>
      <c r="U15" s="14"/>
    </row>
    <row r="16" spans="1:24" hidden="1" x14ac:dyDescent="0.25">
      <c r="A16" s="708">
        <v>5747</v>
      </c>
      <c r="B16" s="60" t="s">
        <v>1442</v>
      </c>
      <c r="C16" s="115">
        <v>1718.45</v>
      </c>
      <c r="D16" s="35">
        <v>1651.46</v>
      </c>
      <c r="E16" s="35">
        <v>1930</v>
      </c>
      <c r="F16" s="35"/>
      <c r="G16" s="35"/>
      <c r="H16" s="35"/>
      <c r="I16" s="35"/>
      <c r="J16" s="35"/>
      <c r="K16" s="36"/>
      <c r="L16" s="35"/>
      <c r="M16" s="36"/>
      <c r="N16" s="35"/>
      <c r="O16" s="36"/>
      <c r="P16" s="35"/>
      <c r="Q16" s="36"/>
      <c r="R16" s="35"/>
      <c r="S16" s="36"/>
      <c r="T16" s="36"/>
      <c r="U16" s="36"/>
    </row>
    <row r="17" spans="1:24" hidden="1" x14ac:dyDescent="0.25">
      <c r="A17" s="708">
        <v>5748</v>
      </c>
      <c r="B17" s="60" t="s">
        <v>1443</v>
      </c>
      <c r="C17" s="115"/>
      <c r="D17" s="35"/>
      <c r="E17" s="35"/>
      <c r="F17" s="35"/>
      <c r="G17" s="35"/>
      <c r="H17" s="35"/>
      <c r="I17" s="35"/>
      <c r="J17" s="35"/>
      <c r="K17" s="36"/>
      <c r="L17" s="35"/>
      <c r="M17" s="36"/>
      <c r="N17" s="35"/>
      <c r="O17" s="36"/>
      <c r="P17" s="35"/>
      <c r="Q17" s="36"/>
      <c r="R17" s="35"/>
      <c r="S17" s="36"/>
      <c r="T17" s="36"/>
      <c r="U17" s="36"/>
    </row>
    <row r="18" spans="1:24" hidden="1" x14ac:dyDescent="0.25">
      <c r="A18" s="708">
        <v>5749</v>
      </c>
      <c r="B18" s="60" t="s">
        <v>1444</v>
      </c>
      <c r="C18" s="115"/>
      <c r="D18" s="35">
        <v>5954.75</v>
      </c>
      <c r="E18" s="35">
        <v>5329.71</v>
      </c>
      <c r="F18" s="35"/>
      <c r="G18" s="35"/>
      <c r="H18" s="35"/>
      <c r="I18" s="35"/>
      <c r="J18" s="35"/>
      <c r="K18" s="36"/>
      <c r="L18" s="35"/>
      <c r="M18" s="36"/>
      <c r="N18" s="35"/>
      <c r="O18" s="36"/>
      <c r="P18" s="35"/>
      <c r="Q18" s="36"/>
      <c r="R18" s="35"/>
      <c r="S18" s="36"/>
      <c r="T18" s="36"/>
      <c r="U18" s="36"/>
    </row>
    <row r="19" spans="1:24" x14ac:dyDescent="0.25">
      <c r="A19" s="708"/>
      <c r="B19" s="12" t="s">
        <v>1932</v>
      </c>
      <c r="C19" s="572"/>
      <c r="D19" s="35"/>
      <c r="E19" s="35"/>
      <c r="F19" s="35"/>
      <c r="G19" s="35"/>
      <c r="H19" s="35"/>
      <c r="I19" s="35"/>
      <c r="J19" s="35"/>
      <c r="K19" s="36"/>
      <c r="L19" s="35"/>
      <c r="M19" s="36"/>
      <c r="N19" s="35"/>
      <c r="O19" s="36"/>
      <c r="P19" s="35"/>
      <c r="Q19" s="36">
        <v>1000</v>
      </c>
      <c r="R19" s="35"/>
      <c r="S19" s="36"/>
      <c r="T19" s="36"/>
      <c r="U19" s="36"/>
    </row>
    <row r="20" spans="1:24" ht="13.8" thickBot="1" x14ac:dyDescent="0.3">
      <c r="A20" s="734"/>
      <c r="B20" s="17"/>
      <c r="C20" s="37"/>
      <c r="D20" s="15"/>
      <c r="E20" s="15"/>
      <c r="F20" s="15"/>
      <c r="G20" s="15"/>
      <c r="H20" s="15"/>
      <c r="I20" s="15"/>
      <c r="J20" s="15"/>
      <c r="K20" s="16"/>
      <c r="L20" s="15"/>
      <c r="M20" s="16"/>
      <c r="N20" s="15"/>
      <c r="O20" s="16"/>
      <c r="P20" s="15"/>
      <c r="Q20" s="16"/>
      <c r="R20" s="15"/>
      <c r="S20" s="16"/>
      <c r="T20" s="16"/>
      <c r="U20" s="16"/>
    </row>
    <row r="21" spans="1:24" x14ac:dyDescent="0.25">
      <c r="A21" s="708"/>
      <c r="B21" s="17" t="s">
        <v>728</v>
      </c>
      <c r="C21" s="18">
        <f t="shared" ref="C21:S21" si="0">SUM(C9:C20)</f>
        <v>63586.85</v>
      </c>
      <c r="D21" s="18">
        <f t="shared" si="0"/>
        <v>81915.03</v>
      </c>
      <c r="E21" s="18">
        <f t="shared" si="0"/>
        <v>90801.61</v>
      </c>
      <c r="F21" s="18">
        <f>SUM(F9:F20)</f>
        <v>84898.93</v>
      </c>
      <c r="G21" s="18">
        <f>SUM(G9:G20)</f>
        <v>87959.99</v>
      </c>
      <c r="H21" s="18">
        <f>SUM(H9:H20)</f>
        <v>95065.72</v>
      </c>
      <c r="I21" s="18">
        <f t="shared" si="0"/>
        <v>85911.72</v>
      </c>
      <c r="J21" s="18">
        <f t="shared" ref="J21" si="1">SUM(J9:J20)</f>
        <v>92318.19</v>
      </c>
      <c r="K21" s="34">
        <f t="shared" ref="K21:O21" si="2">SUM(K9:K20)</f>
        <v>96000</v>
      </c>
      <c r="L21" s="18">
        <f t="shared" si="2"/>
        <v>108176.48</v>
      </c>
      <c r="M21" s="34">
        <f t="shared" si="2"/>
        <v>115000</v>
      </c>
      <c r="N21" s="18">
        <f t="shared" ref="N21" si="3">SUM(N9:N20)</f>
        <v>104258.71</v>
      </c>
      <c r="O21" s="34">
        <f t="shared" si="2"/>
        <v>119600</v>
      </c>
      <c r="P21" s="18">
        <f t="shared" ref="P21" si="4">SUM(P9:P20)</f>
        <v>105911.64</v>
      </c>
      <c r="Q21" s="34">
        <f t="shared" ref="Q21" si="5">SUM(Q9:Q20)</f>
        <v>120600</v>
      </c>
      <c r="R21" s="18">
        <f t="shared" si="0"/>
        <v>98034.85</v>
      </c>
      <c r="S21" s="34">
        <f t="shared" si="0"/>
        <v>119600</v>
      </c>
      <c r="T21" s="34">
        <f>+S21</f>
        <v>119600</v>
      </c>
      <c r="U21" s="34">
        <f>+S21</f>
        <v>119600</v>
      </c>
    </row>
    <row r="22" spans="1:24" x14ac:dyDescent="0.25">
      <c r="A22" s="708"/>
      <c r="B22" s="12"/>
      <c r="C22" s="13"/>
      <c r="D22" s="13"/>
      <c r="E22" s="13"/>
      <c r="F22" s="13"/>
      <c r="G22" s="13"/>
      <c r="H22" s="13"/>
      <c r="I22" s="13"/>
      <c r="J22" s="13"/>
      <c r="K22" s="14"/>
      <c r="L22" s="13"/>
      <c r="M22" s="14"/>
      <c r="N22" s="13"/>
      <c r="O22" s="14"/>
      <c r="P22" s="13"/>
      <c r="Q22" s="14"/>
      <c r="R22" s="13"/>
      <c r="S22" s="14"/>
      <c r="T22" s="14"/>
      <c r="U22" s="14"/>
    </row>
    <row r="23" spans="1:24" ht="13.8" thickBot="1" x14ac:dyDescent="0.3">
      <c r="A23" s="709"/>
      <c r="B23" s="20" t="s">
        <v>1445</v>
      </c>
      <c r="C23" s="21">
        <f t="shared" ref="C23:S23" si="6">+C21</f>
        <v>63586.85</v>
      </c>
      <c r="D23" s="21">
        <f t="shared" si="6"/>
        <v>81915.03</v>
      </c>
      <c r="E23" s="21">
        <f>+E21</f>
        <v>90801.61</v>
      </c>
      <c r="F23" s="21">
        <f>+F21</f>
        <v>84898.93</v>
      </c>
      <c r="G23" s="21">
        <f>+G21</f>
        <v>87959.99</v>
      </c>
      <c r="H23" s="21">
        <f>+H21</f>
        <v>95065.72</v>
      </c>
      <c r="I23" s="21">
        <f t="shared" si="6"/>
        <v>85911.72</v>
      </c>
      <c r="J23" s="21">
        <f t="shared" ref="J23" si="7">+J21</f>
        <v>92318.19</v>
      </c>
      <c r="K23" s="22">
        <f t="shared" ref="K23:O23" si="8">+K21</f>
        <v>96000</v>
      </c>
      <c r="L23" s="21">
        <f t="shared" si="8"/>
        <v>108176.48</v>
      </c>
      <c r="M23" s="22">
        <f t="shared" si="8"/>
        <v>115000</v>
      </c>
      <c r="N23" s="21">
        <f t="shared" ref="N23" si="9">+N21</f>
        <v>104258.71</v>
      </c>
      <c r="O23" s="22">
        <f t="shared" si="8"/>
        <v>119600</v>
      </c>
      <c r="P23" s="21">
        <f t="shared" ref="P23" si="10">+P21</f>
        <v>105911.64</v>
      </c>
      <c r="Q23" s="22">
        <f t="shared" ref="Q23" si="11">+Q21</f>
        <v>120600</v>
      </c>
      <c r="R23" s="21">
        <f t="shared" si="6"/>
        <v>98034.85</v>
      </c>
      <c r="S23" s="22">
        <f t="shared" si="6"/>
        <v>119600</v>
      </c>
      <c r="T23" s="22">
        <f>+S23</f>
        <v>119600</v>
      </c>
      <c r="U23" s="22">
        <f>+S23</f>
        <v>119600</v>
      </c>
    </row>
    <row r="24" spans="1:24" ht="13.8" thickTop="1" x14ac:dyDescent="0.25">
      <c r="A24" s="703"/>
      <c r="B24" s="4"/>
      <c r="C24" s="24"/>
      <c r="D24" s="24"/>
      <c r="E24" s="24"/>
      <c r="F24" s="24"/>
      <c r="G24" s="24"/>
      <c r="H24" s="24"/>
      <c r="I24" s="24"/>
      <c r="J24" s="24"/>
      <c r="K24" s="24"/>
      <c r="L24" s="24"/>
      <c r="M24" s="24"/>
      <c r="N24" s="24"/>
      <c r="O24" s="24"/>
      <c r="P24" s="24"/>
      <c r="Q24" s="24"/>
      <c r="R24" s="181" t="s">
        <v>732</v>
      </c>
      <c r="S24" s="1001">
        <f>+S23-Q23</f>
        <v>-1000</v>
      </c>
      <c r="T24" s="1002">
        <f>ROUND((+S24/Q23),4)</f>
        <v>-8.3000000000000001E-3</v>
      </c>
      <c r="U24" s="25"/>
      <c r="W24" s="25"/>
      <c r="X24" s="25"/>
    </row>
    <row r="25" spans="1:24" x14ac:dyDescent="0.25">
      <c r="A25" s="54">
        <v>44207</v>
      </c>
      <c r="B25" s="4"/>
      <c r="C25" s="23"/>
      <c r="D25" s="23"/>
      <c r="E25" s="23"/>
      <c r="F25" s="23"/>
      <c r="G25" s="23"/>
      <c r="H25" s="23"/>
      <c r="I25" s="23"/>
      <c r="J25" s="23"/>
      <c r="K25" s="23"/>
      <c r="L25" s="23"/>
      <c r="M25" s="23"/>
      <c r="N25" s="23"/>
      <c r="O25" s="23"/>
      <c r="P25" s="23"/>
      <c r="Q25" s="23"/>
      <c r="R25" s="25"/>
      <c r="S25" s="23"/>
      <c r="T25" s="23"/>
      <c r="U25" s="25"/>
      <c r="V25" s="25"/>
      <c r="W25" s="25"/>
      <c r="X25" s="25"/>
    </row>
    <row r="26" spans="1:24" x14ac:dyDescent="0.25">
      <c r="A26" s="54">
        <v>44259</v>
      </c>
      <c r="B26" s="4"/>
      <c r="C26" s="23"/>
      <c r="D26" s="23"/>
      <c r="E26" s="23"/>
      <c r="F26" s="23"/>
      <c r="G26" s="23"/>
      <c r="H26" s="23"/>
      <c r="I26" s="23"/>
      <c r="J26" s="23"/>
      <c r="K26" s="23"/>
      <c r="L26" s="23"/>
      <c r="M26" s="23"/>
      <c r="N26" s="23"/>
      <c r="O26" s="23"/>
      <c r="P26" s="23"/>
      <c r="Q26" s="23"/>
      <c r="R26" s="25"/>
      <c r="S26" s="23"/>
      <c r="T26" s="23"/>
      <c r="U26" s="25"/>
      <c r="V26" s="25"/>
      <c r="W26" s="25"/>
      <c r="X26" s="25"/>
    </row>
    <row r="27" spans="1:24" ht="13.8" thickBot="1" x14ac:dyDescent="0.3">
      <c r="A27" s="703"/>
      <c r="B27" s="4"/>
      <c r="C27" s="24"/>
      <c r="D27" s="24"/>
      <c r="E27" s="24"/>
      <c r="F27" s="24"/>
      <c r="G27" s="24"/>
      <c r="H27" s="24"/>
      <c r="I27" s="24"/>
      <c r="J27" s="24"/>
      <c r="K27" s="24"/>
      <c r="L27" s="24"/>
      <c r="M27" s="24"/>
      <c r="N27" s="24"/>
      <c r="O27" s="24"/>
      <c r="P27" s="24"/>
      <c r="Q27" s="24"/>
      <c r="R27" s="25"/>
      <c r="S27" s="24"/>
      <c r="T27" s="24"/>
      <c r="U27" s="24"/>
      <c r="V27" s="25"/>
      <c r="W27" s="25"/>
      <c r="X27" s="25"/>
    </row>
    <row r="28" spans="1:24" ht="13.8" thickTop="1" x14ac:dyDescent="0.25">
      <c r="A28" s="718"/>
      <c r="B28" s="585"/>
      <c r="C28" s="350" t="s">
        <v>256</v>
      </c>
      <c r="D28" s="351" t="s">
        <v>256</v>
      </c>
      <c r="E28" s="351" t="s">
        <v>256</v>
      </c>
      <c r="F28" s="194"/>
      <c r="G28" s="194"/>
      <c r="H28" s="194"/>
      <c r="I28" s="194"/>
      <c r="J28" s="352" t="s">
        <v>255</v>
      </c>
      <c r="K28" s="194"/>
      <c r="L28" s="194"/>
      <c r="O28" s="351" t="s">
        <v>716</v>
      </c>
      <c r="P28" s="353" t="s">
        <v>716</v>
      </c>
      <c r="Q28" s="354" t="s">
        <v>730</v>
      </c>
      <c r="R28" s="353" t="s">
        <v>731</v>
      </c>
      <c r="S28" s="355"/>
      <c r="T28" s="550"/>
      <c r="U28" s="354"/>
      <c r="V28" s="25"/>
      <c r="W28" s="25"/>
      <c r="X28" s="25"/>
    </row>
    <row r="29" spans="1:24" ht="13.8" thickBot="1" x14ac:dyDescent="0.3">
      <c r="A29" s="719" t="s">
        <v>715</v>
      </c>
      <c r="B29" s="356"/>
      <c r="C29" s="403" t="s">
        <v>243</v>
      </c>
      <c r="D29" s="403" t="s">
        <v>244</v>
      </c>
      <c r="E29" s="359" t="s">
        <v>245</v>
      </c>
      <c r="F29" s="194"/>
      <c r="G29" s="194"/>
      <c r="H29" s="194"/>
      <c r="I29" s="194"/>
      <c r="J29" s="359" t="s">
        <v>252</v>
      </c>
      <c r="K29" s="194"/>
      <c r="L29" s="194"/>
      <c r="O29" s="358" t="s">
        <v>469</v>
      </c>
      <c r="P29" s="359" t="s">
        <v>1345</v>
      </c>
      <c r="Q29" s="360" t="s">
        <v>732</v>
      </c>
      <c r="R29" s="360" t="s">
        <v>732</v>
      </c>
      <c r="S29" s="361" t="s">
        <v>733</v>
      </c>
      <c r="T29" s="551"/>
      <c r="U29" s="359"/>
      <c r="V29" s="25"/>
      <c r="W29" s="25"/>
      <c r="X29" s="25"/>
    </row>
    <row r="30" spans="1:24" ht="13.8" thickTop="1" x14ac:dyDescent="0.25">
      <c r="A30" s="726"/>
      <c r="B30" s="376"/>
      <c r="C30" s="365"/>
      <c r="D30" s="365"/>
      <c r="E30" s="365"/>
      <c r="F30" s="194"/>
      <c r="G30" s="194"/>
      <c r="H30" s="194"/>
      <c r="I30" s="194"/>
      <c r="J30" s="365"/>
      <c r="K30" s="194"/>
      <c r="L30" s="194"/>
      <c r="O30" s="365"/>
      <c r="P30" s="366"/>
      <c r="Q30" s="366"/>
      <c r="R30" s="365"/>
      <c r="S30" s="395"/>
      <c r="T30" s="395"/>
      <c r="U30" s="395"/>
      <c r="V30" s="25"/>
      <c r="W30" s="25"/>
      <c r="X30" s="25"/>
    </row>
    <row r="31" spans="1:24" x14ac:dyDescent="0.25">
      <c r="A31" s="726">
        <v>5740</v>
      </c>
      <c r="B31" s="376" t="s">
        <v>1435</v>
      </c>
      <c r="C31" s="365"/>
      <c r="D31" s="365">
        <v>0</v>
      </c>
      <c r="E31" s="365">
        <v>-3549.82</v>
      </c>
      <c r="F31" s="194"/>
      <c r="G31" s="194"/>
      <c r="H31" s="194"/>
      <c r="I31" s="194"/>
      <c r="J31" s="599">
        <f>+O9</f>
        <v>119600</v>
      </c>
      <c r="K31" s="194"/>
      <c r="L31" s="194"/>
      <c r="O31" s="392">
        <f>+Q9</f>
        <v>119600</v>
      </c>
      <c r="P31" s="366">
        <f>+S9</f>
        <v>119600</v>
      </c>
      <c r="Q31" s="396">
        <f>+P31-O31</f>
        <v>0</v>
      </c>
      <c r="R31" s="374" t="str">
        <f>IF(O31+P31&lt;&gt;0,IF(O31&lt;&gt;0,IF(Q31&lt;&gt;0,ROUND((+Q31/O31),4),""),1),"")</f>
        <v/>
      </c>
      <c r="S31" s="367" t="s">
        <v>2396</v>
      </c>
      <c r="T31" s="553"/>
      <c r="U31" s="368"/>
      <c r="V31" s="25"/>
      <c r="W31" s="25"/>
      <c r="X31" s="25"/>
    </row>
    <row r="32" spans="1:24" x14ac:dyDescent="0.25">
      <c r="A32" s="703"/>
      <c r="B32" s="369" t="s">
        <v>1932</v>
      </c>
      <c r="C32" s="365"/>
      <c r="D32" s="365">
        <v>0</v>
      </c>
      <c r="E32" s="365">
        <v>-3549.82</v>
      </c>
      <c r="F32" s="194"/>
      <c r="G32" s="194"/>
      <c r="H32" s="194"/>
      <c r="I32" s="194"/>
      <c r="J32" s="599">
        <f>+O10</f>
        <v>0</v>
      </c>
      <c r="K32" s="194"/>
      <c r="L32" s="194"/>
      <c r="O32" s="392">
        <f>+Q19</f>
        <v>1000</v>
      </c>
      <c r="P32" s="366">
        <f>+S19</f>
        <v>0</v>
      </c>
      <c r="Q32" s="396">
        <f>+P32-O32</f>
        <v>-1000</v>
      </c>
      <c r="R32" s="374">
        <f>IF(O32+P32&lt;&gt;0,IF(O32&lt;&gt;0,IF(Q32&lt;&gt;0,ROUND((+Q32/O32),4),""),1),"")</f>
        <v>-1</v>
      </c>
      <c r="S32" s="379" t="s">
        <v>2395</v>
      </c>
      <c r="T32" s="920"/>
      <c r="U32" s="396"/>
      <c r="V32" s="25"/>
      <c r="W32" s="25"/>
      <c r="X32" s="25"/>
    </row>
    <row r="33" spans="1:24" x14ac:dyDescent="0.25">
      <c r="A33" s="703"/>
      <c r="B33" s="4" t="s">
        <v>735</v>
      </c>
      <c r="C33" s="23"/>
      <c r="D33" s="23"/>
      <c r="E33" s="23"/>
      <c r="F33" s="23"/>
      <c r="G33" s="23"/>
      <c r="H33" s="194"/>
      <c r="I33" s="194"/>
      <c r="J33" s="597">
        <f>SUM(J31:J32)</f>
        <v>119600</v>
      </c>
      <c r="K33" s="194"/>
      <c r="L33" s="194"/>
      <c r="O33" s="597">
        <f>SUM(O31:O32)</f>
        <v>120600</v>
      </c>
      <c r="P33" s="597">
        <f>SUM(P31:P32)</f>
        <v>119600</v>
      </c>
      <c r="Q33" s="25"/>
      <c r="R33" s="598" t="str">
        <f>IF(O33+P33&lt;&gt;0,IF(O33&lt;&gt;0,IF(Q33&lt;&gt;0,ROUND((+Q33/O33),4),""),1),"")</f>
        <v/>
      </c>
      <c r="S33" s="25"/>
      <c r="T33" s="25"/>
      <c r="U33" s="25"/>
      <c r="V33" s="25"/>
      <c r="W33" s="25"/>
      <c r="X33" s="25"/>
    </row>
    <row r="34" spans="1:24" x14ac:dyDescent="0.25">
      <c r="A34" s="703"/>
      <c r="B34" s="4"/>
      <c r="C34" s="23"/>
      <c r="D34" s="23"/>
      <c r="E34" s="23"/>
      <c r="F34" s="23"/>
      <c r="G34" s="24"/>
      <c r="H34" s="24"/>
      <c r="I34" s="25"/>
      <c r="J34" s="25"/>
      <c r="K34" s="25"/>
      <c r="L34" s="25"/>
      <c r="M34" s="25"/>
      <c r="N34" s="25"/>
      <c r="O34" s="25"/>
      <c r="P34" s="25"/>
      <c r="Q34" s="25"/>
      <c r="R34" s="342"/>
      <c r="S34" s="25"/>
      <c r="T34" s="25"/>
      <c r="U34" s="25"/>
      <c r="V34" s="25"/>
      <c r="W34" s="25"/>
      <c r="X34" s="25"/>
    </row>
    <row r="35" spans="1:24" x14ac:dyDescent="0.25">
      <c r="A35" s="703"/>
      <c r="B35" s="4"/>
      <c r="C35" s="23"/>
      <c r="D35" s="23"/>
      <c r="E35" s="23"/>
      <c r="F35" s="23"/>
      <c r="G35" s="24"/>
      <c r="H35" s="24"/>
      <c r="I35" s="24"/>
      <c r="J35" s="24"/>
      <c r="K35" s="24"/>
      <c r="L35" s="24"/>
      <c r="M35" s="24"/>
      <c r="N35" s="24"/>
      <c r="O35" s="24"/>
      <c r="P35" s="24"/>
      <c r="Q35" s="24"/>
      <c r="R35" s="25"/>
      <c r="S35" s="24"/>
      <c r="T35" s="24"/>
      <c r="U35" s="24"/>
      <c r="V35" s="25"/>
      <c r="W35" s="25"/>
      <c r="X35" s="25"/>
    </row>
    <row r="36" spans="1:24" x14ac:dyDescent="0.25">
      <c r="A36" s="703"/>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5">
      <c r="A37" s="703"/>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5">
      <c r="A38" s="703"/>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5">
      <c r="A39" s="703"/>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5">
      <c r="A40" s="703"/>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5">
      <c r="A41" s="703"/>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5">
      <c r="A42" s="703"/>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5">
      <c r="A43" s="703"/>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5">
      <c r="A44" s="703"/>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5">
      <c r="A45" s="703"/>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5">
      <c r="A46" s="703"/>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5">
      <c r="A47" s="703"/>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5">
      <c r="A48" s="703"/>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5">
      <c r="A49" s="703"/>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5">
      <c r="A50" s="703"/>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5">
      <c r="A51" s="703"/>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5">
      <c r="A52" s="703"/>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5">
      <c r="A53" s="703"/>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5">
      <c r="A54" s="703"/>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5">
      <c r="A55" s="703"/>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5">
      <c r="A56" s="703"/>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5">
      <c r="A57" s="703"/>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5">
      <c r="A58" s="703"/>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5">
      <c r="A59" s="703"/>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5">
      <c r="A60" s="703"/>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5">
      <c r="A61" s="703"/>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5">
      <c r="A62" s="703"/>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5">
      <c r="A63" s="703"/>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5">
      <c r="A64" s="703"/>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5">
      <c r="A65" s="703"/>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5">
      <c r="A66" s="703"/>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5">
      <c r="A67" s="703"/>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5">
      <c r="A68" s="703"/>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5">
      <c r="A69" s="703"/>
      <c r="B69" s="4"/>
      <c r="C69" s="23"/>
      <c r="D69" s="23"/>
      <c r="E69" s="23"/>
      <c r="F69" s="23"/>
      <c r="G69" s="23"/>
      <c r="H69" s="23"/>
      <c r="I69" s="23"/>
      <c r="J69" s="23"/>
      <c r="K69" s="23"/>
      <c r="L69" s="23"/>
      <c r="M69" s="23"/>
      <c r="N69" s="23"/>
      <c r="O69" s="23"/>
      <c r="P69" s="23"/>
      <c r="Q69" s="23"/>
      <c r="R69" s="25"/>
      <c r="S69" s="23"/>
      <c r="T69" s="23"/>
      <c r="U69" s="23"/>
      <c r="V69" s="25"/>
      <c r="W69" s="25"/>
      <c r="X69" s="25"/>
    </row>
    <row r="70" spans="1:24" x14ac:dyDescent="0.25">
      <c r="A70" s="703"/>
      <c r="B70" s="4"/>
      <c r="C70" s="23"/>
      <c r="D70" s="23"/>
      <c r="E70" s="23"/>
      <c r="F70" s="23"/>
      <c r="G70" s="23"/>
      <c r="H70" s="23"/>
      <c r="I70" s="23"/>
      <c r="J70" s="23"/>
      <c r="K70" s="23"/>
      <c r="L70" s="23"/>
      <c r="M70" s="23"/>
      <c r="N70" s="23"/>
      <c r="O70" s="23"/>
      <c r="P70" s="23"/>
      <c r="Q70" s="23"/>
      <c r="R70" s="25"/>
      <c r="S70" s="23"/>
      <c r="T70" s="23"/>
      <c r="U70" s="23"/>
      <c r="V70" s="25"/>
      <c r="W70" s="25"/>
      <c r="X70" s="25"/>
    </row>
    <row r="71" spans="1:24" x14ac:dyDescent="0.25">
      <c r="A71" s="703"/>
      <c r="B71" s="4"/>
      <c r="C71" s="23"/>
      <c r="D71" s="23"/>
      <c r="E71" s="23"/>
      <c r="F71" s="23"/>
      <c r="G71" s="23"/>
      <c r="H71" s="23"/>
      <c r="I71" s="23"/>
      <c r="J71" s="23"/>
      <c r="K71" s="23"/>
      <c r="L71" s="23"/>
      <c r="M71" s="23"/>
      <c r="N71" s="23"/>
      <c r="O71" s="23"/>
      <c r="P71" s="23"/>
      <c r="Q71" s="23"/>
      <c r="R71" s="25"/>
      <c r="S71" s="23"/>
      <c r="T71" s="23"/>
      <c r="U71" s="23"/>
      <c r="V71" s="25"/>
      <c r="W71" s="25"/>
      <c r="X71" s="25"/>
    </row>
    <row r="72" spans="1:24" x14ac:dyDescent="0.25">
      <c r="A72" s="703"/>
      <c r="B72" s="4"/>
      <c r="C72" s="23"/>
      <c r="D72" s="23"/>
      <c r="E72" s="23"/>
      <c r="F72" s="23"/>
      <c r="G72" s="23"/>
      <c r="H72" s="23"/>
      <c r="I72" s="23"/>
      <c r="J72" s="23"/>
      <c r="K72" s="23"/>
      <c r="L72" s="23"/>
      <c r="M72" s="23"/>
      <c r="N72" s="23"/>
      <c r="O72" s="23"/>
      <c r="P72" s="23"/>
      <c r="Q72" s="23"/>
      <c r="R72" s="25"/>
      <c r="S72" s="23"/>
      <c r="T72" s="23"/>
      <c r="U72" s="23"/>
      <c r="V72" s="25"/>
      <c r="W72" s="25"/>
      <c r="X72" s="25"/>
    </row>
    <row r="73" spans="1:24" x14ac:dyDescent="0.25">
      <c r="A73" s="703"/>
      <c r="B73" s="4"/>
      <c r="C73" s="23"/>
      <c r="D73" s="23"/>
      <c r="E73" s="23"/>
      <c r="F73" s="23"/>
      <c r="G73" s="23"/>
      <c r="H73" s="23"/>
      <c r="I73" s="23"/>
      <c r="J73" s="23"/>
      <c r="K73" s="23"/>
      <c r="L73" s="23"/>
      <c r="M73" s="23"/>
      <c r="N73" s="23"/>
      <c r="O73" s="23"/>
      <c r="P73" s="23"/>
      <c r="Q73" s="23"/>
      <c r="R73" s="25"/>
      <c r="S73" s="23"/>
      <c r="T73" s="23"/>
      <c r="U73" s="23"/>
      <c r="V73" s="25"/>
      <c r="W73" s="25"/>
      <c r="X73" s="25"/>
    </row>
    <row r="74" spans="1:24" x14ac:dyDescent="0.25">
      <c r="A74" s="703"/>
      <c r="B74" s="4"/>
      <c r="C74" s="23"/>
      <c r="D74" s="23"/>
      <c r="E74" s="23"/>
      <c r="F74" s="23"/>
      <c r="G74" s="23"/>
      <c r="H74" s="23"/>
      <c r="I74" s="23"/>
      <c r="J74" s="23"/>
      <c r="K74" s="23"/>
      <c r="L74" s="23"/>
      <c r="M74" s="23"/>
      <c r="N74" s="23"/>
      <c r="O74" s="23"/>
      <c r="P74" s="23"/>
      <c r="Q74" s="23"/>
      <c r="R74" s="25"/>
      <c r="S74" s="23"/>
      <c r="T74" s="23"/>
      <c r="U74" s="23"/>
      <c r="V74" s="25"/>
      <c r="W74" s="25"/>
      <c r="X74" s="25"/>
    </row>
    <row r="75" spans="1:24" x14ac:dyDescent="0.25">
      <c r="A75" s="703"/>
      <c r="B75" s="4"/>
      <c r="C75" s="23"/>
      <c r="D75" s="23"/>
      <c r="E75" s="23"/>
      <c r="F75" s="23"/>
      <c r="G75" s="23"/>
      <c r="H75" s="23"/>
      <c r="I75" s="23"/>
      <c r="J75" s="23"/>
      <c r="K75" s="23"/>
      <c r="L75" s="23"/>
      <c r="M75" s="23"/>
      <c r="N75" s="23"/>
      <c r="O75" s="23"/>
      <c r="P75" s="23"/>
      <c r="Q75" s="23"/>
      <c r="R75" s="25"/>
      <c r="S75" s="23"/>
      <c r="T75" s="23"/>
      <c r="U75" s="23"/>
      <c r="V75" s="25"/>
      <c r="W75" s="25"/>
      <c r="X75" s="25"/>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5">
      <c r="A124" s="703"/>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5">
      <c r="A125" s="703"/>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5">
      <c r="A126" s="703"/>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5">
      <c r="A127" s="703"/>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5">
      <c r="A128" s="703"/>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5">
      <c r="A129" s="703"/>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5">
      <c r="A130" s="703"/>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5">
      <c r="A131" s="703"/>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5">
      <c r="A132" s="703"/>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5">
      <c r="A133" s="703"/>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5">
      <c r="A134" s="703"/>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5">
      <c r="A135" s="703"/>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5">
      <c r="A136" s="703"/>
      <c r="B136" s="4"/>
      <c r="C136" s="23"/>
      <c r="D136" s="23"/>
      <c r="E136" s="23"/>
      <c r="F136" s="23"/>
      <c r="G136" s="23"/>
      <c r="H136" s="23"/>
      <c r="I136" s="23"/>
      <c r="J136" s="23"/>
      <c r="K136" s="23"/>
      <c r="L136" s="23"/>
      <c r="M136" s="23"/>
      <c r="N136" s="23"/>
      <c r="O136" s="23"/>
      <c r="P136" s="23"/>
      <c r="Q136" s="23"/>
      <c r="R136" s="4"/>
      <c r="S136" s="23"/>
      <c r="T136" s="23"/>
      <c r="U136" s="23"/>
      <c r="V136" s="4"/>
      <c r="W136" s="4"/>
      <c r="X136" s="4"/>
    </row>
    <row r="137" spans="1:24" x14ac:dyDescent="0.25">
      <c r="A137" s="703"/>
      <c r="B137" s="4"/>
      <c r="C137" s="23"/>
      <c r="D137" s="23"/>
      <c r="E137" s="23"/>
      <c r="F137" s="23"/>
      <c r="G137" s="23"/>
      <c r="H137" s="23"/>
      <c r="I137" s="23"/>
      <c r="J137" s="23"/>
      <c r="K137" s="23"/>
      <c r="L137" s="23"/>
      <c r="M137" s="23"/>
      <c r="N137" s="23"/>
      <c r="O137" s="23"/>
      <c r="P137" s="23"/>
      <c r="Q137" s="23"/>
      <c r="R137" s="4"/>
      <c r="S137" s="23"/>
      <c r="T137" s="23"/>
      <c r="U137" s="23"/>
      <c r="V137" s="4"/>
      <c r="W137" s="4"/>
      <c r="X137" s="4"/>
    </row>
    <row r="138" spans="1:24" x14ac:dyDescent="0.25">
      <c r="A138" s="703"/>
      <c r="B138" s="4"/>
      <c r="C138" s="23"/>
      <c r="D138" s="23"/>
      <c r="E138" s="23"/>
      <c r="F138" s="23"/>
      <c r="G138" s="23"/>
      <c r="H138" s="23"/>
      <c r="I138" s="23"/>
      <c r="J138" s="23"/>
      <c r="K138" s="23"/>
      <c r="L138" s="23"/>
      <c r="M138" s="23"/>
      <c r="N138" s="23"/>
      <c r="O138" s="23"/>
      <c r="P138" s="23"/>
      <c r="Q138" s="23"/>
      <c r="R138" s="4"/>
      <c r="S138" s="23"/>
      <c r="T138" s="23"/>
      <c r="U138" s="23"/>
      <c r="V138" s="4"/>
      <c r="W138" s="4"/>
      <c r="X138" s="4"/>
    </row>
    <row r="139" spans="1:24" x14ac:dyDescent="0.25">
      <c r="A139" s="703"/>
      <c r="B139" s="4"/>
      <c r="C139" s="23"/>
      <c r="D139" s="23"/>
      <c r="E139" s="23"/>
      <c r="F139" s="23"/>
      <c r="G139" s="23"/>
      <c r="H139" s="23"/>
      <c r="I139" s="23"/>
      <c r="J139" s="23"/>
      <c r="K139" s="23"/>
      <c r="L139" s="23"/>
      <c r="M139" s="23"/>
      <c r="N139" s="23"/>
      <c r="O139" s="23"/>
      <c r="P139" s="23"/>
      <c r="Q139" s="23"/>
      <c r="R139" s="4"/>
      <c r="S139" s="23"/>
      <c r="T139" s="23"/>
      <c r="U139" s="23"/>
      <c r="V139" s="4"/>
      <c r="W139" s="4"/>
      <c r="X139" s="4"/>
    </row>
    <row r="140" spans="1:24" x14ac:dyDescent="0.25">
      <c r="C140" s="194"/>
      <c r="D140" s="194"/>
      <c r="E140" s="194"/>
      <c r="F140" s="194"/>
      <c r="G140" s="194"/>
      <c r="H140" s="194"/>
      <c r="I140" s="194"/>
      <c r="J140" s="194"/>
      <c r="K140" s="194"/>
      <c r="L140" s="194"/>
      <c r="M140" s="194"/>
      <c r="N140" s="194"/>
      <c r="O140" s="194"/>
      <c r="P140" s="194"/>
      <c r="Q140" s="194"/>
    </row>
    <row r="141" spans="1:24" x14ac:dyDescent="0.25">
      <c r="C141" s="194"/>
      <c r="D141" s="194"/>
      <c r="E141" s="194"/>
      <c r="F141" s="194"/>
      <c r="G141" s="194"/>
      <c r="H141" s="194"/>
      <c r="I141" s="194"/>
      <c r="J141" s="194"/>
      <c r="K141" s="194"/>
      <c r="L141" s="194"/>
      <c r="M141" s="194"/>
      <c r="N141" s="194"/>
      <c r="O141" s="194"/>
      <c r="P141" s="194"/>
      <c r="Q141" s="194"/>
    </row>
    <row r="142" spans="1:24" x14ac:dyDescent="0.25">
      <c r="C142" s="194"/>
      <c r="D142" s="194"/>
      <c r="E142" s="194"/>
      <c r="F142" s="194"/>
      <c r="G142" s="194"/>
      <c r="H142" s="194"/>
      <c r="I142" s="194"/>
      <c r="J142" s="194"/>
      <c r="K142" s="194"/>
      <c r="L142" s="194"/>
      <c r="M142" s="194"/>
      <c r="N142" s="194"/>
      <c r="O142" s="194"/>
      <c r="P142" s="194"/>
      <c r="Q142" s="194"/>
    </row>
    <row r="143" spans="1:24" x14ac:dyDescent="0.25">
      <c r="C143" s="194"/>
      <c r="D143" s="194"/>
      <c r="E143" s="194"/>
      <c r="F143" s="194"/>
      <c r="G143" s="194"/>
      <c r="H143" s="194"/>
      <c r="I143" s="194"/>
      <c r="J143" s="194"/>
      <c r="K143" s="194"/>
      <c r="L143" s="194"/>
      <c r="M143" s="194"/>
      <c r="N143" s="194"/>
      <c r="O143" s="194"/>
      <c r="P143" s="194"/>
      <c r="Q143" s="194"/>
    </row>
    <row r="144" spans="1:24" x14ac:dyDescent="0.25">
      <c r="C144" s="194"/>
      <c r="D144" s="194"/>
      <c r="E144" s="194"/>
      <c r="F144" s="194"/>
      <c r="G144" s="194"/>
      <c r="H144" s="194"/>
      <c r="I144" s="194"/>
      <c r="J144" s="194"/>
      <c r="K144" s="194"/>
      <c r="L144" s="194"/>
      <c r="M144" s="194"/>
      <c r="N144" s="194"/>
      <c r="O144" s="194"/>
      <c r="P144" s="194"/>
      <c r="Q144" s="194"/>
    </row>
    <row r="145" spans="3:17" x14ac:dyDescent="0.25">
      <c r="C145" s="194"/>
      <c r="D145" s="194"/>
      <c r="E145" s="194"/>
      <c r="F145" s="194"/>
      <c r="G145" s="194"/>
      <c r="H145" s="194"/>
      <c r="I145" s="194"/>
      <c r="J145" s="194"/>
      <c r="K145" s="194"/>
      <c r="L145" s="194"/>
      <c r="M145" s="194"/>
      <c r="N145" s="194"/>
      <c r="O145" s="194"/>
      <c r="P145" s="194"/>
      <c r="Q145" s="194"/>
    </row>
    <row r="146" spans="3:17" x14ac:dyDescent="0.25">
      <c r="C146" s="194"/>
    </row>
    <row r="147" spans="3:17" x14ac:dyDescent="0.25">
      <c r="C147" s="194"/>
    </row>
    <row r="148" spans="3:17" x14ac:dyDescent="0.25">
      <c r="C148" s="194"/>
    </row>
    <row r="149" spans="3:17" x14ac:dyDescent="0.25">
      <c r="C149" s="194"/>
    </row>
    <row r="150" spans="3:17" x14ac:dyDescent="0.25">
      <c r="C150" s="194"/>
    </row>
    <row r="151" spans="3:17" x14ac:dyDescent="0.25">
      <c r="C151" s="194"/>
    </row>
    <row r="152" spans="3:17" x14ac:dyDescent="0.25">
      <c r="C152" s="194"/>
    </row>
    <row r="153" spans="3:17" x14ac:dyDescent="0.25">
      <c r="C153" s="194"/>
    </row>
    <row r="154" spans="3:17" x14ac:dyDescent="0.25">
      <c r="C154" s="194"/>
    </row>
    <row r="155" spans="3:17" x14ac:dyDescent="0.25">
      <c r="C155" s="194"/>
    </row>
    <row r="156" spans="3:17" x14ac:dyDescent="0.25">
      <c r="C156" s="194"/>
    </row>
    <row r="157" spans="3:17" x14ac:dyDescent="0.25">
      <c r="C157" s="194"/>
    </row>
    <row r="158" spans="3:17" x14ac:dyDescent="0.25">
      <c r="C158" s="194"/>
    </row>
    <row r="159" spans="3:17" x14ac:dyDescent="0.25">
      <c r="C159" s="194"/>
    </row>
    <row r="160" spans="3:17"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row r="166" spans="3:3" x14ac:dyDescent="0.25">
      <c r="C166" s="194"/>
    </row>
    <row r="167" spans="3:3" x14ac:dyDescent="0.25">
      <c r="C167" s="194"/>
    </row>
    <row r="168" spans="3:3" x14ac:dyDescent="0.25">
      <c r="C168" s="194"/>
    </row>
    <row r="169" spans="3:3" x14ac:dyDescent="0.25">
      <c r="C169" s="194"/>
    </row>
    <row r="170" spans="3:3" x14ac:dyDescent="0.25">
      <c r="C170" s="194"/>
    </row>
    <row r="171" spans="3:3" x14ac:dyDescent="0.25">
      <c r="C171" s="194"/>
    </row>
    <row r="172" spans="3:3" x14ac:dyDescent="0.25">
      <c r="C172" s="194"/>
    </row>
    <row r="173" spans="3:3" x14ac:dyDescent="0.25">
      <c r="C173" s="194"/>
    </row>
    <row r="174" spans="3:3" x14ac:dyDescent="0.25">
      <c r="C174" s="194"/>
    </row>
    <row r="175" spans="3:3" x14ac:dyDescent="0.25">
      <c r="C175" s="194"/>
    </row>
    <row r="176" spans="3:3" x14ac:dyDescent="0.25">
      <c r="C176" s="194"/>
    </row>
    <row r="177" spans="3:3" x14ac:dyDescent="0.25">
      <c r="C177" s="194"/>
    </row>
    <row r="178" spans="3:3" x14ac:dyDescent="0.25">
      <c r="C178" s="194"/>
    </row>
    <row r="179" spans="3:3" x14ac:dyDescent="0.25">
      <c r="C179" s="194"/>
    </row>
    <row r="180" spans="3:3" x14ac:dyDescent="0.25">
      <c r="C180" s="194"/>
    </row>
    <row r="181" spans="3:3" x14ac:dyDescent="0.25">
      <c r="C181" s="194"/>
    </row>
    <row r="182" spans="3:3" x14ac:dyDescent="0.25">
      <c r="C182" s="194"/>
    </row>
    <row r="183" spans="3:3" x14ac:dyDescent="0.25">
      <c r="C183" s="194"/>
    </row>
    <row r="184" spans="3:3" x14ac:dyDescent="0.25">
      <c r="C184" s="194"/>
    </row>
    <row r="185" spans="3:3" x14ac:dyDescent="0.25">
      <c r="C185" s="194"/>
    </row>
    <row r="186" spans="3:3" x14ac:dyDescent="0.25">
      <c r="C186" s="194"/>
    </row>
  </sheetData>
  <phoneticPr fontId="0" type="noConversion"/>
  <hyperlinks>
    <hyperlink ref="A1" location="'Working Budget with funding det'!A1" display="Main " xr:uid="{00000000-0004-0000-3400-000000000000}"/>
    <hyperlink ref="B1" location="'Table of Contents'!A1" display="TOC" xr:uid="{00000000-0004-0000-34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50"/>
  </sheetPr>
  <dimension ref="A1:Y51"/>
  <sheetViews>
    <sheetView zoomScaleNormal="100" workbookViewId="0">
      <pane ySplit="7" topLeftCell="A13" activePane="bottomLeft" state="frozen"/>
      <selection activeCell="S36" sqref="S36"/>
      <selection pane="bottomLeft" activeCell="T4" sqref="T4:T7"/>
    </sheetView>
  </sheetViews>
  <sheetFormatPr defaultRowHeight="13.2" x14ac:dyDescent="0.25"/>
  <cols>
    <col min="1" max="1" width="8.77734375" style="712"/>
    <col min="2" max="2" width="36.44140625" customWidth="1"/>
    <col min="3" max="3" width="14.33203125" style="1" hidden="1" customWidth="1"/>
    <col min="4" max="8" width="14.33203125" style="105" hidden="1" customWidth="1"/>
    <col min="9" max="14" width="14.33203125" style="76" hidden="1" customWidth="1"/>
    <col min="15" max="17" width="14.33203125" style="76" customWidth="1"/>
    <col min="18" max="22" width="14.33203125" customWidth="1"/>
    <col min="23" max="25" width="0" hidden="1" customWidth="1"/>
  </cols>
  <sheetData>
    <row r="1" spans="1:25" x14ac:dyDescent="0.25">
      <c r="A1" s="701" t="s">
        <v>736</v>
      </c>
      <c r="B1" s="290" t="s">
        <v>194</v>
      </c>
      <c r="D1" s="194"/>
      <c r="E1" s="194"/>
      <c r="F1" s="194"/>
      <c r="G1" s="194"/>
      <c r="H1" s="194"/>
      <c r="I1" s="194"/>
      <c r="J1" s="194"/>
      <c r="K1" s="194"/>
      <c r="L1" s="194"/>
      <c r="M1" s="194"/>
      <c r="N1" s="194"/>
      <c r="O1" s="194"/>
      <c r="P1" s="194"/>
      <c r="Q1" s="194"/>
      <c r="S1" s="1"/>
      <c r="T1" s="1"/>
    </row>
    <row r="2" spans="1:25" ht="13.8" x14ac:dyDescent="0.25">
      <c r="A2" s="702" t="s">
        <v>944</v>
      </c>
      <c r="B2" s="43"/>
      <c r="D2" s="194"/>
      <c r="E2" s="125"/>
      <c r="F2" s="194"/>
      <c r="G2" s="194"/>
      <c r="H2" s="194"/>
      <c r="I2" s="125" t="s">
        <v>706</v>
      </c>
      <c r="J2" s="125"/>
      <c r="K2" s="125"/>
      <c r="L2" s="125"/>
      <c r="M2" s="125"/>
      <c r="N2" s="125"/>
      <c r="O2" s="125"/>
      <c r="P2" s="125"/>
      <c r="Q2" s="125"/>
      <c r="R2" s="58" t="s">
        <v>1446</v>
      </c>
      <c r="S2" s="1"/>
      <c r="T2" s="1"/>
      <c r="U2" s="44" t="s">
        <v>1447</v>
      </c>
    </row>
    <row r="3" spans="1:25" ht="13.8" thickBot="1" x14ac:dyDescent="0.3">
      <c r="A3" s="703"/>
      <c r="B3" s="4"/>
      <c r="C3" s="23"/>
      <c r="D3" s="23"/>
      <c r="E3" s="23"/>
      <c r="F3" s="23"/>
      <c r="G3" s="23"/>
      <c r="H3" s="23"/>
      <c r="I3" s="23"/>
      <c r="J3" s="23"/>
      <c r="K3" s="23"/>
      <c r="L3" s="23"/>
      <c r="M3" s="23"/>
      <c r="N3" s="23"/>
      <c r="O3" s="23"/>
      <c r="P3" s="23"/>
      <c r="Q3" s="23"/>
      <c r="R3" s="4"/>
      <c r="S3" s="23"/>
      <c r="T3" s="23"/>
      <c r="U3" s="4"/>
    </row>
    <row r="4" spans="1:25"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c r="W4" s="7"/>
      <c r="X4" s="7"/>
      <c r="Y4" s="7"/>
    </row>
    <row r="5" spans="1:25"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c r="W5" s="45" t="s">
        <v>251</v>
      </c>
      <c r="X5" s="45" t="s">
        <v>252</v>
      </c>
      <c r="Y5" s="45" t="s">
        <v>253</v>
      </c>
    </row>
    <row r="6" spans="1:25" x14ac:dyDescent="0.25">
      <c r="A6" s="705"/>
      <c r="B6" s="184"/>
      <c r="C6" s="102"/>
      <c r="D6" s="82"/>
      <c r="E6" s="104"/>
      <c r="F6" s="104"/>
      <c r="G6" s="104"/>
      <c r="H6" s="104"/>
      <c r="I6" s="229"/>
      <c r="J6" s="229"/>
      <c r="K6" s="229"/>
      <c r="L6" s="229"/>
      <c r="M6" s="229"/>
      <c r="N6" s="229"/>
      <c r="O6" s="229"/>
      <c r="P6" s="229"/>
      <c r="Q6" s="229"/>
      <c r="R6" s="104"/>
      <c r="S6" s="83" t="s">
        <v>713</v>
      </c>
      <c r="T6" s="83" t="s">
        <v>481</v>
      </c>
      <c r="U6" s="45" t="s">
        <v>714</v>
      </c>
      <c r="W6" s="45"/>
      <c r="X6" s="45"/>
      <c r="Y6" s="45"/>
    </row>
    <row r="7" spans="1:25" ht="13.8" thickBot="1" x14ac:dyDescent="0.3">
      <c r="A7" s="706" t="s">
        <v>715</v>
      </c>
      <c r="B7" s="78"/>
      <c r="C7" s="243" t="s">
        <v>243</v>
      </c>
      <c r="D7" s="243" t="s">
        <v>244</v>
      </c>
      <c r="E7" s="77" t="s">
        <v>245</v>
      </c>
      <c r="F7" s="77" t="s">
        <v>464</v>
      </c>
      <c r="G7" s="77" t="s">
        <v>465</v>
      </c>
      <c r="H7" s="77" t="s">
        <v>248</v>
      </c>
      <c r="I7" s="77" t="s">
        <v>249</v>
      </c>
      <c r="J7" s="77" t="s">
        <v>468</v>
      </c>
      <c r="K7" s="77" t="s">
        <v>251</v>
      </c>
      <c r="L7" s="77" t="s">
        <v>251</v>
      </c>
      <c r="M7" s="77" t="s">
        <v>252</v>
      </c>
      <c r="N7" s="77" t="s">
        <v>252</v>
      </c>
      <c r="O7" s="77" t="s">
        <v>253</v>
      </c>
      <c r="P7" s="77" t="s">
        <v>253</v>
      </c>
      <c r="Q7" s="1051" t="s">
        <v>469</v>
      </c>
      <c r="R7" s="121">
        <v>45291</v>
      </c>
      <c r="S7" s="77" t="s">
        <v>716</v>
      </c>
      <c r="T7" s="77"/>
      <c r="U7" s="9" t="s">
        <v>481</v>
      </c>
      <c r="W7" s="9"/>
      <c r="X7" s="9"/>
      <c r="Y7" s="9"/>
    </row>
    <row r="8" spans="1:25" ht="13.8" thickTop="1" x14ac:dyDescent="0.25">
      <c r="A8" s="707"/>
      <c r="B8" s="156"/>
      <c r="C8" s="114"/>
      <c r="D8" s="244"/>
      <c r="E8" s="244"/>
      <c r="F8" s="244"/>
      <c r="G8" s="244"/>
      <c r="H8" s="244"/>
      <c r="I8" s="143"/>
      <c r="J8" s="143"/>
      <c r="K8" s="143"/>
      <c r="L8" s="143"/>
      <c r="M8" s="143"/>
      <c r="N8" s="143"/>
      <c r="O8" s="143"/>
      <c r="P8" s="143"/>
      <c r="Q8" s="143"/>
      <c r="R8" s="114"/>
      <c r="S8" s="88"/>
      <c r="T8" s="88"/>
      <c r="U8" s="88"/>
    </row>
    <row r="9" spans="1:25" x14ac:dyDescent="0.25">
      <c r="A9" s="708"/>
      <c r="B9" s="60"/>
      <c r="C9" s="117"/>
      <c r="D9" s="117"/>
      <c r="E9" s="117"/>
      <c r="F9" s="117"/>
      <c r="G9" s="117"/>
      <c r="H9" s="117"/>
      <c r="I9" s="87"/>
      <c r="J9" s="87"/>
      <c r="K9" s="87"/>
      <c r="L9" s="87"/>
      <c r="M9" s="87"/>
      <c r="N9" s="87"/>
      <c r="O9" s="87"/>
      <c r="P9" s="117"/>
      <c r="Q9" s="87"/>
      <c r="R9" s="117"/>
      <c r="S9" s="87"/>
      <c r="T9" s="87"/>
      <c r="U9" s="87"/>
      <c r="V9" s="202" t="s">
        <v>1448</v>
      </c>
    </row>
    <row r="10" spans="1:25" hidden="1" x14ac:dyDescent="0.25">
      <c r="A10" s="708">
        <v>5211</v>
      </c>
      <c r="B10" s="60" t="s">
        <v>1252</v>
      </c>
      <c r="C10" s="117">
        <v>11553.22</v>
      </c>
      <c r="D10" s="18">
        <v>9846.44</v>
      </c>
      <c r="E10" s="18">
        <v>11587.74</v>
      </c>
      <c r="F10" s="18">
        <v>9530.26</v>
      </c>
      <c r="G10" s="18">
        <v>7728.8</v>
      </c>
      <c r="H10" s="18">
        <v>8895.5</v>
      </c>
      <c r="I10" s="111">
        <v>10074.92</v>
      </c>
      <c r="J10" s="111">
        <v>8385.32</v>
      </c>
      <c r="K10" s="19">
        <v>12000</v>
      </c>
      <c r="L10" s="312">
        <v>7757.95</v>
      </c>
      <c r="M10" s="19">
        <v>12000</v>
      </c>
      <c r="N10" s="312">
        <v>2479.36</v>
      </c>
      <c r="O10" s="19"/>
      <c r="P10" s="117"/>
      <c r="Q10" s="19"/>
      <c r="R10" s="117"/>
      <c r="S10" s="19"/>
      <c r="T10" s="19"/>
      <c r="U10" s="19"/>
      <c r="V10" s="254">
        <v>494.34</v>
      </c>
      <c r="W10" s="19"/>
      <c r="X10" s="19"/>
      <c r="Y10" s="19"/>
    </row>
    <row r="11" spans="1:25" hidden="1" x14ac:dyDescent="0.25">
      <c r="A11" s="708">
        <v>5214</v>
      </c>
      <c r="B11" s="60" t="s">
        <v>1283</v>
      </c>
      <c r="C11" s="117">
        <v>2192.92</v>
      </c>
      <c r="D11" s="18">
        <v>81.84</v>
      </c>
      <c r="E11" s="18">
        <v>150.22</v>
      </c>
      <c r="F11" s="18">
        <v>157.93</v>
      </c>
      <c r="G11" s="18">
        <v>100.14</v>
      </c>
      <c r="H11" s="18">
        <v>359.33</v>
      </c>
      <c r="I11" s="111">
        <v>117.41</v>
      </c>
      <c r="J11" s="111">
        <v>150.12</v>
      </c>
      <c r="K11" s="19">
        <v>1000</v>
      </c>
      <c r="L11" s="312">
        <v>159.63</v>
      </c>
      <c r="M11" s="19">
        <v>1000</v>
      </c>
      <c r="N11" s="312">
        <v>21.87</v>
      </c>
      <c r="O11" s="19"/>
      <c r="P11" s="117"/>
      <c r="Q11" s="19"/>
      <c r="R11" s="117"/>
      <c r="S11" s="19"/>
      <c r="T11" s="19"/>
      <c r="U11" s="19"/>
      <c r="W11" s="19"/>
      <c r="X11" s="19"/>
      <c r="Y11" s="19"/>
    </row>
    <row r="12" spans="1:25" x14ac:dyDescent="0.25">
      <c r="A12" s="708">
        <v>5231</v>
      </c>
      <c r="B12" s="60" t="s">
        <v>1284</v>
      </c>
      <c r="C12" s="117">
        <v>546</v>
      </c>
      <c r="D12" s="18">
        <v>591</v>
      </c>
      <c r="E12" s="18">
        <v>482</v>
      </c>
      <c r="F12" s="18">
        <v>582</v>
      </c>
      <c r="G12" s="18">
        <v>627</v>
      </c>
      <c r="H12" s="18">
        <v>627</v>
      </c>
      <c r="I12" s="111">
        <v>631</v>
      </c>
      <c r="J12" s="111">
        <v>634</v>
      </c>
      <c r="K12" s="19">
        <v>1000</v>
      </c>
      <c r="L12" s="312">
        <v>559</v>
      </c>
      <c r="M12" s="19">
        <v>1000</v>
      </c>
      <c r="N12" s="312">
        <v>276</v>
      </c>
      <c r="O12" s="19">
        <v>1000</v>
      </c>
      <c r="P12" s="117">
        <v>321</v>
      </c>
      <c r="Q12" s="19">
        <v>1000</v>
      </c>
      <c r="R12" s="117">
        <v>274</v>
      </c>
      <c r="S12" s="19">
        <v>500</v>
      </c>
      <c r="T12" s="19"/>
      <c r="U12" s="19"/>
      <c r="W12" s="19"/>
      <c r="X12" s="19"/>
      <c r="Y12" s="19"/>
    </row>
    <row r="13" spans="1:25" x14ac:dyDescent="0.25">
      <c r="A13" s="708">
        <v>5232</v>
      </c>
      <c r="B13" s="60" t="s">
        <v>478</v>
      </c>
      <c r="C13" s="117">
        <v>360</v>
      </c>
      <c r="D13" s="18">
        <v>373.2</v>
      </c>
      <c r="E13" s="18">
        <v>373.2</v>
      </c>
      <c r="F13" s="18">
        <v>410.4</v>
      </c>
      <c r="G13" s="18">
        <v>480</v>
      </c>
      <c r="H13" s="18">
        <v>496.8</v>
      </c>
      <c r="I13" s="111">
        <v>848.98</v>
      </c>
      <c r="J13" s="111">
        <v>1143.2</v>
      </c>
      <c r="K13" s="19">
        <v>1200</v>
      </c>
      <c r="L13" s="312">
        <v>582.4</v>
      </c>
      <c r="M13" s="19">
        <v>1500</v>
      </c>
      <c r="N13" s="312">
        <v>607.6</v>
      </c>
      <c r="O13" s="19">
        <v>1500</v>
      </c>
      <c r="P13" s="117">
        <v>508.2</v>
      </c>
      <c r="Q13" s="19">
        <v>1000</v>
      </c>
      <c r="R13" s="117">
        <v>551.70000000000005</v>
      </c>
      <c r="S13" s="19">
        <v>750</v>
      </c>
      <c r="T13" s="19"/>
      <c r="U13" s="19"/>
      <c r="W13" s="19"/>
      <c r="X13" s="19"/>
      <c r="Y13" s="19"/>
    </row>
    <row r="14" spans="1:25" x14ac:dyDescent="0.25">
      <c r="A14" s="708">
        <v>5242</v>
      </c>
      <c r="B14" s="60" t="s">
        <v>1027</v>
      </c>
      <c r="C14" s="117">
        <v>3491.97</v>
      </c>
      <c r="D14" s="18">
        <v>21296.12</v>
      </c>
      <c r="E14" s="18">
        <v>20156.25</v>
      </c>
      <c r="F14" s="18">
        <v>6313.23</v>
      </c>
      <c r="G14" s="18">
        <v>19858.14</v>
      </c>
      <c r="H14" s="18">
        <v>20316.09</v>
      </c>
      <c r="I14" s="111">
        <v>30018.05</v>
      </c>
      <c r="J14" s="111">
        <v>9484.08</v>
      </c>
      <c r="K14" s="19">
        <v>30000</v>
      </c>
      <c r="L14" s="312">
        <v>19128.78</v>
      </c>
      <c r="M14" s="19">
        <v>30000</v>
      </c>
      <c r="N14" s="312">
        <v>11967.48</v>
      </c>
      <c r="O14" s="19">
        <v>30000</v>
      </c>
      <c r="P14" s="117">
        <v>14616.01</v>
      </c>
      <c r="Q14" s="19">
        <v>40000</v>
      </c>
      <c r="R14" s="117">
        <v>5725.56</v>
      </c>
      <c r="S14" s="19">
        <v>40000</v>
      </c>
      <c r="T14" s="19"/>
      <c r="U14" s="19"/>
      <c r="W14" s="19"/>
      <c r="X14" s="19"/>
      <c r="Y14" s="19"/>
    </row>
    <row r="15" spans="1:25" hidden="1" x14ac:dyDescent="0.25">
      <c r="A15" s="708">
        <v>5279</v>
      </c>
      <c r="B15" s="60" t="s">
        <v>719</v>
      </c>
      <c r="C15" s="117">
        <v>11000</v>
      </c>
      <c r="D15" s="18">
        <v>14000</v>
      </c>
      <c r="E15" s="18">
        <v>13000</v>
      </c>
      <c r="F15" s="18">
        <v>13250</v>
      </c>
      <c r="G15" s="18">
        <v>13000</v>
      </c>
      <c r="H15" s="18">
        <v>13000</v>
      </c>
      <c r="I15" s="111">
        <v>12000</v>
      </c>
      <c r="J15" s="111"/>
      <c r="K15" s="19"/>
      <c r="L15" s="312"/>
      <c r="M15" s="19"/>
      <c r="N15" s="312">
        <v>2016</v>
      </c>
      <c r="O15" s="19"/>
      <c r="P15" s="117"/>
      <c r="Q15" s="19"/>
      <c r="R15" s="117"/>
      <c r="S15" s="19"/>
      <c r="T15" s="19"/>
      <c r="U15" s="19"/>
      <c r="W15" s="19"/>
      <c r="X15" s="19"/>
      <c r="Y15" s="19"/>
    </row>
    <row r="16" spans="1:25" x14ac:dyDescent="0.25">
      <c r="A16" s="708">
        <v>5315</v>
      </c>
      <c r="B16" s="60" t="s">
        <v>825</v>
      </c>
      <c r="C16" s="117">
        <v>2095.8000000000002</v>
      </c>
      <c r="D16" s="18">
        <v>5730.83</v>
      </c>
      <c r="E16" s="18">
        <v>3042.64</v>
      </c>
      <c r="F16" s="18">
        <v>6426.3</v>
      </c>
      <c r="G16" s="18">
        <v>649</v>
      </c>
      <c r="H16" s="18">
        <v>7721.46</v>
      </c>
      <c r="I16" s="111">
        <v>383</v>
      </c>
      <c r="J16" s="111">
        <v>1804.5</v>
      </c>
      <c r="K16" s="19">
        <v>6000</v>
      </c>
      <c r="L16" s="312">
        <v>3252.04</v>
      </c>
      <c r="M16" s="19">
        <v>6000</v>
      </c>
      <c r="N16" s="312">
        <v>689.48</v>
      </c>
      <c r="O16" s="19">
        <v>6000</v>
      </c>
      <c r="P16" s="117">
        <v>1700</v>
      </c>
      <c r="Q16" s="19">
        <v>10000</v>
      </c>
      <c r="R16" s="117"/>
      <c r="S16" s="19">
        <v>10000</v>
      </c>
      <c r="T16" s="19"/>
      <c r="U16" s="19"/>
      <c r="W16" s="19"/>
      <c r="X16" s="19"/>
      <c r="Y16" s="19"/>
    </row>
    <row r="17" spans="1:25" x14ac:dyDescent="0.25">
      <c r="A17" s="708">
        <v>5341</v>
      </c>
      <c r="B17" s="60" t="s">
        <v>751</v>
      </c>
      <c r="C17" s="117">
        <v>795.95</v>
      </c>
      <c r="D17" s="18">
        <v>1045.52</v>
      </c>
      <c r="E17" s="18">
        <v>1083.3800000000001</v>
      </c>
      <c r="F17" s="18">
        <v>1133.93</v>
      </c>
      <c r="G17" s="18">
        <v>1144.67</v>
      </c>
      <c r="H17" s="18">
        <v>606.79999999999995</v>
      </c>
      <c r="I17" s="111">
        <v>643.46</v>
      </c>
      <c r="J17" s="111">
        <v>668.35</v>
      </c>
      <c r="K17" s="19">
        <v>750</v>
      </c>
      <c r="L17" s="312">
        <v>677.13</v>
      </c>
      <c r="M17" s="19">
        <v>750</v>
      </c>
      <c r="N17" s="312"/>
      <c r="O17" s="19">
        <v>750</v>
      </c>
      <c r="P17" s="117">
        <v>704.02</v>
      </c>
      <c r="Q17" s="19">
        <v>750</v>
      </c>
      <c r="R17" s="117">
        <v>301.93</v>
      </c>
      <c r="S17" s="19">
        <v>1000</v>
      </c>
      <c r="T17" s="19"/>
      <c r="U17" s="19"/>
      <c r="W17" s="19"/>
      <c r="X17" s="19"/>
      <c r="Y17" s="19"/>
    </row>
    <row r="18" spans="1:25" hidden="1" x14ac:dyDescent="0.25">
      <c r="A18" s="708">
        <v>5420</v>
      </c>
      <c r="B18" s="60" t="s">
        <v>753</v>
      </c>
      <c r="C18" s="117">
        <v>41.46</v>
      </c>
      <c r="D18" s="18">
        <v>0</v>
      </c>
      <c r="E18" s="18"/>
      <c r="F18" s="18"/>
      <c r="G18" s="18"/>
      <c r="H18" s="18"/>
      <c r="I18" s="111">
        <v>0</v>
      </c>
      <c r="J18" s="111"/>
      <c r="K18" s="19"/>
      <c r="L18" s="312"/>
      <c r="M18" s="19"/>
      <c r="N18" s="312"/>
      <c r="O18" s="19"/>
      <c r="P18" s="117"/>
      <c r="Q18" s="19"/>
      <c r="R18" s="117"/>
      <c r="S18" s="19"/>
      <c r="T18" s="19"/>
      <c r="U18" s="19"/>
      <c r="W18" s="19"/>
      <c r="X18" s="19"/>
      <c r="Y18" s="19"/>
    </row>
    <row r="19" spans="1:25" ht="13.8" thickBot="1" x14ac:dyDescent="0.3">
      <c r="A19" s="708">
        <v>5451</v>
      </c>
      <c r="B19" s="60" t="s">
        <v>1035</v>
      </c>
      <c r="C19" s="116">
        <v>749.18</v>
      </c>
      <c r="D19" s="15">
        <v>663.39</v>
      </c>
      <c r="E19" s="15">
        <v>612.65</v>
      </c>
      <c r="F19" s="15">
        <v>739.69</v>
      </c>
      <c r="G19" s="15">
        <v>600.12</v>
      </c>
      <c r="H19" s="15">
        <v>789.61</v>
      </c>
      <c r="I19" s="252">
        <v>381.68</v>
      </c>
      <c r="J19" s="252"/>
      <c r="K19" s="16">
        <v>500</v>
      </c>
      <c r="L19" s="313">
        <v>25.72</v>
      </c>
      <c r="M19" s="16">
        <v>500</v>
      </c>
      <c r="N19" s="313"/>
      <c r="O19" s="16">
        <v>500</v>
      </c>
      <c r="P19" s="116"/>
      <c r="Q19" s="16">
        <v>500</v>
      </c>
      <c r="R19" s="116"/>
      <c r="S19" s="16"/>
      <c r="T19" s="16"/>
      <c r="U19" s="16"/>
      <c r="W19" s="16"/>
      <c r="X19" s="16"/>
      <c r="Y19" s="16"/>
    </row>
    <row r="20" spans="1:25" x14ac:dyDescent="0.25">
      <c r="A20" s="708"/>
      <c r="B20" s="17" t="s">
        <v>728</v>
      </c>
      <c r="C20" s="18">
        <f t="shared" ref="C20:R20" si="0">SUM(C10:C19)</f>
        <v>32826.5</v>
      </c>
      <c r="D20" s="18">
        <f t="shared" si="0"/>
        <v>53628.34</v>
      </c>
      <c r="E20" s="18">
        <f t="shared" si="0"/>
        <v>50488.08</v>
      </c>
      <c r="F20" s="18">
        <f>SUM(F10:F19)</f>
        <v>38543.740000000005</v>
      </c>
      <c r="G20" s="18">
        <f>SUM(G10:G19)</f>
        <v>44187.87</v>
      </c>
      <c r="H20" s="18">
        <f>SUM(H10:H19)</f>
        <v>52812.590000000004</v>
      </c>
      <c r="I20" s="111">
        <f>SUM(I10:I19)</f>
        <v>55098.5</v>
      </c>
      <c r="J20" s="111">
        <f>SUM(J10:J19)</f>
        <v>22269.57</v>
      </c>
      <c r="K20" s="19">
        <f t="shared" ref="K20:N20" si="1">SUM(K10:K19)</f>
        <v>52450</v>
      </c>
      <c r="L20" s="111">
        <f t="shared" si="1"/>
        <v>32142.65</v>
      </c>
      <c r="M20" s="19">
        <f t="shared" si="1"/>
        <v>52750</v>
      </c>
      <c r="N20" s="111">
        <f t="shared" si="1"/>
        <v>18057.789999999997</v>
      </c>
      <c r="O20" s="19">
        <f t="shared" ref="O20:S20" si="2">SUM(O10:O19)</f>
        <v>39750</v>
      </c>
      <c r="P20" s="18">
        <f t="shared" si="2"/>
        <v>17849.23</v>
      </c>
      <c r="Q20" s="19">
        <f t="shared" ref="Q20" si="3">SUM(Q10:Q19)</f>
        <v>53250</v>
      </c>
      <c r="R20" s="18">
        <f t="shared" si="0"/>
        <v>6853.1900000000005</v>
      </c>
      <c r="S20" s="19">
        <f t="shared" si="2"/>
        <v>52250</v>
      </c>
      <c r="T20" s="19"/>
      <c r="U20" s="19">
        <f>SUM(U10:U19)</f>
        <v>0</v>
      </c>
      <c r="W20" s="19">
        <f>SUM(W10:W19)</f>
        <v>0</v>
      </c>
      <c r="X20" s="19">
        <f>SUM(X10:X19)</f>
        <v>0</v>
      </c>
      <c r="Y20" s="19">
        <f>SUM(Y10:Y19)</f>
        <v>0</v>
      </c>
    </row>
    <row r="21" spans="1:25" x14ac:dyDescent="0.25">
      <c r="A21" s="708"/>
      <c r="B21" s="12"/>
      <c r="C21" s="18"/>
      <c r="D21" s="18"/>
      <c r="E21" s="18"/>
      <c r="F21" s="18"/>
      <c r="G21" s="18"/>
      <c r="H21" s="18"/>
      <c r="I21" s="18"/>
      <c r="J21" s="18"/>
      <c r="K21" s="34"/>
      <c r="L21" s="18"/>
      <c r="M21" s="34"/>
      <c r="N21" s="18"/>
      <c r="O21" s="34"/>
      <c r="P21" s="18"/>
      <c r="Q21" s="34"/>
      <c r="R21" s="18"/>
      <c r="S21" s="34"/>
      <c r="T21" s="34"/>
      <c r="U21" s="34"/>
      <c r="W21" s="34"/>
      <c r="X21" s="34"/>
      <c r="Y21" s="34"/>
    </row>
    <row r="22" spans="1:25" x14ac:dyDescent="0.25">
      <c r="A22" s="708">
        <v>5710</v>
      </c>
      <c r="B22" s="12" t="s">
        <v>1371</v>
      </c>
      <c r="C22" s="18">
        <v>15000</v>
      </c>
      <c r="D22" s="18">
        <v>15000</v>
      </c>
      <c r="E22" s="18">
        <v>15000</v>
      </c>
      <c r="F22" s="18">
        <v>10000</v>
      </c>
      <c r="G22" s="18">
        <v>1000</v>
      </c>
      <c r="H22" s="18">
        <v>10000</v>
      </c>
      <c r="I22" s="111">
        <v>10000</v>
      </c>
      <c r="J22" s="111">
        <v>10000</v>
      </c>
      <c r="K22" s="209">
        <v>10000</v>
      </c>
      <c r="L22" s="111">
        <v>10000</v>
      </c>
      <c r="M22" s="209">
        <v>10000</v>
      </c>
      <c r="N22" s="111">
        <v>10000</v>
      </c>
      <c r="O22" s="209"/>
      <c r="P22" s="111"/>
      <c r="Q22" s="209"/>
      <c r="R22" s="18"/>
      <c r="S22" s="209">
        <f>+Y22</f>
        <v>0</v>
      </c>
      <c r="T22" s="209"/>
      <c r="U22" s="209"/>
      <c r="W22" s="209">
        <v>10000</v>
      </c>
      <c r="X22" s="209">
        <v>10000</v>
      </c>
      <c r="Y22" s="209"/>
    </row>
    <row r="23" spans="1:25" x14ac:dyDescent="0.25">
      <c r="A23" s="708">
        <v>5711</v>
      </c>
      <c r="B23" s="12" t="s">
        <v>1449</v>
      </c>
      <c r="C23" s="13">
        <v>15000</v>
      </c>
      <c r="D23" s="13">
        <v>15000</v>
      </c>
      <c r="E23" s="13">
        <v>15000</v>
      </c>
      <c r="F23" s="13">
        <v>15000</v>
      </c>
      <c r="G23" s="13">
        <v>15000</v>
      </c>
      <c r="H23" s="13">
        <v>15000</v>
      </c>
      <c r="I23" s="111">
        <v>15000</v>
      </c>
      <c r="J23" s="111">
        <v>15000</v>
      </c>
      <c r="K23" s="209">
        <v>15000</v>
      </c>
      <c r="L23" s="111">
        <v>15000</v>
      </c>
      <c r="M23" s="209">
        <v>15000</v>
      </c>
      <c r="N23" s="111">
        <v>15000</v>
      </c>
      <c r="O23" s="209">
        <v>10000</v>
      </c>
      <c r="P23" s="111">
        <v>1000</v>
      </c>
      <c r="Q23" s="209"/>
      <c r="R23" s="18"/>
      <c r="S23" s="209"/>
      <c r="T23" s="209"/>
      <c r="U23" s="40"/>
      <c r="W23" s="40">
        <v>15000</v>
      </c>
      <c r="X23" s="40">
        <v>15000</v>
      </c>
      <c r="Y23" s="40">
        <v>10000</v>
      </c>
    </row>
    <row r="24" spans="1:25" x14ac:dyDescent="0.25">
      <c r="A24" s="708">
        <v>5751</v>
      </c>
      <c r="B24" s="12" t="s">
        <v>1394</v>
      </c>
      <c r="C24" s="13">
        <v>5125</v>
      </c>
      <c r="D24" s="13">
        <v>4562.5</v>
      </c>
      <c r="E24" s="13">
        <v>3962.5</v>
      </c>
      <c r="F24" s="13">
        <v>3325</v>
      </c>
      <c r="G24" s="13">
        <v>2875</v>
      </c>
      <c r="H24" s="13">
        <v>2425</v>
      </c>
      <c r="I24" s="111">
        <v>1975</v>
      </c>
      <c r="J24" s="111">
        <v>1500</v>
      </c>
      <c r="K24" s="209">
        <v>1000</v>
      </c>
      <c r="L24" s="111">
        <v>1000</v>
      </c>
      <c r="M24" s="209">
        <v>500</v>
      </c>
      <c r="N24" s="111">
        <v>500</v>
      </c>
      <c r="O24" s="209"/>
      <c r="P24" s="111"/>
      <c r="Q24" s="209"/>
      <c r="R24" s="13"/>
      <c r="S24" s="209"/>
      <c r="T24" s="209"/>
      <c r="U24" s="208"/>
      <c r="W24" s="208">
        <v>1000</v>
      </c>
      <c r="X24" s="208">
        <v>500</v>
      </c>
      <c r="Y24" s="208"/>
    </row>
    <row r="25" spans="1:25" ht="13.8" thickBot="1" x14ac:dyDescent="0.3">
      <c r="A25" s="708">
        <v>5752</v>
      </c>
      <c r="B25" s="12" t="s">
        <v>1450</v>
      </c>
      <c r="C25" s="15">
        <v>6775</v>
      </c>
      <c r="D25" s="15">
        <f>3200+2825</f>
        <v>6025</v>
      </c>
      <c r="E25" s="15">
        <v>5275</v>
      </c>
      <c r="F25" s="15">
        <v>4525</v>
      </c>
      <c r="G25" s="15">
        <v>3775</v>
      </c>
      <c r="H25" s="15">
        <v>3100</v>
      </c>
      <c r="I25" s="252">
        <v>2500</v>
      </c>
      <c r="J25" s="252">
        <v>1900</v>
      </c>
      <c r="K25" s="343">
        <v>1300</v>
      </c>
      <c r="L25" s="252">
        <v>1300</v>
      </c>
      <c r="M25" s="343">
        <v>700</v>
      </c>
      <c r="N25" s="252">
        <v>700</v>
      </c>
      <c r="O25" s="343">
        <v>200</v>
      </c>
      <c r="P25" s="252">
        <v>200</v>
      </c>
      <c r="Q25" s="343"/>
      <c r="R25" s="15"/>
      <c r="S25" s="343"/>
      <c r="T25" s="343"/>
      <c r="U25" s="41"/>
      <c r="W25" s="41">
        <f>800+500</f>
        <v>1300</v>
      </c>
      <c r="X25" s="41">
        <f>500+200</f>
        <v>700</v>
      </c>
      <c r="Y25" s="41">
        <v>200</v>
      </c>
    </row>
    <row r="26" spans="1:25" x14ac:dyDescent="0.25">
      <c r="A26" s="708"/>
      <c r="B26" s="17" t="s">
        <v>1411</v>
      </c>
      <c r="C26" s="18">
        <f t="shared" ref="C26:R26" si="4">SUM(C22:C25)</f>
        <v>41900</v>
      </c>
      <c r="D26" s="18">
        <f t="shared" si="4"/>
        <v>40587.5</v>
      </c>
      <c r="E26" s="18">
        <f t="shared" si="4"/>
        <v>39237.5</v>
      </c>
      <c r="F26" s="18">
        <f>SUM(F22:F25)</f>
        <v>32850</v>
      </c>
      <c r="G26" s="18">
        <f>SUM(G22:G25)</f>
        <v>22650</v>
      </c>
      <c r="H26" s="18">
        <f>SUM(H22:H25)</f>
        <v>30525</v>
      </c>
      <c r="I26" s="18">
        <f t="shared" si="4"/>
        <v>29475</v>
      </c>
      <c r="J26" s="18">
        <f t="shared" ref="J26" si="5">SUM(J22:J25)</f>
        <v>28400</v>
      </c>
      <c r="K26" s="34">
        <f t="shared" ref="K26:P26" si="6">SUM(K22:K25)</f>
        <v>27300</v>
      </c>
      <c r="L26" s="18">
        <f t="shared" si="6"/>
        <v>27300</v>
      </c>
      <c r="M26" s="34">
        <f t="shared" si="6"/>
        <v>26200</v>
      </c>
      <c r="N26" s="18">
        <f t="shared" ref="N26" si="7">SUM(N22:N25)</f>
        <v>26200</v>
      </c>
      <c r="O26" s="34">
        <f t="shared" si="6"/>
        <v>10200</v>
      </c>
      <c r="P26" s="18">
        <f t="shared" si="6"/>
        <v>1200</v>
      </c>
      <c r="Q26" s="34">
        <f t="shared" ref="Q26:S26" si="8">SUM(Q22:Q25)</f>
        <v>0</v>
      </c>
      <c r="R26" s="18">
        <f t="shared" si="4"/>
        <v>0</v>
      </c>
      <c r="S26" s="34">
        <f t="shared" si="8"/>
        <v>0</v>
      </c>
      <c r="T26" s="34"/>
      <c r="U26" s="34">
        <f>SUM(U22:U25)</f>
        <v>0</v>
      </c>
      <c r="W26" s="34">
        <f>SUM(W22:W25)</f>
        <v>27300</v>
      </c>
      <c r="X26" s="34">
        <f>SUM(X22:X25)</f>
        <v>26200</v>
      </c>
      <c r="Y26" s="34">
        <f>SUM(Y22:Y25)</f>
        <v>10200</v>
      </c>
    </row>
    <row r="27" spans="1:25" x14ac:dyDescent="0.25">
      <c r="A27" s="708"/>
      <c r="B27" s="17"/>
      <c r="C27" s="18"/>
      <c r="D27" s="18"/>
      <c r="E27" s="18"/>
      <c r="F27" s="18"/>
      <c r="G27" s="18"/>
      <c r="H27" s="18"/>
      <c r="I27" s="18"/>
      <c r="J27" s="18"/>
      <c r="K27" s="34"/>
      <c r="L27" s="18"/>
      <c r="M27" s="34"/>
      <c r="N27" s="18"/>
      <c r="O27" s="34"/>
      <c r="P27" s="18"/>
      <c r="Q27" s="34"/>
      <c r="R27" s="18"/>
      <c r="S27" s="34"/>
      <c r="T27" s="34"/>
      <c r="U27" s="34"/>
    </row>
    <row r="28" spans="1:25" x14ac:dyDescent="0.25">
      <c r="A28" s="708">
        <v>5991</v>
      </c>
      <c r="B28" s="12" t="s">
        <v>1451</v>
      </c>
      <c r="C28" s="111"/>
      <c r="D28" s="111"/>
      <c r="E28" s="111"/>
      <c r="F28" s="111"/>
      <c r="G28" s="111">
        <v>3000</v>
      </c>
      <c r="H28" s="111"/>
      <c r="I28" s="111"/>
      <c r="J28" s="111"/>
      <c r="K28" s="209"/>
      <c r="L28" s="111"/>
      <c r="M28" s="209"/>
      <c r="N28" s="111"/>
      <c r="O28" s="209"/>
      <c r="P28" s="111"/>
      <c r="Q28" s="209"/>
      <c r="R28" s="111"/>
      <c r="S28" s="209"/>
      <c r="T28" s="209"/>
      <c r="U28" s="209"/>
    </row>
    <row r="29" spans="1:25" x14ac:dyDescent="0.25">
      <c r="A29" s="708"/>
      <c r="B29" s="12"/>
      <c r="C29" s="13"/>
      <c r="D29" s="13"/>
      <c r="E29" s="13"/>
      <c r="F29" s="13"/>
      <c r="G29" s="13"/>
      <c r="H29" s="13"/>
      <c r="I29" s="13"/>
      <c r="J29" s="13"/>
      <c r="K29" s="40"/>
      <c r="L29" s="13"/>
      <c r="M29" s="40"/>
      <c r="N29" s="13"/>
      <c r="O29" s="40"/>
      <c r="P29" s="13"/>
      <c r="Q29" s="40"/>
      <c r="R29" s="13"/>
      <c r="S29" s="40"/>
      <c r="T29" s="40"/>
      <c r="U29" s="40"/>
    </row>
    <row r="30" spans="1:25" ht="13.8" thickBot="1" x14ac:dyDescent="0.3">
      <c r="A30" s="709"/>
      <c r="B30" s="20" t="s">
        <v>1452</v>
      </c>
      <c r="C30" s="21">
        <f>+C26+C20</f>
        <v>74726.5</v>
      </c>
      <c r="D30" s="21">
        <f>+D26+D20</f>
        <v>94215.84</v>
      </c>
      <c r="E30" s="21">
        <f>+E26+E20</f>
        <v>89725.58</v>
      </c>
      <c r="F30" s="21">
        <f>+F26+F20</f>
        <v>71393.740000000005</v>
      </c>
      <c r="G30" s="21">
        <f t="shared" ref="G30:S30" si="9">+G26+G20+G28</f>
        <v>69837.87</v>
      </c>
      <c r="H30" s="21">
        <f t="shared" si="9"/>
        <v>83337.59</v>
      </c>
      <c r="I30" s="21">
        <f t="shared" si="9"/>
        <v>84573.5</v>
      </c>
      <c r="J30" s="21">
        <f t="shared" ref="J30" si="10">+J26+J20+J28</f>
        <v>50669.57</v>
      </c>
      <c r="K30" s="39">
        <f t="shared" si="9"/>
        <v>79750</v>
      </c>
      <c r="L30" s="21">
        <f t="shared" si="9"/>
        <v>59442.65</v>
      </c>
      <c r="M30" s="39">
        <f t="shared" si="9"/>
        <v>78950</v>
      </c>
      <c r="N30" s="21">
        <f t="shared" ref="N30" si="11">+N26+N20+N28</f>
        <v>44257.789999999994</v>
      </c>
      <c r="O30" s="39">
        <f t="shared" si="9"/>
        <v>49950</v>
      </c>
      <c r="P30" s="21">
        <f t="shared" si="9"/>
        <v>19049.23</v>
      </c>
      <c r="Q30" s="39">
        <f t="shared" ref="Q30" si="12">+Q26+Q20+Q28</f>
        <v>53250</v>
      </c>
      <c r="R30" s="21">
        <f t="shared" si="9"/>
        <v>6853.1900000000005</v>
      </c>
      <c r="S30" s="39">
        <f t="shared" si="9"/>
        <v>52250</v>
      </c>
      <c r="T30" s="39">
        <f>+S30</f>
        <v>52250</v>
      </c>
      <c r="U30" s="39">
        <f>+S30</f>
        <v>52250</v>
      </c>
    </row>
    <row r="31" spans="1:25" ht="13.8" thickTop="1" x14ac:dyDescent="0.25">
      <c r="A31" s="703"/>
      <c r="B31" s="74"/>
      <c r="C31" s="24"/>
      <c r="D31" s="24"/>
      <c r="E31" s="24"/>
      <c r="F31" s="24"/>
      <c r="G31" s="24"/>
      <c r="H31" s="24"/>
      <c r="I31" s="24"/>
      <c r="J31" s="24"/>
      <c r="K31" s="24"/>
      <c r="L31" s="24"/>
      <c r="M31" s="24"/>
      <c r="N31" s="24"/>
      <c r="O31" s="24"/>
      <c r="P31" s="24"/>
      <c r="Q31" s="24"/>
      <c r="R31" s="181" t="s">
        <v>732</v>
      </c>
      <c r="S31" s="1001">
        <f>+S30-Q30</f>
        <v>-1000</v>
      </c>
      <c r="T31" s="1002">
        <f>ROUND((+S31/Q30),4)</f>
        <v>-1.8800000000000001E-2</v>
      </c>
      <c r="U31" s="23"/>
      <c r="V31" s="25"/>
    </row>
    <row r="32" spans="1:25" x14ac:dyDescent="0.25">
      <c r="A32" s="703"/>
      <c r="B32" s="4"/>
      <c r="C32" s="259"/>
      <c r="D32" s="259"/>
      <c r="E32" s="259"/>
      <c r="F32" s="259"/>
      <c r="G32" s="259"/>
      <c r="H32" s="259"/>
      <c r="I32" s="259"/>
      <c r="J32" s="24"/>
      <c r="K32" s="24"/>
      <c r="L32" s="24"/>
      <c r="M32" s="24"/>
      <c r="N32" s="24"/>
      <c r="O32" s="24"/>
      <c r="P32" s="24"/>
      <c r="Q32" s="24"/>
      <c r="R32" s="25"/>
      <c r="S32" s="24"/>
      <c r="T32" s="24"/>
      <c r="U32" s="25"/>
      <c r="V32" s="25"/>
    </row>
    <row r="33" spans="1:22" ht="15.6" thickBot="1" x14ac:dyDescent="0.3">
      <c r="A33" s="703"/>
      <c r="B33" s="259"/>
      <c r="C33" s="291"/>
      <c r="D33" s="291"/>
      <c r="E33" s="291"/>
      <c r="F33" s="291"/>
      <c r="G33" s="291"/>
      <c r="H33" s="291"/>
      <c r="I33" s="292"/>
      <c r="J33" s="292"/>
      <c r="K33" s="292"/>
      <c r="L33" s="292"/>
      <c r="M33" s="292"/>
      <c r="N33" s="292"/>
      <c r="O33" s="292"/>
      <c r="P33" s="292"/>
      <c r="Q33" s="292"/>
      <c r="R33" s="291"/>
      <c r="U33" s="259"/>
      <c r="V33" s="25"/>
    </row>
    <row r="34" spans="1:22" ht="13.8" thickTop="1" x14ac:dyDescent="0.25">
      <c r="A34" s="718"/>
      <c r="B34" s="349"/>
      <c r="C34" s="350" t="s">
        <v>256</v>
      </c>
      <c r="D34" s="351" t="s">
        <v>256</v>
      </c>
      <c r="E34" s="351" t="s">
        <v>256</v>
      </c>
      <c r="F34" s="194"/>
      <c r="G34" s="194"/>
      <c r="H34" s="194"/>
      <c r="I34" s="202"/>
      <c r="J34" s="202"/>
      <c r="K34" s="202"/>
      <c r="L34" s="202"/>
      <c r="O34" s="352" t="s">
        <v>255</v>
      </c>
      <c r="P34" s="353" t="s">
        <v>716</v>
      </c>
      <c r="Q34" s="354" t="s">
        <v>730</v>
      </c>
      <c r="R34" s="353" t="s">
        <v>731</v>
      </c>
      <c r="S34" s="550"/>
      <c r="T34" s="550"/>
      <c r="U34" s="354"/>
    </row>
    <row r="35" spans="1:22" ht="13.8" thickBot="1" x14ac:dyDescent="0.3">
      <c r="A35" s="719" t="s">
        <v>715</v>
      </c>
      <c r="B35" s="356"/>
      <c r="C35" s="403" t="s">
        <v>243</v>
      </c>
      <c r="D35" s="403" t="s">
        <v>244</v>
      </c>
      <c r="E35" s="359" t="s">
        <v>245</v>
      </c>
      <c r="F35" s="194"/>
      <c r="G35" s="194"/>
      <c r="H35" s="194"/>
      <c r="I35" s="202"/>
      <c r="J35" s="202"/>
      <c r="K35" s="202"/>
      <c r="L35" s="202"/>
      <c r="O35" s="359" t="s">
        <v>469</v>
      </c>
      <c r="P35" s="359" t="s">
        <v>1345</v>
      </c>
      <c r="Q35" s="358" t="s">
        <v>732</v>
      </c>
      <c r="R35" s="360" t="s">
        <v>732</v>
      </c>
      <c r="S35" s="551"/>
      <c r="T35" s="551"/>
      <c r="U35" s="359"/>
    </row>
    <row r="36" spans="1:22" ht="13.8" thickTop="1" x14ac:dyDescent="0.25">
      <c r="A36" s="724">
        <v>5211</v>
      </c>
      <c r="B36" s="397" t="s">
        <v>1252</v>
      </c>
      <c r="C36" s="408">
        <v>11553.22</v>
      </c>
      <c r="D36" s="365">
        <v>9846.44</v>
      </c>
      <c r="E36" s="365">
        <v>11587.74</v>
      </c>
      <c r="F36" s="194"/>
      <c r="G36" s="194"/>
      <c r="H36" s="194"/>
      <c r="I36" s="202"/>
      <c r="J36" s="202"/>
      <c r="K36" s="202"/>
      <c r="L36" s="202"/>
      <c r="O36" s="366">
        <f t="shared" ref="O36:O45" si="13">+Q10</f>
        <v>0</v>
      </c>
      <c r="P36" s="392">
        <f t="shared" ref="P36:P45" si="14">+S10</f>
        <v>0</v>
      </c>
      <c r="Q36" s="366">
        <f t="shared" ref="Q36:Q49" si="15">+P36-O36</f>
        <v>0</v>
      </c>
      <c r="R36" s="374" t="str">
        <f t="shared" ref="R36:R49" si="16">IF(O36+P36&lt;&gt;0,IF(O36&lt;&gt;0,IF(Q36&lt;&gt;0,ROUND((+Q36/O36),4),""),1),"")</f>
        <v/>
      </c>
      <c r="S36" s="552"/>
      <c r="T36" s="552"/>
      <c r="U36" s="405"/>
    </row>
    <row r="37" spans="1:22" x14ac:dyDescent="0.25">
      <c r="A37" s="724">
        <v>5214</v>
      </c>
      <c r="B37" s="397" t="s">
        <v>1283</v>
      </c>
      <c r="C37" s="408">
        <v>2192.92</v>
      </c>
      <c r="D37" s="365">
        <v>81.84</v>
      </c>
      <c r="E37" s="365">
        <v>150.22</v>
      </c>
      <c r="F37" s="194"/>
      <c r="G37" s="194"/>
      <c r="H37" s="194"/>
      <c r="I37" s="202"/>
      <c r="J37" s="202"/>
      <c r="K37" s="202"/>
      <c r="L37" s="202"/>
      <c r="O37" s="366">
        <f t="shared" si="13"/>
        <v>0</v>
      </c>
      <c r="P37" s="392">
        <f t="shared" si="14"/>
        <v>0</v>
      </c>
      <c r="Q37" s="372">
        <f t="shared" si="15"/>
        <v>0</v>
      </c>
      <c r="R37" s="374" t="str">
        <f t="shared" si="16"/>
        <v/>
      </c>
      <c r="S37" s="553"/>
      <c r="T37" s="553"/>
      <c r="U37" s="368"/>
    </row>
    <row r="38" spans="1:22" x14ac:dyDescent="0.25">
      <c r="A38" s="724">
        <v>5231</v>
      </c>
      <c r="B38" s="397" t="s">
        <v>1284</v>
      </c>
      <c r="C38" s="408">
        <v>546</v>
      </c>
      <c r="D38" s="365">
        <v>591</v>
      </c>
      <c r="E38" s="365">
        <v>482</v>
      </c>
      <c r="F38" s="194"/>
      <c r="G38" s="194"/>
      <c r="H38" s="194"/>
      <c r="I38" s="202"/>
      <c r="J38" s="202"/>
      <c r="K38" s="202"/>
      <c r="L38" s="202"/>
      <c r="O38" s="366">
        <f t="shared" si="13"/>
        <v>1000</v>
      </c>
      <c r="P38" s="392">
        <f t="shared" si="14"/>
        <v>500</v>
      </c>
      <c r="Q38" s="372">
        <f t="shared" si="15"/>
        <v>-500</v>
      </c>
      <c r="R38" s="374">
        <f t="shared" si="16"/>
        <v>-0.5</v>
      </c>
      <c r="S38" s="553" t="s">
        <v>2371</v>
      </c>
      <c r="T38" s="553"/>
      <c r="U38" s="368"/>
    </row>
    <row r="39" spans="1:22" x14ac:dyDescent="0.25">
      <c r="A39" s="724">
        <v>5232</v>
      </c>
      <c r="B39" s="397" t="s">
        <v>478</v>
      </c>
      <c r="C39" s="408">
        <v>360</v>
      </c>
      <c r="D39" s="365">
        <v>373.2</v>
      </c>
      <c r="E39" s="365">
        <v>373.2</v>
      </c>
      <c r="F39" s="194"/>
      <c r="G39" s="194"/>
      <c r="H39" s="194"/>
      <c r="I39" s="202"/>
      <c r="J39" s="202"/>
      <c r="K39" s="202"/>
      <c r="L39" s="202"/>
      <c r="O39" s="366">
        <f t="shared" si="13"/>
        <v>1000</v>
      </c>
      <c r="P39" s="392">
        <f t="shared" si="14"/>
        <v>750</v>
      </c>
      <c r="Q39" s="372">
        <f t="shared" si="15"/>
        <v>-250</v>
      </c>
      <c r="R39" s="374">
        <f t="shared" si="16"/>
        <v>-0.25</v>
      </c>
      <c r="S39" s="553" t="s">
        <v>2371</v>
      </c>
      <c r="T39" s="553"/>
      <c r="U39" s="368"/>
    </row>
    <row r="40" spans="1:22" x14ac:dyDescent="0.25">
      <c r="A40" s="724">
        <v>5242</v>
      </c>
      <c r="B40" s="397" t="s">
        <v>1027</v>
      </c>
      <c r="C40" s="408">
        <v>3491.97</v>
      </c>
      <c r="D40" s="365">
        <v>21296.12</v>
      </c>
      <c r="E40" s="365">
        <v>20156.25</v>
      </c>
      <c r="F40" s="194"/>
      <c r="G40" s="194"/>
      <c r="H40" s="194"/>
      <c r="I40" s="202"/>
      <c r="J40" s="202"/>
      <c r="K40" s="202"/>
      <c r="L40" s="202"/>
      <c r="O40" s="366">
        <f t="shared" si="13"/>
        <v>40000</v>
      </c>
      <c r="P40" s="392">
        <f t="shared" si="14"/>
        <v>40000</v>
      </c>
      <c r="Q40" s="372">
        <f t="shared" si="15"/>
        <v>0</v>
      </c>
      <c r="R40" s="374" t="str">
        <f t="shared" si="16"/>
        <v/>
      </c>
      <c r="S40" s="553"/>
      <c r="T40" s="553"/>
      <c r="U40" s="368"/>
    </row>
    <row r="41" spans="1:22" x14ac:dyDescent="0.25">
      <c r="A41" s="724">
        <v>5279</v>
      </c>
      <c r="B41" s="397" t="s">
        <v>719</v>
      </c>
      <c r="C41" s="408">
        <v>11000</v>
      </c>
      <c r="D41" s="365">
        <v>14000</v>
      </c>
      <c r="E41" s="365">
        <v>13000</v>
      </c>
      <c r="F41" s="194"/>
      <c r="G41" s="194"/>
      <c r="H41" s="194"/>
      <c r="I41" s="202"/>
      <c r="J41" s="202"/>
      <c r="K41" s="202"/>
      <c r="L41" s="202"/>
      <c r="O41" s="366">
        <f t="shared" si="13"/>
        <v>0</v>
      </c>
      <c r="P41" s="392">
        <f t="shared" si="14"/>
        <v>0</v>
      </c>
      <c r="Q41" s="372">
        <f t="shared" si="15"/>
        <v>0</v>
      </c>
      <c r="R41" s="374" t="str">
        <f t="shared" si="16"/>
        <v/>
      </c>
      <c r="S41" s="553"/>
      <c r="T41" s="553"/>
      <c r="U41" s="368"/>
    </row>
    <row r="42" spans="1:22" x14ac:dyDescent="0.25">
      <c r="A42" s="724">
        <v>5315</v>
      </c>
      <c r="B42" s="397" t="s">
        <v>825</v>
      </c>
      <c r="C42" s="408">
        <v>2095.8000000000002</v>
      </c>
      <c r="D42" s="365">
        <v>5730.83</v>
      </c>
      <c r="E42" s="365">
        <v>3042.64</v>
      </c>
      <c r="F42" s="194"/>
      <c r="G42" s="194"/>
      <c r="H42" s="194"/>
      <c r="I42" s="202"/>
      <c r="J42" s="202"/>
      <c r="K42" s="202"/>
      <c r="L42" s="202"/>
      <c r="O42" s="366">
        <f t="shared" si="13"/>
        <v>10000</v>
      </c>
      <c r="P42" s="392">
        <f t="shared" si="14"/>
        <v>10000</v>
      </c>
      <c r="Q42" s="372">
        <f t="shared" si="15"/>
        <v>0</v>
      </c>
      <c r="R42" s="374" t="str">
        <f t="shared" si="16"/>
        <v/>
      </c>
      <c r="S42" s="553"/>
      <c r="T42" s="553"/>
      <c r="U42" s="368"/>
    </row>
    <row r="43" spans="1:22" x14ac:dyDescent="0.25">
      <c r="A43" s="724">
        <v>5341</v>
      </c>
      <c r="B43" s="397" t="s">
        <v>751</v>
      </c>
      <c r="C43" s="408">
        <v>795.95</v>
      </c>
      <c r="D43" s="365">
        <v>1045.52</v>
      </c>
      <c r="E43" s="365">
        <v>1083.3800000000001</v>
      </c>
      <c r="F43" s="194"/>
      <c r="G43" s="194"/>
      <c r="H43" s="194"/>
      <c r="I43" s="202"/>
      <c r="J43" s="202"/>
      <c r="K43" s="202"/>
      <c r="L43" s="202"/>
      <c r="O43" s="366">
        <f t="shared" si="13"/>
        <v>750</v>
      </c>
      <c r="P43" s="392">
        <f t="shared" si="14"/>
        <v>1000</v>
      </c>
      <c r="Q43" s="372">
        <f t="shared" si="15"/>
        <v>250</v>
      </c>
      <c r="R43" s="374">
        <f t="shared" si="16"/>
        <v>0.33329999999999999</v>
      </c>
      <c r="S43" s="553" t="s">
        <v>2397</v>
      </c>
      <c r="T43" s="553"/>
      <c r="U43" s="368"/>
    </row>
    <row r="44" spans="1:22" x14ac:dyDescent="0.25">
      <c r="A44" s="724">
        <v>5420</v>
      </c>
      <c r="B44" s="397" t="s">
        <v>753</v>
      </c>
      <c r="C44" s="408">
        <v>41.46</v>
      </c>
      <c r="D44" s="365">
        <v>0</v>
      </c>
      <c r="E44" s="365"/>
      <c r="F44" s="194"/>
      <c r="G44" s="194"/>
      <c r="H44" s="194"/>
      <c r="I44" s="202"/>
      <c r="J44" s="202"/>
      <c r="K44" s="202"/>
      <c r="L44" s="202"/>
      <c r="O44" s="366">
        <f t="shared" si="13"/>
        <v>0</v>
      </c>
      <c r="P44" s="392">
        <f t="shared" si="14"/>
        <v>0</v>
      </c>
      <c r="Q44" s="372">
        <f t="shared" si="15"/>
        <v>0</v>
      </c>
      <c r="R44" s="374" t="str">
        <f t="shared" si="16"/>
        <v/>
      </c>
      <c r="S44" s="553"/>
      <c r="T44" s="553"/>
      <c r="U44" s="368"/>
    </row>
    <row r="45" spans="1:22" ht="13.8" thickBot="1" x14ac:dyDescent="0.3">
      <c r="A45" s="724">
        <v>5451</v>
      </c>
      <c r="B45" s="397" t="s">
        <v>1035</v>
      </c>
      <c r="C45" s="413">
        <v>749.18</v>
      </c>
      <c r="D45" s="371">
        <v>663.39</v>
      </c>
      <c r="E45" s="371">
        <v>612.65</v>
      </c>
      <c r="F45" s="194"/>
      <c r="G45" s="194"/>
      <c r="H45" s="194"/>
      <c r="I45" s="202"/>
      <c r="J45" s="202"/>
      <c r="K45" s="202"/>
      <c r="L45" s="202"/>
      <c r="O45" s="366">
        <f t="shared" si="13"/>
        <v>500</v>
      </c>
      <c r="P45" s="392">
        <f t="shared" si="14"/>
        <v>0</v>
      </c>
      <c r="Q45" s="372">
        <f t="shared" si="15"/>
        <v>-500</v>
      </c>
      <c r="R45" s="374">
        <f t="shared" si="16"/>
        <v>-1</v>
      </c>
      <c r="S45" s="553" t="s">
        <v>2398</v>
      </c>
      <c r="T45" s="553"/>
      <c r="U45" s="368"/>
    </row>
    <row r="46" spans="1:22" x14ac:dyDescent="0.25">
      <c r="A46" s="724">
        <v>5710</v>
      </c>
      <c r="B46" s="369" t="s">
        <v>1371</v>
      </c>
      <c r="C46" s="365">
        <v>15000</v>
      </c>
      <c r="D46" s="365">
        <v>15000</v>
      </c>
      <c r="E46" s="365">
        <v>15000</v>
      </c>
      <c r="F46" s="194"/>
      <c r="G46" s="194"/>
      <c r="H46" s="194"/>
      <c r="I46" s="202"/>
      <c r="J46" s="202"/>
      <c r="K46" s="202"/>
      <c r="L46" s="202"/>
      <c r="O46" s="393">
        <f>+Q22</f>
        <v>0</v>
      </c>
      <c r="P46" s="393">
        <f>+S22</f>
        <v>0</v>
      </c>
      <c r="Q46" s="372">
        <f t="shared" si="15"/>
        <v>0</v>
      </c>
      <c r="R46" s="374" t="str">
        <f t="shared" si="16"/>
        <v/>
      </c>
      <c r="S46" s="554"/>
      <c r="T46" s="554"/>
      <c r="U46" s="414"/>
    </row>
    <row r="47" spans="1:22" x14ac:dyDescent="0.25">
      <c r="A47" s="724">
        <v>5711</v>
      </c>
      <c r="B47" s="369" t="s">
        <v>1449</v>
      </c>
      <c r="C47" s="373">
        <v>15000</v>
      </c>
      <c r="D47" s="373">
        <v>15000</v>
      </c>
      <c r="E47" s="373">
        <v>15000</v>
      </c>
      <c r="F47" s="194"/>
      <c r="G47" s="194"/>
      <c r="H47" s="194"/>
      <c r="I47" s="202"/>
      <c r="J47" s="202"/>
      <c r="K47" s="202"/>
      <c r="L47" s="202"/>
      <c r="O47" s="393">
        <f>+Q23</f>
        <v>0</v>
      </c>
      <c r="P47" s="393">
        <f>+S23</f>
        <v>0</v>
      </c>
      <c r="Q47" s="372">
        <f t="shared" si="15"/>
        <v>0</v>
      </c>
      <c r="R47" s="374" t="str">
        <f t="shared" si="16"/>
        <v/>
      </c>
      <c r="S47" s="554"/>
      <c r="T47" s="554"/>
      <c r="U47" s="414"/>
    </row>
    <row r="48" spans="1:22" x14ac:dyDescent="0.25">
      <c r="A48" s="724">
        <v>5751</v>
      </c>
      <c r="B48" s="369" t="s">
        <v>1394</v>
      </c>
      <c r="C48" s="373">
        <v>5125</v>
      </c>
      <c r="D48" s="373">
        <v>4562.5</v>
      </c>
      <c r="E48" s="373">
        <v>3962.5</v>
      </c>
      <c r="F48" s="194"/>
      <c r="G48" s="194"/>
      <c r="H48" s="194"/>
      <c r="I48" s="202"/>
      <c r="J48" s="202"/>
      <c r="K48" s="202"/>
      <c r="L48" s="202"/>
      <c r="O48" s="393">
        <f>+Q24</f>
        <v>0</v>
      </c>
      <c r="P48" s="393">
        <f>+S24</f>
        <v>0</v>
      </c>
      <c r="Q48" s="372">
        <f t="shared" si="15"/>
        <v>0</v>
      </c>
      <c r="R48" s="374" t="str">
        <f t="shared" si="16"/>
        <v/>
      </c>
      <c r="S48" s="554"/>
      <c r="T48" s="554"/>
      <c r="U48" s="414"/>
    </row>
    <row r="49" spans="1:21" ht="13.8" thickBot="1" x14ac:dyDescent="0.3">
      <c r="A49" s="724">
        <v>5752</v>
      </c>
      <c r="B49" s="369" t="s">
        <v>1450</v>
      </c>
      <c r="C49" s="371">
        <v>6775</v>
      </c>
      <c r="D49" s="371">
        <f>3200+2825</f>
        <v>6025</v>
      </c>
      <c r="E49" s="371">
        <v>5275</v>
      </c>
      <c r="F49" s="194"/>
      <c r="G49" s="194"/>
      <c r="H49" s="194"/>
      <c r="I49" s="202"/>
      <c r="J49" s="202"/>
      <c r="K49" s="202"/>
      <c r="L49" s="202"/>
      <c r="O49" s="393">
        <f>+Q25</f>
        <v>0</v>
      </c>
      <c r="P49" s="393">
        <f>+S25</f>
        <v>0</v>
      </c>
      <c r="Q49" s="372">
        <f t="shared" si="15"/>
        <v>0</v>
      </c>
      <c r="R49" s="374" t="str">
        <f t="shared" si="16"/>
        <v/>
      </c>
      <c r="S49" s="554"/>
      <c r="T49" s="554"/>
      <c r="U49" s="414"/>
    </row>
    <row r="50" spans="1:21" x14ac:dyDescent="0.25">
      <c r="D50" s="194"/>
      <c r="E50" s="194"/>
      <c r="F50" s="194"/>
      <c r="G50" s="194"/>
      <c r="H50" s="194"/>
      <c r="I50" s="202"/>
      <c r="J50" s="202"/>
      <c r="K50" s="202"/>
      <c r="L50" s="202"/>
      <c r="O50" s="194"/>
      <c r="P50" s="202"/>
      <c r="Q50" s="202"/>
    </row>
    <row r="51" spans="1:21" x14ac:dyDescent="0.25">
      <c r="B51" s="4" t="s">
        <v>735</v>
      </c>
      <c r="C51" s="23"/>
      <c r="D51" s="23"/>
      <c r="E51" s="23"/>
      <c r="F51" s="23"/>
      <c r="G51" s="23"/>
      <c r="H51" s="194"/>
      <c r="I51" s="202"/>
      <c r="J51" s="202"/>
      <c r="K51" s="202"/>
      <c r="L51" s="202"/>
      <c r="O51" s="597">
        <f>SUM(O36:O50)</f>
        <v>53250</v>
      </c>
      <c r="P51" s="597">
        <f>SUM(P36:P50)</f>
        <v>52250</v>
      </c>
      <c r="Q51" s="25">
        <f>+P51-O51</f>
        <v>-1000</v>
      </c>
      <c r="R51" s="598">
        <f>IF(O51+P51&lt;&gt;0,IF(O51&lt;&gt;0,IF(Q51&lt;&gt;0,ROUND((+Q51/O51),4),""),1),"")</f>
        <v>-1.8800000000000001E-2</v>
      </c>
    </row>
  </sheetData>
  <phoneticPr fontId="0" type="noConversion"/>
  <hyperlinks>
    <hyperlink ref="A1" location="'Working Budget with funding det'!A1" display="Main " xr:uid="{00000000-0004-0000-3500-000000000000}"/>
    <hyperlink ref="B1" location="'Table of Contents'!A1" display="TOC" xr:uid="{00000000-0004-0000-3500-000001000000}"/>
  </hyperlinks>
  <pageMargins left="0.75" right="0.75" top="1" bottom="1" header="0.5" footer="0.5"/>
  <pageSetup scale="93" fitToHeight="2" orientation="landscape" horizontalDpi="1200" verticalDpi="1200" r:id="rId1"/>
  <headerFooter alignWithMargins="0">
    <oddFooter>&amp;L&amp;D  &amp;T&amp;C&amp;F&amp;R&amp;A</oddFooter>
  </headerFooter>
  <rowBreaks count="1" manualBreakCount="1">
    <brk id="33" max="16"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B050"/>
    <pageSetUpPr fitToPage="1"/>
  </sheetPr>
  <dimension ref="A1:Y149"/>
  <sheetViews>
    <sheetView workbookViewId="0">
      <pane ySplit="7" topLeftCell="A42" activePane="bottomLeft" state="frozen"/>
      <selection activeCell="S36" sqref="S36"/>
      <selection pane="bottomLeft" activeCell="T55" sqref="T55"/>
    </sheetView>
  </sheetViews>
  <sheetFormatPr defaultRowHeight="13.2" x14ac:dyDescent="0.25"/>
  <cols>
    <col min="1" max="1" width="14.3320312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2" width="16" customWidth="1"/>
    <col min="23" max="23" width="16" hidden="1" customWidth="1"/>
    <col min="24" max="24" width="14.44140625" customWidth="1"/>
    <col min="25" max="25" width="14.6640625" style="2" customWidth="1"/>
  </cols>
  <sheetData>
    <row r="1" spans="1:24" ht="14.4" x14ac:dyDescent="0.3">
      <c r="A1" s="701" t="s">
        <v>736</v>
      </c>
      <c r="B1" s="290" t="s">
        <v>194</v>
      </c>
      <c r="D1" s="194"/>
      <c r="E1" s="194"/>
      <c r="F1" s="194"/>
      <c r="G1" s="194"/>
      <c r="H1" s="194" t="s">
        <v>1453</v>
      </c>
      <c r="I1" s="194"/>
      <c r="J1" s="194"/>
      <c r="K1" s="194"/>
      <c r="L1" s="194"/>
      <c r="M1" s="194"/>
      <c r="N1" s="194"/>
      <c r="O1" s="1323"/>
      <c r="P1" s="1323"/>
      <c r="Q1" s="327"/>
      <c r="U1"/>
    </row>
    <row r="2" spans="1:24" ht="13.8" x14ac:dyDescent="0.25">
      <c r="A2" s="702" t="s">
        <v>1142</v>
      </c>
      <c r="B2" s="43"/>
      <c r="D2" s="194"/>
      <c r="E2" s="125"/>
      <c r="F2" s="194"/>
      <c r="G2" s="194"/>
      <c r="H2" s="194"/>
      <c r="I2" s="125" t="s">
        <v>706</v>
      </c>
      <c r="J2" s="125"/>
      <c r="K2" s="125"/>
      <c r="L2" s="125"/>
      <c r="M2" s="125"/>
      <c r="N2" s="125"/>
      <c r="O2" s="125"/>
      <c r="P2" s="125"/>
      <c r="Q2" s="125"/>
      <c r="R2" s="58" t="s">
        <v>570</v>
      </c>
      <c r="U2" s="44" t="s">
        <v>1454</v>
      </c>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4.4" thickTop="1" thickBot="1" x14ac:dyDescent="0.3">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c r="W4" s="9" t="s">
        <v>468</v>
      </c>
    </row>
    <row r="5" spans="1:24" ht="13.8" thickTop="1" x14ac:dyDescent="0.25">
      <c r="A5" s="705"/>
      <c r="B5" s="184"/>
      <c r="C5" s="112"/>
      <c r="D5" s="82"/>
      <c r="E5" s="104"/>
      <c r="F5" s="82"/>
      <c r="G5" s="82"/>
      <c r="H5" s="104"/>
      <c r="I5" s="229"/>
      <c r="J5" s="229"/>
      <c r="K5" s="229"/>
      <c r="L5" s="229"/>
      <c r="M5" s="229" t="s">
        <v>1455</v>
      </c>
      <c r="N5" s="229"/>
      <c r="O5" s="229"/>
      <c r="P5" s="229"/>
      <c r="Q5" s="229"/>
      <c r="R5" s="104" t="s">
        <v>709</v>
      </c>
      <c r="S5" s="83" t="s">
        <v>710</v>
      </c>
      <c r="T5" s="83" t="s">
        <v>711</v>
      </c>
      <c r="U5" s="178" t="s">
        <v>712</v>
      </c>
      <c r="V5" s="329"/>
      <c r="W5" s="45"/>
      <c r="X5" s="330"/>
    </row>
    <row r="6" spans="1:24" x14ac:dyDescent="0.25">
      <c r="A6" s="705"/>
      <c r="B6" s="184"/>
      <c r="C6" s="112"/>
      <c r="D6" s="112"/>
      <c r="E6" s="112"/>
      <c r="F6" s="112"/>
      <c r="G6" s="112"/>
      <c r="H6" s="112"/>
      <c r="I6" s="83"/>
      <c r="J6" s="83"/>
      <c r="K6" s="83"/>
      <c r="L6" s="83"/>
      <c r="M6" s="83" t="s">
        <v>1456</v>
      </c>
      <c r="N6" s="83"/>
      <c r="O6" s="83"/>
      <c r="P6" s="83"/>
      <c r="Q6" s="83"/>
      <c r="R6" s="112"/>
      <c r="S6" s="83" t="s">
        <v>713</v>
      </c>
      <c r="T6" s="83" t="s">
        <v>481</v>
      </c>
      <c r="U6" s="45" t="s">
        <v>714</v>
      </c>
      <c r="V6" s="153"/>
      <c r="W6" s="45" t="s">
        <v>1457</v>
      </c>
      <c r="X6" s="331"/>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77"/>
      <c r="U7" s="9" t="s">
        <v>481</v>
      </c>
      <c r="V7" s="153"/>
      <c r="W7" s="9" t="s">
        <v>468</v>
      </c>
      <c r="X7" s="331"/>
    </row>
    <row r="8" spans="1:24" ht="13.8" thickTop="1" x14ac:dyDescent="0.25">
      <c r="A8" s="707"/>
      <c r="B8" s="156"/>
      <c r="C8" s="576"/>
      <c r="D8" s="191"/>
      <c r="E8" s="191"/>
      <c r="F8" s="191"/>
      <c r="G8" s="191"/>
      <c r="H8" s="191"/>
      <c r="I8" s="192"/>
      <c r="J8" s="192"/>
      <c r="K8" s="192"/>
      <c r="L8" s="192"/>
      <c r="M8" s="192"/>
      <c r="N8" s="192"/>
      <c r="O8" s="192"/>
      <c r="P8" s="192"/>
      <c r="Q8" s="192"/>
      <c r="R8" s="96"/>
      <c r="S8" s="72"/>
      <c r="T8" s="72"/>
      <c r="U8" s="72"/>
      <c r="V8" s="153"/>
      <c r="W8" s="192"/>
      <c r="X8" s="331"/>
    </row>
    <row r="9" spans="1:24" x14ac:dyDescent="0.25">
      <c r="A9" s="731">
        <v>5111</v>
      </c>
      <c r="B9" s="655" t="s">
        <v>1950</v>
      </c>
      <c r="C9" s="576"/>
      <c r="D9" s="191"/>
      <c r="E9" s="191"/>
      <c r="F9" s="191"/>
      <c r="G9" s="191"/>
      <c r="H9" s="191"/>
      <c r="I9" s="192"/>
      <c r="J9" s="192"/>
      <c r="K9" s="192"/>
      <c r="L9" s="191"/>
      <c r="M9" s="14">
        <v>49408</v>
      </c>
      <c r="N9" s="191">
        <v>49454.879999999997</v>
      </c>
      <c r="O9" s="14">
        <v>52689</v>
      </c>
      <c r="P9" s="18">
        <v>52116.480000000003</v>
      </c>
      <c r="Q9" s="14">
        <v>109976</v>
      </c>
      <c r="R9" s="191">
        <v>52620</v>
      </c>
      <c r="S9" s="14">
        <f>ROUND((+R62+R63),0)</f>
        <v>113838</v>
      </c>
      <c r="T9" s="19"/>
      <c r="U9" s="72"/>
      <c r="V9" s="153"/>
      <c r="W9" s="192"/>
      <c r="X9" s="331"/>
    </row>
    <row r="10" spans="1:24" x14ac:dyDescent="0.25">
      <c r="A10" s="708">
        <v>5114</v>
      </c>
      <c r="B10" s="655" t="s">
        <v>2507</v>
      </c>
      <c r="C10" s="115">
        <v>13810.8</v>
      </c>
      <c r="D10" s="13">
        <v>17852.68</v>
      </c>
      <c r="E10" s="13">
        <v>19441.04</v>
      </c>
      <c r="F10" s="13">
        <v>20522.490000000002</v>
      </c>
      <c r="G10" s="13">
        <v>17393.23</v>
      </c>
      <c r="H10" s="13">
        <v>19443.84</v>
      </c>
      <c r="I10" s="13">
        <v>19253.52</v>
      </c>
      <c r="J10" s="13">
        <v>12907.33</v>
      </c>
      <c r="K10" s="14">
        <v>26869</v>
      </c>
      <c r="L10" s="13">
        <v>25469.279999999999</v>
      </c>
      <c r="M10" s="958">
        <v>15800</v>
      </c>
      <c r="N10" s="115">
        <v>18517.23</v>
      </c>
      <c r="O10" s="999">
        <v>28585</v>
      </c>
      <c r="P10" s="659">
        <v>25982.13</v>
      </c>
      <c r="Q10" s="958"/>
      <c r="R10" s="13"/>
      <c r="S10" s="958"/>
      <c r="T10" s="999"/>
      <c r="U10" s="14"/>
      <c r="V10" s="267" t="s">
        <v>2608</v>
      </c>
      <c r="W10" s="13">
        <f>10810.45-W11</f>
        <v>9574.4500000000007</v>
      </c>
      <c r="X10" s="331"/>
    </row>
    <row r="11" spans="1:24" x14ac:dyDescent="0.25">
      <c r="A11" s="708">
        <v>5124</v>
      </c>
      <c r="B11" s="60" t="s">
        <v>1458</v>
      </c>
      <c r="C11" s="210"/>
      <c r="D11" s="35"/>
      <c r="E11" s="35"/>
      <c r="F11" s="35"/>
      <c r="G11" s="35"/>
      <c r="H11" s="35"/>
      <c r="I11" s="35">
        <v>2588</v>
      </c>
      <c r="J11" s="35">
        <v>2088.5</v>
      </c>
      <c r="K11" s="36">
        <v>15000</v>
      </c>
      <c r="L11" s="35">
        <v>6565.25</v>
      </c>
      <c r="M11" s="36">
        <v>17000</v>
      </c>
      <c r="N11" s="35">
        <v>19084.25</v>
      </c>
      <c r="O11" s="36">
        <v>23000</v>
      </c>
      <c r="P11" s="35">
        <v>24753.5</v>
      </c>
      <c r="Q11" s="36">
        <v>25000</v>
      </c>
      <c r="R11" s="35">
        <v>11646</v>
      </c>
      <c r="S11" s="318">
        <v>20000</v>
      </c>
      <c r="T11" s="36"/>
      <c r="U11" s="36"/>
      <c r="V11" s="153"/>
      <c r="W11" s="35">
        <v>1236</v>
      </c>
      <c r="X11" s="331"/>
    </row>
    <row r="12" spans="1:24" hidden="1" x14ac:dyDescent="0.25">
      <c r="A12" s="708">
        <v>5145</v>
      </c>
      <c r="B12" s="60" t="s">
        <v>27</v>
      </c>
      <c r="C12" s="210"/>
      <c r="D12" s="35"/>
      <c r="E12" s="35"/>
      <c r="F12" s="35"/>
      <c r="G12" s="35">
        <v>300</v>
      </c>
      <c r="H12" s="35"/>
      <c r="I12" s="35"/>
      <c r="J12" s="35"/>
      <c r="K12" s="36"/>
      <c r="L12" s="35"/>
      <c r="M12" s="36"/>
      <c r="N12" s="35"/>
      <c r="O12" s="36"/>
      <c r="P12" s="35"/>
      <c r="Q12" s="36"/>
      <c r="R12" s="35"/>
      <c r="S12" s="36"/>
      <c r="T12" s="36"/>
      <c r="U12" s="36"/>
      <c r="V12" s="153"/>
      <c r="W12" s="35"/>
      <c r="X12" s="331"/>
    </row>
    <row r="13" spans="1:24" x14ac:dyDescent="0.25">
      <c r="A13" s="708">
        <v>5132</v>
      </c>
      <c r="B13" s="60" t="s">
        <v>1459</v>
      </c>
      <c r="C13" s="210"/>
      <c r="D13" s="35"/>
      <c r="E13" s="35"/>
      <c r="F13" s="35"/>
      <c r="G13" s="35"/>
      <c r="H13" s="35"/>
      <c r="I13" s="35"/>
      <c r="J13" s="35"/>
      <c r="K13" s="36"/>
      <c r="L13" s="35">
        <v>144.41</v>
      </c>
      <c r="M13" s="36">
        <v>2000</v>
      </c>
      <c r="N13" s="35"/>
      <c r="O13" s="36">
        <v>2000</v>
      </c>
      <c r="P13" s="35">
        <v>-2995.2</v>
      </c>
      <c r="Q13" s="36">
        <v>2000</v>
      </c>
      <c r="R13" s="35">
        <v>542.4</v>
      </c>
      <c r="S13" s="318">
        <v>1500</v>
      </c>
      <c r="T13" s="36"/>
      <c r="U13" s="36"/>
      <c r="V13" s="153"/>
      <c r="W13" s="35"/>
      <c r="X13" s="331"/>
    </row>
    <row r="14" spans="1:24" x14ac:dyDescent="0.25">
      <c r="A14" s="708">
        <v>5144</v>
      </c>
      <c r="B14" s="60" t="s">
        <v>1952</v>
      </c>
      <c r="C14" s="210"/>
      <c r="D14" s="35"/>
      <c r="E14" s="35"/>
      <c r="F14" s="35"/>
      <c r="G14" s="35"/>
      <c r="H14" s="35"/>
      <c r="I14" s="35"/>
      <c r="J14" s="35"/>
      <c r="K14" s="36"/>
      <c r="L14" s="35"/>
      <c r="M14" s="36"/>
      <c r="N14" s="35"/>
      <c r="O14" s="36"/>
      <c r="P14" s="35"/>
      <c r="Q14" s="36">
        <v>500</v>
      </c>
      <c r="R14" s="35"/>
      <c r="S14" s="36">
        <f>+T62</f>
        <v>300</v>
      </c>
      <c r="T14" s="36"/>
      <c r="U14" s="36"/>
      <c r="V14" s="153"/>
      <c r="W14" s="35"/>
      <c r="X14" s="331"/>
    </row>
    <row r="15" spans="1:24" ht="13.8" thickBot="1" x14ac:dyDescent="0.3">
      <c r="A15" s="708">
        <v>5145</v>
      </c>
      <c r="B15" s="60" t="s">
        <v>744</v>
      </c>
      <c r="C15" s="116">
        <v>300.04000000000002</v>
      </c>
      <c r="D15" s="15">
        <v>300.04000000000002</v>
      </c>
      <c r="E15" s="15">
        <v>300.04000000000002</v>
      </c>
      <c r="F15" s="15">
        <v>305.81</v>
      </c>
      <c r="G15" s="15">
        <v>236.57</v>
      </c>
      <c r="H15" s="15">
        <v>300.04000000000002</v>
      </c>
      <c r="I15" s="15">
        <v>300.04000000000002</v>
      </c>
      <c r="J15" s="15">
        <v>300.04000000000002</v>
      </c>
      <c r="K15" s="16">
        <v>300</v>
      </c>
      <c r="L15" s="15">
        <v>300.04000000000002</v>
      </c>
      <c r="M15" s="16">
        <v>600</v>
      </c>
      <c r="N15" s="15">
        <v>611.62</v>
      </c>
      <c r="O15" s="16">
        <v>600</v>
      </c>
      <c r="P15" s="15">
        <v>588.54</v>
      </c>
      <c r="Q15" s="16">
        <v>600</v>
      </c>
      <c r="R15" s="15">
        <v>288.5</v>
      </c>
      <c r="S15" s="16">
        <v>600</v>
      </c>
      <c r="T15" s="16"/>
      <c r="U15" s="16"/>
      <c r="V15" s="153"/>
      <c r="W15" s="15"/>
      <c r="X15" s="331"/>
    </row>
    <row r="16" spans="1:24" x14ac:dyDescent="0.25">
      <c r="A16" s="708"/>
      <c r="B16" s="61" t="s">
        <v>718</v>
      </c>
      <c r="C16" s="117">
        <f t="shared" ref="C16:H16" si="0">SUM(C10:C15)</f>
        <v>14110.84</v>
      </c>
      <c r="D16" s="18">
        <f t="shared" si="0"/>
        <v>18152.72</v>
      </c>
      <c r="E16" s="18">
        <f t="shared" si="0"/>
        <v>19741.080000000002</v>
      </c>
      <c r="F16" s="18">
        <f t="shared" si="0"/>
        <v>20828.300000000003</v>
      </c>
      <c r="G16" s="18">
        <f t="shared" si="0"/>
        <v>17929.8</v>
      </c>
      <c r="H16" s="18">
        <f t="shared" si="0"/>
        <v>19743.88</v>
      </c>
      <c r="I16" s="18">
        <f t="shared" ref="I16:S16" si="1">SUM(I9:I15)</f>
        <v>22141.56</v>
      </c>
      <c r="J16" s="18">
        <f t="shared" si="1"/>
        <v>15295.87</v>
      </c>
      <c r="K16" s="34">
        <f t="shared" si="1"/>
        <v>42169</v>
      </c>
      <c r="L16" s="18">
        <f t="shared" si="1"/>
        <v>32478.98</v>
      </c>
      <c r="M16" s="34">
        <f t="shared" si="1"/>
        <v>84808</v>
      </c>
      <c r="N16" s="18">
        <f t="shared" si="1"/>
        <v>87667.98</v>
      </c>
      <c r="O16" s="34">
        <f t="shared" si="1"/>
        <v>106874</v>
      </c>
      <c r="P16" s="18">
        <f t="shared" si="1"/>
        <v>100445.45</v>
      </c>
      <c r="Q16" s="34">
        <f>SUM(Q9:Q15)</f>
        <v>138076</v>
      </c>
      <c r="R16" s="18">
        <f t="shared" si="1"/>
        <v>65096.9</v>
      </c>
      <c r="S16" s="34">
        <f t="shared" si="1"/>
        <v>136238</v>
      </c>
      <c r="T16" s="34">
        <f>SUM(T9:T15)</f>
        <v>0</v>
      </c>
      <c r="U16" s="34">
        <f>SUM(U10:U15)</f>
        <v>0</v>
      </c>
      <c r="V16" s="153"/>
      <c r="W16" s="18">
        <f>SUM(W10:W15)</f>
        <v>10810.45</v>
      </c>
      <c r="X16" s="331"/>
    </row>
    <row r="17" spans="1:24" x14ac:dyDescent="0.25">
      <c r="A17" s="708"/>
      <c r="B17" s="60"/>
      <c r="C17" s="115"/>
      <c r="D17" s="13"/>
      <c r="E17" s="13"/>
      <c r="F17" s="13"/>
      <c r="G17" s="13"/>
      <c r="H17" s="13"/>
      <c r="I17" s="13"/>
      <c r="J17" s="13"/>
      <c r="K17" s="14"/>
      <c r="L17" s="13"/>
      <c r="M17" s="14"/>
      <c r="N17" s="13"/>
      <c r="O17" s="14"/>
      <c r="P17" s="13"/>
      <c r="Q17" s="14"/>
      <c r="R17" s="13"/>
      <c r="S17" s="14"/>
      <c r="T17" s="14"/>
      <c r="U17" s="14"/>
      <c r="V17" s="267"/>
      <c r="W17" s="13"/>
      <c r="X17" s="331"/>
    </row>
    <row r="18" spans="1:24" x14ac:dyDescent="0.25">
      <c r="A18" s="708">
        <v>5211</v>
      </c>
      <c r="B18" s="60" t="s">
        <v>1252</v>
      </c>
      <c r="C18" s="115">
        <v>5066.71</v>
      </c>
      <c r="D18" s="13">
        <v>6228.7</v>
      </c>
      <c r="E18" s="13">
        <v>6567.25</v>
      </c>
      <c r="F18" s="13">
        <v>7139.94</v>
      </c>
      <c r="G18" s="13">
        <v>7603.06</v>
      </c>
      <c r="H18" s="13">
        <v>6972.68</v>
      </c>
      <c r="I18" s="569">
        <v>7257.31</v>
      </c>
      <c r="J18" s="569">
        <v>4301.03</v>
      </c>
      <c r="K18" s="473">
        <v>2950</v>
      </c>
      <c r="L18" s="569">
        <v>5285.21</v>
      </c>
      <c r="M18" s="473">
        <v>12809.45</v>
      </c>
      <c r="N18" s="569">
        <v>12636.51</v>
      </c>
      <c r="O18" s="473">
        <v>10000</v>
      </c>
      <c r="P18" s="569">
        <v>12741.77</v>
      </c>
      <c r="Q18" s="473">
        <v>16000</v>
      </c>
      <c r="R18" s="13">
        <v>7323.29</v>
      </c>
      <c r="S18" s="473">
        <v>16000</v>
      </c>
      <c r="T18" s="473"/>
      <c r="U18" s="14"/>
      <c r="V18" s="567"/>
      <c r="W18" s="569">
        <f>2393.38+124.66+389.46+81.02+121.7</f>
        <v>3110.22</v>
      </c>
      <c r="X18" s="331"/>
    </row>
    <row r="19" spans="1:24" x14ac:dyDescent="0.25">
      <c r="A19" s="708">
        <v>5213</v>
      </c>
      <c r="B19" s="60" t="s">
        <v>1460</v>
      </c>
      <c r="C19" s="115"/>
      <c r="D19" s="13">
        <v>806.93</v>
      </c>
      <c r="E19" s="13"/>
      <c r="F19" s="13"/>
      <c r="G19" s="13"/>
      <c r="H19" s="13"/>
      <c r="I19" s="569"/>
      <c r="J19" s="569"/>
      <c r="K19" s="473"/>
      <c r="L19" s="569"/>
      <c r="M19" s="473"/>
      <c r="N19" s="569">
        <v>1234.33</v>
      </c>
      <c r="O19" s="473"/>
      <c r="P19" s="569"/>
      <c r="Q19" s="473">
        <v>2750</v>
      </c>
      <c r="R19" s="13">
        <v>374.51</v>
      </c>
      <c r="S19" s="473">
        <v>1500</v>
      </c>
      <c r="T19" s="473"/>
      <c r="U19" s="14"/>
      <c r="V19" s="153"/>
      <c r="W19" s="569"/>
      <c r="X19" s="331"/>
    </row>
    <row r="20" spans="1:24" x14ac:dyDescent="0.25">
      <c r="A20" s="708">
        <v>5214</v>
      </c>
      <c r="B20" s="60" t="s">
        <v>1283</v>
      </c>
      <c r="C20" s="115">
        <v>537.37</v>
      </c>
      <c r="D20" s="13">
        <v>648.83000000000004</v>
      </c>
      <c r="E20" s="13">
        <v>618.26</v>
      </c>
      <c r="F20" s="13">
        <v>369.77</v>
      </c>
      <c r="G20" s="13">
        <v>451.1</v>
      </c>
      <c r="H20" s="13">
        <v>892.09</v>
      </c>
      <c r="I20" s="569">
        <v>1148.9100000000001</v>
      </c>
      <c r="J20" s="569">
        <v>295.08999999999997</v>
      </c>
      <c r="K20" s="473">
        <v>1550</v>
      </c>
      <c r="L20" s="569">
        <v>1264.94</v>
      </c>
      <c r="M20" s="473">
        <f>1550+800</f>
        <v>2350</v>
      </c>
      <c r="N20" s="569">
        <v>1805.73</v>
      </c>
      <c r="O20" s="473">
        <v>3000</v>
      </c>
      <c r="P20" s="569">
        <v>925.77</v>
      </c>
      <c r="Q20" s="473">
        <v>2250</v>
      </c>
      <c r="R20" s="13">
        <v>346.21</v>
      </c>
      <c r="S20" s="473">
        <v>1800</v>
      </c>
      <c r="T20" s="473"/>
      <c r="U20" s="14"/>
      <c r="V20" s="153"/>
      <c r="W20" s="569">
        <f>336.62+17.05+4.51+42.5</f>
        <v>400.68</v>
      </c>
      <c r="X20" s="331"/>
    </row>
    <row r="21" spans="1:24" x14ac:dyDescent="0.25">
      <c r="A21" s="708">
        <v>5215</v>
      </c>
      <c r="B21" s="60" t="s">
        <v>1960</v>
      </c>
      <c r="C21" s="115"/>
      <c r="D21" s="13"/>
      <c r="E21" s="13"/>
      <c r="F21" s="13"/>
      <c r="G21" s="13"/>
      <c r="H21" s="13"/>
      <c r="I21" s="569"/>
      <c r="J21" s="569"/>
      <c r="K21" s="473"/>
      <c r="L21" s="569"/>
      <c r="M21" s="473"/>
      <c r="N21" s="569"/>
      <c r="O21" s="473"/>
      <c r="P21" s="569"/>
      <c r="Q21" s="473">
        <v>1000</v>
      </c>
      <c r="R21" s="13">
        <v>57.39</v>
      </c>
      <c r="S21" s="473">
        <v>1000</v>
      </c>
      <c r="T21" s="473"/>
      <c r="U21" s="14"/>
      <c r="V21" s="153"/>
      <c r="W21" s="569"/>
      <c r="X21" s="331"/>
    </row>
    <row r="22" spans="1:24" x14ac:dyDescent="0.25">
      <c r="A22" s="708">
        <v>5231</v>
      </c>
      <c r="B22" s="60" t="s">
        <v>1284</v>
      </c>
      <c r="C22" s="115">
        <v>403.2</v>
      </c>
      <c r="D22" s="13">
        <v>146</v>
      </c>
      <c r="E22" s="13">
        <v>219.2</v>
      </c>
      <c r="F22" s="13">
        <v>862.2</v>
      </c>
      <c r="G22" s="13">
        <v>178.2</v>
      </c>
      <c r="H22" s="13">
        <v>259.2</v>
      </c>
      <c r="I22" s="569">
        <v>423.9</v>
      </c>
      <c r="J22" s="569">
        <v>108.5</v>
      </c>
      <c r="K22" s="473">
        <v>1000</v>
      </c>
      <c r="L22" s="569">
        <v>554.5</v>
      </c>
      <c r="M22" s="473">
        <v>1350</v>
      </c>
      <c r="N22" s="569">
        <v>806.83</v>
      </c>
      <c r="O22" s="473">
        <v>2000</v>
      </c>
      <c r="P22" s="569">
        <v>903.89</v>
      </c>
      <c r="Q22" s="473">
        <v>1250</v>
      </c>
      <c r="R22" s="13">
        <v>499.31</v>
      </c>
      <c r="S22" s="473">
        <v>1250</v>
      </c>
      <c r="T22" s="473"/>
      <c r="U22" s="14"/>
      <c r="V22" s="153"/>
      <c r="W22" s="569">
        <v>121</v>
      </c>
      <c r="X22" s="331"/>
    </row>
    <row r="23" spans="1:24" x14ac:dyDescent="0.25">
      <c r="A23" s="708">
        <v>5241</v>
      </c>
      <c r="B23" s="12" t="s">
        <v>1461</v>
      </c>
      <c r="C23" s="13">
        <v>5585.18</v>
      </c>
      <c r="D23" s="13">
        <v>4307.68</v>
      </c>
      <c r="E23" s="13">
        <v>2060.39</v>
      </c>
      <c r="F23" s="13">
        <v>3265.74</v>
      </c>
      <c r="G23" s="13">
        <v>3262.36</v>
      </c>
      <c r="H23" s="13">
        <v>7969.93</v>
      </c>
      <c r="I23" s="569">
        <v>6357.29</v>
      </c>
      <c r="J23" s="569">
        <v>4341.49</v>
      </c>
      <c r="K23" s="473">
        <v>10500</v>
      </c>
      <c r="L23" s="569">
        <v>25184.68</v>
      </c>
      <c r="M23" s="473">
        <v>25877</v>
      </c>
      <c r="N23" s="569">
        <v>24343.85</v>
      </c>
      <c r="O23" s="473">
        <v>15000</v>
      </c>
      <c r="P23" s="569">
        <v>15699.25</v>
      </c>
      <c r="Q23" s="473">
        <v>15000</v>
      </c>
      <c r="R23" s="13">
        <v>9575.24</v>
      </c>
      <c r="S23" s="1337">
        <v>14500</v>
      </c>
      <c r="T23" s="473"/>
      <c r="U23" s="14"/>
      <c r="W23" s="569">
        <f>309.66+90.88+8.85+392.8+261.72+91.39</f>
        <v>1155.3000000000002</v>
      </c>
      <c r="X23" s="331"/>
    </row>
    <row r="24" spans="1:24" x14ac:dyDescent="0.25">
      <c r="A24" s="708">
        <v>5244</v>
      </c>
      <c r="B24" s="12" t="s">
        <v>1029</v>
      </c>
      <c r="C24" s="13"/>
      <c r="D24" s="13"/>
      <c r="E24" s="13"/>
      <c r="F24" s="13"/>
      <c r="G24" s="13"/>
      <c r="H24" s="13"/>
      <c r="I24" s="569"/>
      <c r="J24" s="569"/>
      <c r="K24" s="473"/>
      <c r="L24" s="569"/>
      <c r="M24" s="473"/>
      <c r="N24" s="569"/>
      <c r="O24" s="473">
        <v>19100</v>
      </c>
      <c r="P24" s="569">
        <v>25650.11</v>
      </c>
      <c r="Q24" s="473">
        <v>12500</v>
      </c>
      <c r="R24" s="13">
        <v>20881.349999999999</v>
      </c>
      <c r="S24" s="1337">
        <v>13000</v>
      </c>
      <c r="T24" s="473"/>
      <c r="U24" s="14"/>
      <c r="W24" s="569"/>
      <c r="X24" s="331"/>
    </row>
    <row r="25" spans="1:24" x14ac:dyDescent="0.25">
      <c r="A25" s="708">
        <v>5251</v>
      </c>
      <c r="B25" s="12" t="s">
        <v>1462</v>
      </c>
      <c r="C25" s="13">
        <v>740.5</v>
      </c>
      <c r="D25" s="13">
        <v>1025.08</v>
      </c>
      <c r="E25" s="13">
        <v>368.69</v>
      </c>
      <c r="F25" s="13"/>
      <c r="G25" s="13">
        <v>174.84</v>
      </c>
      <c r="H25" s="13">
        <v>553.89</v>
      </c>
      <c r="I25" s="569">
        <v>1161.04</v>
      </c>
      <c r="J25" s="569">
        <v>457.36</v>
      </c>
      <c r="K25" s="473">
        <v>3500</v>
      </c>
      <c r="L25" s="569">
        <v>6536.97</v>
      </c>
      <c r="M25" s="473">
        <f>2500+2000</f>
        <v>4500</v>
      </c>
      <c r="N25" s="569">
        <v>4858.92</v>
      </c>
      <c r="O25" s="473">
        <v>2000</v>
      </c>
      <c r="P25" s="569">
        <v>2450.89</v>
      </c>
      <c r="Q25" s="473">
        <v>3500</v>
      </c>
      <c r="R25" s="13">
        <v>2845.88</v>
      </c>
      <c r="S25" s="1337">
        <v>3000</v>
      </c>
      <c r="T25" s="473"/>
      <c r="U25" s="14"/>
      <c r="W25" s="569"/>
      <c r="X25" s="331"/>
    </row>
    <row r="26" spans="1:24" x14ac:dyDescent="0.25">
      <c r="A26" s="708">
        <v>5275</v>
      </c>
      <c r="B26" s="12" t="s">
        <v>1463</v>
      </c>
      <c r="C26" s="13">
        <v>3574</v>
      </c>
      <c r="D26" s="13">
        <v>5884</v>
      </c>
      <c r="E26" s="13">
        <v>9987.5</v>
      </c>
      <c r="F26" s="13">
        <v>1200</v>
      </c>
      <c r="G26" s="13">
        <v>14487.5</v>
      </c>
      <c r="H26" s="13">
        <v>4654.92</v>
      </c>
      <c r="I26" s="569">
        <v>2282.0300000000002</v>
      </c>
      <c r="J26" s="569">
        <v>1290.47</v>
      </c>
      <c r="K26" s="473">
        <v>1100</v>
      </c>
      <c r="L26" s="569">
        <v>942.6</v>
      </c>
      <c r="M26" s="473">
        <f>400+1000</f>
        <v>1400</v>
      </c>
      <c r="N26" s="569">
        <v>1631.48</v>
      </c>
      <c r="O26" s="473">
        <v>1000</v>
      </c>
      <c r="P26" s="569">
        <v>1318.91</v>
      </c>
      <c r="Q26" s="473">
        <v>2000</v>
      </c>
      <c r="R26" s="13"/>
      <c r="S26" s="473">
        <v>2000</v>
      </c>
      <c r="T26" s="473"/>
      <c r="U26" s="14"/>
      <c r="W26" s="569"/>
      <c r="X26" s="331"/>
    </row>
    <row r="27" spans="1:24" x14ac:dyDescent="0.25">
      <c r="A27" s="708">
        <v>5302</v>
      </c>
      <c r="B27" s="12" t="s">
        <v>94</v>
      </c>
      <c r="C27" s="13">
        <v>391</v>
      </c>
      <c r="D27" s="13">
        <v>238</v>
      </c>
      <c r="E27" s="13">
        <v>17</v>
      </c>
      <c r="F27" s="13">
        <v>85</v>
      </c>
      <c r="G27" s="13"/>
      <c r="H27" s="13"/>
      <c r="I27" s="569">
        <v>140</v>
      </c>
      <c r="J27" s="569"/>
      <c r="K27" s="473">
        <v>1650</v>
      </c>
      <c r="L27" s="569">
        <v>728.77</v>
      </c>
      <c r="M27" s="473">
        <f>1650+350</f>
        <v>2000</v>
      </c>
      <c r="N27" s="569">
        <v>877.5</v>
      </c>
      <c r="O27" s="473">
        <v>5000</v>
      </c>
      <c r="P27" s="569"/>
      <c r="Q27" s="473">
        <v>1500</v>
      </c>
      <c r="R27" s="13">
        <v>90</v>
      </c>
      <c r="S27" s="473">
        <v>1000</v>
      </c>
      <c r="T27" s="473"/>
      <c r="U27" s="14"/>
      <c r="W27" s="569"/>
      <c r="X27" s="331"/>
    </row>
    <row r="28" spans="1:24" x14ac:dyDescent="0.25">
      <c r="A28" s="708">
        <v>5314</v>
      </c>
      <c r="B28" s="12" t="s">
        <v>1031</v>
      </c>
      <c r="C28" s="13">
        <v>189</v>
      </c>
      <c r="D28" s="13">
        <v>240</v>
      </c>
      <c r="E28" s="13"/>
      <c r="F28" s="13">
        <v>180</v>
      </c>
      <c r="G28" s="13">
        <v>300</v>
      </c>
      <c r="H28" s="13">
        <v>200</v>
      </c>
      <c r="I28" s="569">
        <v>46.79</v>
      </c>
      <c r="J28" s="569">
        <v>112.76</v>
      </c>
      <c r="K28" s="473">
        <v>2100</v>
      </c>
      <c r="L28" s="569"/>
      <c r="M28" s="473">
        <v>500</v>
      </c>
      <c r="N28" s="569">
        <v>250</v>
      </c>
      <c r="O28" s="473">
        <v>2000</v>
      </c>
      <c r="P28" s="569">
        <v>26.48</v>
      </c>
      <c r="Q28" s="473">
        <v>1500</v>
      </c>
      <c r="R28" s="13"/>
      <c r="S28" s="473">
        <v>1000</v>
      </c>
      <c r="T28" s="473"/>
      <c r="U28" s="14"/>
      <c r="W28" s="569"/>
      <c r="X28" s="331"/>
    </row>
    <row r="29" spans="1:24" x14ac:dyDescent="0.25">
      <c r="A29" s="708">
        <v>5315</v>
      </c>
      <c r="B29" s="12" t="s">
        <v>1157</v>
      </c>
      <c r="C29" s="13">
        <v>175</v>
      </c>
      <c r="D29" s="13">
        <v>0</v>
      </c>
      <c r="E29" s="13"/>
      <c r="F29" s="13"/>
      <c r="G29" s="13">
        <v>83.79</v>
      </c>
      <c r="H29" s="13">
        <v>260</v>
      </c>
      <c r="I29" s="569">
        <v>496.29</v>
      </c>
      <c r="J29" s="569">
        <v>443.86</v>
      </c>
      <c r="K29" s="473">
        <v>1500</v>
      </c>
      <c r="L29" s="569">
        <v>1569.26</v>
      </c>
      <c r="M29" s="473">
        <v>650</v>
      </c>
      <c r="N29" s="569"/>
      <c r="O29" s="473">
        <v>1000</v>
      </c>
      <c r="P29" s="569">
        <v>2234.37</v>
      </c>
      <c r="Q29" s="473">
        <v>1500</v>
      </c>
      <c r="R29" s="13">
        <v>1005</v>
      </c>
      <c r="S29" s="473">
        <v>1500</v>
      </c>
      <c r="T29" s="473"/>
      <c r="U29" s="14"/>
      <c r="W29" s="569"/>
      <c r="X29" s="331"/>
    </row>
    <row r="30" spans="1:24" x14ac:dyDescent="0.25">
      <c r="A30" s="708">
        <v>5341</v>
      </c>
      <c r="B30" s="12" t="s">
        <v>1464</v>
      </c>
      <c r="C30" s="13">
        <v>824.55</v>
      </c>
      <c r="D30" s="13">
        <v>813.4</v>
      </c>
      <c r="E30" s="13">
        <v>808.28</v>
      </c>
      <c r="F30" s="13">
        <v>990.09</v>
      </c>
      <c r="G30" s="13">
        <v>1512.13</v>
      </c>
      <c r="H30" s="13">
        <v>1331.16</v>
      </c>
      <c r="I30" s="569">
        <v>1196.72</v>
      </c>
      <c r="J30" s="569">
        <v>696.74</v>
      </c>
      <c r="K30" s="473">
        <v>2150</v>
      </c>
      <c r="L30" s="569">
        <v>2179.44</v>
      </c>
      <c r="M30" s="473">
        <v>4650</v>
      </c>
      <c r="N30" s="569">
        <v>5508.71</v>
      </c>
      <c r="O30" s="473">
        <v>3000</v>
      </c>
      <c r="P30" s="569">
        <v>2691.27</v>
      </c>
      <c r="Q30" s="473">
        <v>3300</v>
      </c>
      <c r="R30" s="13">
        <v>1670.64</v>
      </c>
      <c r="S30" s="473">
        <v>3750</v>
      </c>
      <c r="T30" s="473"/>
      <c r="U30" s="14"/>
      <c r="W30" s="569">
        <f>421.28+105.32</f>
        <v>526.59999999999991</v>
      </c>
      <c r="X30" s="331"/>
    </row>
    <row r="31" spans="1:24" x14ac:dyDescent="0.25">
      <c r="A31" s="708">
        <v>5344</v>
      </c>
      <c r="B31" s="12" t="s">
        <v>722</v>
      </c>
      <c r="C31" s="13">
        <v>82.22</v>
      </c>
      <c r="D31" s="13">
        <v>33.18</v>
      </c>
      <c r="E31" s="13">
        <v>47.61</v>
      </c>
      <c r="F31" s="13">
        <v>68.349999999999994</v>
      </c>
      <c r="G31" s="13">
        <v>36.56</v>
      </c>
      <c r="H31" s="13">
        <v>57.59</v>
      </c>
      <c r="I31" s="569">
        <v>173.38</v>
      </c>
      <c r="J31" s="569">
        <v>182.2</v>
      </c>
      <c r="K31" s="473">
        <v>625</v>
      </c>
      <c r="L31" s="569">
        <v>114.89</v>
      </c>
      <c r="M31" s="473">
        <v>125</v>
      </c>
      <c r="N31" s="569">
        <v>47.48</v>
      </c>
      <c r="O31" s="473">
        <v>200</v>
      </c>
      <c r="P31" s="569">
        <v>29.34</v>
      </c>
      <c r="Q31" s="473">
        <v>350</v>
      </c>
      <c r="R31" s="13">
        <v>5.67</v>
      </c>
      <c r="S31" s="473">
        <v>200</v>
      </c>
      <c r="T31" s="473"/>
      <c r="U31" s="14"/>
      <c r="W31" s="569"/>
      <c r="X31" s="331"/>
    </row>
    <row r="32" spans="1:24" x14ac:dyDescent="0.25">
      <c r="A32" s="708">
        <v>5345</v>
      </c>
      <c r="B32" s="12" t="s">
        <v>752</v>
      </c>
      <c r="C32" s="18"/>
      <c r="D32" s="13">
        <v>796.78</v>
      </c>
      <c r="E32" s="13"/>
      <c r="F32" s="13">
        <v>150.03</v>
      </c>
      <c r="G32" s="13">
        <v>222.97</v>
      </c>
      <c r="H32" s="13"/>
      <c r="I32" s="569">
        <v>198.29</v>
      </c>
      <c r="J32" s="569">
        <v>1316.05</v>
      </c>
      <c r="K32" s="473">
        <v>2250</v>
      </c>
      <c r="L32" s="570">
        <v>585.84</v>
      </c>
      <c r="M32" s="473">
        <v>10000</v>
      </c>
      <c r="N32" s="570">
        <v>10172.56</v>
      </c>
      <c r="O32" s="473">
        <v>2500</v>
      </c>
      <c r="P32" s="570">
        <v>1979.93</v>
      </c>
      <c r="Q32" s="473">
        <v>3000</v>
      </c>
      <c r="R32" s="18">
        <v>2839.36</v>
      </c>
      <c r="S32" s="1337">
        <v>2000</v>
      </c>
      <c r="T32" s="473"/>
      <c r="U32" s="14"/>
      <c r="W32" s="569">
        <v>298</v>
      </c>
      <c r="X32" s="331"/>
    </row>
    <row r="33" spans="1:24" x14ac:dyDescent="0.25">
      <c r="A33" s="708">
        <v>5420</v>
      </c>
      <c r="B33" s="12" t="s">
        <v>753</v>
      </c>
      <c r="C33" s="18">
        <v>175.79</v>
      </c>
      <c r="D33" s="13">
        <v>124.86</v>
      </c>
      <c r="E33" s="13">
        <v>221.12</v>
      </c>
      <c r="F33" s="13">
        <v>2057.3000000000002</v>
      </c>
      <c r="G33" s="13">
        <v>241.04</v>
      </c>
      <c r="H33" s="13">
        <v>872.64</v>
      </c>
      <c r="I33" s="569">
        <v>717.58</v>
      </c>
      <c r="J33" s="569">
        <v>1208.06</v>
      </c>
      <c r="K33" s="473">
        <v>1300</v>
      </c>
      <c r="L33" s="570">
        <v>3863.49</v>
      </c>
      <c r="M33" s="473">
        <f>1000+1000</f>
        <v>2000</v>
      </c>
      <c r="N33" s="570">
        <v>2411.34</v>
      </c>
      <c r="O33" s="473">
        <v>2000</v>
      </c>
      <c r="P33" s="570">
        <v>3808.96</v>
      </c>
      <c r="Q33" s="473">
        <v>1500</v>
      </c>
      <c r="R33" s="18">
        <v>1455.37</v>
      </c>
      <c r="S33" s="473">
        <v>1500</v>
      </c>
      <c r="T33" s="473"/>
      <c r="U33" s="14"/>
      <c r="W33" s="569">
        <v>909.22</v>
      </c>
      <c r="X33" s="331"/>
    </row>
    <row r="34" spans="1:24" x14ac:dyDescent="0.25">
      <c r="A34" s="708">
        <v>5443</v>
      </c>
      <c r="B34" s="12" t="s">
        <v>1164</v>
      </c>
      <c r="C34" s="13">
        <v>48.61</v>
      </c>
      <c r="D34" s="18">
        <v>0</v>
      </c>
      <c r="E34" s="18"/>
      <c r="F34" s="18">
        <v>108.25</v>
      </c>
      <c r="G34" s="18">
        <v>158.6</v>
      </c>
      <c r="H34" s="18">
        <v>526.35</v>
      </c>
      <c r="I34" s="570">
        <v>621.1</v>
      </c>
      <c r="J34" s="570">
        <v>515.80999999999995</v>
      </c>
      <c r="K34" s="474">
        <v>1850</v>
      </c>
      <c r="L34" s="570">
        <v>3408.81</v>
      </c>
      <c r="M34" s="474">
        <v>4800</v>
      </c>
      <c r="N34" s="570">
        <v>4926.2700000000004</v>
      </c>
      <c r="O34" s="474">
        <v>3000</v>
      </c>
      <c r="P34" s="570">
        <v>2696.29</v>
      </c>
      <c r="Q34" s="474">
        <v>3000</v>
      </c>
      <c r="R34" s="13">
        <v>1018.54</v>
      </c>
      <c r="S34" s="1338">
        <v>2000</v>
      </c>
      <c r="T34" s="474"/>
      <c r="U34" s="19"/>
      <c r="W34" s="570">
        <f>615+387.37+76.41+119.96+94.56+37.52+219.6+133.83</f>
        <v>1684.2499999999998</v>
      </c>
      <c r="X34" s="331"/>
    </row>
    <row r="35" spans="1:24" x14ac:dyDescent="0.25">
      <c r="A35" s="708">
        <v>5481</v>
      </c>
      <c r="B35" s="12" t="s">
        <v>1037</v>
      </c>
      <c r="C35" s="18"/>
      <c r="D35" s="18"/>
      <c r="E35" s="18"/>
      <c r="F35" s="18"/>
      <c r="G35" s="18"/>
      <c r="H35" s="18"/>
      <c r="I35" s="570"/>
      <c r="J35" s="570">
        <v>3197.4</v>
      </c>
      <c r="K35" s="474">
        <v>4500</v>
      </c>
      <c r="L35" s="570">
        <v>4581.92</v>
      </c>
      <c r="M35" s="474">
        <f>2500+3000</f>
        <v>5500</v>
      </c>
      <c r="N35" s="570">
        <v>7058.61</v>
      </c>
      <c r="O35" s="474">
        <v>7500</v>
      </c>
      <c r="P35" s="570">
        <v>4508</v>
      </c>
      <c r="Q35" s="474">
        <v>7500</v>
      </c>
      <c r="R35" s="13">
        <v>1564.17</v>
      </c>
      <c r="S35" s="1338">
        <v>6000</v>
      </c>
      <c r="T35" s="474"/>
      <c r="U35" s="19"/>
      <c r="W35" s="570">
        <f>96+50+1404.49</f>
        <v>1550.49</v>
      </c>
      <c r="X35" s="331"/>
    </row>
    <row r="36" spans="1:24" x14ac:dyDescent="0.25">
      <c r="A36" s="708">
        <v>5482</v>
      </c>
      <c r="B36" s="12" t="s">
        <v>1166</v>
      </c>
      <c r="C36" s="18"/>
      <c r="D36" s="18"/>
      <c r="E36" s="18"/>
      <c r="F36" s="18"/>
      <c r="G36" s="18"/>
      <c r="H36" s="18"/>
      <c r="I36" s="570"/>
      <c r="J36" s="570"/>
      <c r="K36" s="474"/>
      <c r="L36" s="570"/>
      <c r="M36" s="474"/>
      <c r="N36" s="570"/>
      <c r="O36" s="474"/>
      <c r="P36" s="570">
        <v>1313.26</v>
      </c>
      <c r="Q36" s="474">
        <v>8500</v>
      </c>
      <c r="R36" s="13">
        <v>2433.67</v>
      </c>
      <c r="S36" s="1338">
        <v>6000</v>
      </c>
      <c r="T36" s="474"/>
      <c r="U36" s="19"/>
      <c r="W36" s="570"/>
      <c r="X36" s="331"/>
    </row>
    <row r="37" spans="1:24" x14ac:dyDescent="0.25">
      <c r="A37" s="708">
        <v>5500</v>
      </c>
      <c r="B37" s="12" t="s">
        <v>1465</v>
      </c>
      <c r="C37" s="18"/>
      <c r="D37" s="18">
        <v>113.67</v>
      </c>
      <c r="E37" s="18">
        <v>500</v>
      </c>
      <c r="F37" s="18">
        <v>1747.06</v>
      </c>
      <c r="G37" s="18">
        <v>923.8</v>
      </c>
      <c r="H37" s="18">
        <v>2520.9499999999998</v>
      </c>
      <c r="I37" s="570">
        <v>1284.3499999999999</v>
      </c>
      <c r="J37" s="570">
        <v>616.69000000000005</v>
      </c>
      <c r="K37" s="474">
        <v>650</v>
      </c>
      <c r="L37" s="570">
        <v>1658.19</v>
      </c>
      <c r="M37" s="474">
        <v>20200</v>
      </c>
      <c r="N37" s="570">
        <v>20706.990000000002</v>
      </c>
      <c r="O37" s="474">
        <v>1000</v>
      </c>
      <c r="P37" s="570">
        <v>6522.94</v>
      </c>
      <c r="Q37" s="474">
        <v>2500</v>
      </c>
      <c r="R37" s="13">
        <v>258.95999999999998</v>
      </c>
      <c r="S37" s="1338">
        <v>1250</v>
      </c>
      <c r="T37" s="474"/>
      <c r="U37" s="19"/>
      <c r="W37" s="570">
        <v>1228</v>
      </c>
      <c r="X37" s="331"/>
    </row>
    <row r="38" spans="1:24" x14ac:dyDescent="0.25">
      <c r="A38" s="708">
        <v>5580</v>
      </c>
      <c r="B38" s="12" t="s">
        <v>1953</v>
      </c>
      <c r="C38" s="18"/>
      <c r="D38" s="18"/>
      <c r="E38" s="18"/>
      <c r="F38" s="18"/>
      <c r="G38" s="18"/>
      <c r="H38" s="18"/>
      <c r="I38" s="570"/>
      <c r="J38" s="570"/>
      <c r="K38" s="474"/>
      <c r="L38" s="570"/>
      <c r="M38" s="474"/>
      <c r="N38" s="570"/>
      <c r="O38" s="474"/>
      <c r="P38" s="570"/>
      <c r="Q38" s="474">
        <v>4500</v>
      </c>
      <c r="R38" s="13"/>
      <c r="S38" s="1338">
        <v>4500</v>
      </c>
      <c r="T38" s="474"/>
      <c r="U38" s="19"/>
      <c r="W38" s="570"/>
      <c r="X38" s="331"/>
    </row>
    <row r="39" spans="1:24" x14ac:dyDescent="0.25">
      <c r="A39" s="708">
        <v>5581</v>
      </c>
      <c r="B39" s="12" t="s">
        <v>1954</v>
      </c>
      <c r="C39" s="18"/>
      <c r="D39" s="18"/>
      <c r="E39" s="18"/>
      <c r="F39" s="18"/>
      <c r="G39" s="18"/>
      <c r="H39" s="18"/>
      <c r="I39" s="570"/>
      <c r="J39" s="570"/>
      <c r="K39" s="474"/>
      <c r="L39" s="570"/>
      <c r="M39" s="474"/>
      <c r="N39" s="570"/>
      <c r="O39" s="474"/>
      <c r="P39" s="570"/>
      <c r="Q39" s="474">
        <v>4500</v>
      </c>
      <c r="R39" s="13">
        <v>15294.74</v>
      </c>
      <c r="S39" s="474">
        <v>4500</v>
      </c>
      <c r="T39" s="474"/>
      <c r="U39" s="19"/>
      <c r="W39" s="570"/>
      <c r="X39" s="331"/>
    </row>
    <row r="40" spans="1:24" x14ac:dyDescent="0.25">
      <c r="A40" s="708">
        <v>5582</v>
      </c>
      <c r="B40" s="12" t="s">
        <v>1466</v>
      </c>
      <c r="C40" s="18"/>
      <c r="D40" s="18"/>
      <c r="E40" s="18"/>
      <c r="F40" s="18"/>
      <c r="G40" s="18"/>
      <c r="H40" s="18"/>
      <c r="I40" s="570">
        <v>139</v>
      </c>
      <c r="J40" s="570">
        <v>74.97</v>
      </c>
      <c r="K40" s="474">
        <v>1550</v>
      </c>
      <c r="L40" s="570">
        <v>3366.7</v>
      </c>
      <c r="M40" s="474">
        <v>3000</v>
      </c>
      <c r="N40" s="570">
        <v>3854.78</v>
      </c>
      <c r="O40" s="474">
        <v>3500</v>
      </c>
      <c r="P40" s="570">
        <v>4093.14</v>
      </c>
      <c r="Q40" s="474">
        <v>3750</v>
      </c>
      <c r="R40" s="13">
        <v>2377.42</v>
      </c>
      <c r="S40" s="474">
        <v>4250</v>
      </c>
      <c r="T40" s="474"/>
      <c r="U40" s="19"/>
      <c r="W40" s="570"/>
      <c r="X40" s="331"/>
    </row>
    <row r="41" spans="1:24" x14ac:dyDescent="0.25">
      <c r="A41" s="708">
        <v>5584</v>
      </c>
      <c r="B41" s="12" t="s">
        <v>1955</v>
      </c>
      <c r="C41" s="18"/>
      <c r="D41" s="18"/>
      <c r="E41" s="18"/>
      <c r="F41" s="18"/>
      <c r="G41" s="18"/>
      <c r="H41" s="18"/>
      <c r="I41" s="570"/>
      <c r="J41" s="570"/>
      <c r="K41" s="474"/>
      <c r="L41" s="570"/>
      <c r="M41" s="474"/>
      <c r="N41" s="570">
        <v>393.23</v>
      </c>
      <c r="O41" s="474"/>
      <c r="P41" s="570">
        <v>717.42</v>
      </c>
      <c r="Q41" s="474">
        <v>500</v>
      </c>
      <c r="R41" s="13">
        <v>167.22</v>
      </c>
      <c r="S41" s="474">
        <v>500</v>
      </c>
      <c r="T41" s="474"/>
      <c r="U41" s="19"/>
      <c r="W41" s="570"/>
      <c r="X41" s="331"/>
    </row>
    <row r="42" spans="1:24" x14ac:dyDescent="0.25">
      <c r="A42" s="708">
        <v>5710</v>
      </c>
      <c r="B42" s="12" t="s">
        <v>758</v>
      </c>
      <c r="C42" s="18">
        <v>432.52</v>
      </c>
      <c r="D42" s="13">
        <v>358.6</v>
      </c>
      <c r="E42" s="13">
        <v>213.5</v>
      </c>
      <c r="F42" s="13">
        <v>1109.31</v>
      </c>
      <c r="G42" s="13">
        <v>502.28</v>
      </c>
      <c r="H42" s="13"/>
      <c r="I42" s="569">
        <v>205</v>
      </c>
      <c r="J42" s="569">
        <v>1013.28</v>
      </c>
      <c r="K42" s="473">
        <v>950</v>
      </c>
      <c r="L42" s="569">
        <v>883.82</v>
      </c>
      <c r="M42" s="473">
        <v>1100</v>
      </c>
      <c r="N42" s="569">
        <v>898.98</v>
      </c>
      <c r="O42" s="473">
        <v>2000</v>
      </c>
      <c r="P42" s="569">
        <v>609.36</v>
      </c>
      <c r="Q42" s="473">
        <v>2500</v>
      </c>
      <c r="R42" s="13">
        <v>111.49</v>
      </c>
      <c r="S42" s="1337">
        <v>1000</v>
      </c>
      <c r="T42" s="473"/>
      <c r="U42" s="14"/>
      <c r="W42" s="569"/>
      <c r="X42" s="331"/>
    </row>
    <row r="43" spans="1:24" x14ac:dyDescent="0.25">
      <c r="A43" s="708">
        <v>5730</v>
      </c>
      <c r="B43" s="12" t="s">
        <v>1467</v>
      </c>
      <c r="C43" s="28"/>
      <c r="D43" s="13"/>
      <c r="E43" s="13"/>
      <c r="F43" s="13">
        <v>175</v>
      </c>
      <c r="G43" s="13"/>
      <c r="H43" s="13">
        <v>230</v>
      </c>
      <c r="I43" s="569">
        <v>255</v>
      </c>
      <c r="J43" s="569">
        <v>425</v>
      </c>
      <c r="K43" s="473">
        <v>400</v>
      </c>
      <c r="L43" s="569"/>
      <c r="M43" s="473">
        <v>500</v>
      </c>
      <c r="N43" s="569">
        <v>329.19</v>
      </c>
      <c r="O43" s="473">
        <v>500</v>
      </c>
      <c r="P43" s="569">
        <v>250</v>
      </c>
      <c r="Q43" s="473">
        <v>750</v>
      </c>
      <c r="R43" s="13">
        <v>362.5</v>
      </c>
      <c r="S43" s="473">
        <v>500</v>
      </c>
      <c r="T43" s="473"/>
      <c r="U43" s="14"/>
      <c r="W43" s="569"/>
      <c r="X43" s="331"/>
    </row>
    <row r="44" spans="1:24" ht="13.8" thickBot="1" x14ac:dyDescent="0.3">
      <c r="A44" s="708">
        <v>5740</v>
      </c>
      <c r="B44" s="12" t="s">
        <v>861</v>
      </c>
      <c r="C44" s="15">
        <v>4569</v>
      </c>
      <c r="D44" s="37">
        <v>4735</v>
      </c>
      <c r="E44" s="37">
        <f>175+4225</f>
        <v>4400</v>
      </c>
      <c r="F44" s="37">
        <v>4184</v>
      </c>
      <c r="G44" s="37">
        <v>3850</v>
      </c>
      <c r="H44" s="37">
        <v>1725</v>
      </c>
      <c r="I44" s="569">
        <v>2146</v>
      </c>
      <c r="J44" s="569">
        <v>3920</v>
      </c>
      <c r="K44" s="473">
        <v>11250</v>
      </c>
      <c r="L44" s="569">
        <v>304.99</v>
      </c>
      <c r="M44" s="473">
        <v>17300</v>
      </c>
      <c r="N44" s="569">
        <v>17123</v>
      </c>
      <c r="O44" s="473">
        <v>16000</v>
      </c>
      <c r="P44" s="569">
        <v>16196.8</v>
      </c>
      <c r="Q44" s="473">
        <v>18000</v>
      </c>
      <c r="R44" s="13">
        <v>18971</v>
      </c>
      <c r="S44" s="473">
        <v>19500</v>
      </c>
      <c r="T44" s="473"/>
      <c r="U44" s="14"/>
      <c r="W44" s="569"/>
      <c r="X44" s="331"/>
    </row>
    <row r="45" spans="1:24" x14ac:dyDescent="0.25">
      <c r="A45" s="708"/>
      <c r="B45" s="12" t="s">
        <v>1956</v>
      </c>
      <c r="C45" s="13"/>
      <c r="D45" s="18"/>
      <c r="E45" s="18"/>
      <c r="F45" s="18"/>
      <c r="G45" s="18"/>
      <c r="H45" s="18"/>
      <c r="I45" s="570"/>
      <c r="J45" s="570"/>
      <c r="K45" s="474"/>
      <c r="L45" s="570"/>
      <c r="M45" s="474"/>
      <c r="N45" s="570"/>
      <c r="O45" s="474"/>
      <c r="P45" s="570"/>
      <c r="Q45" s="474">
        <v>8000</v>
      </c>
      <c r="R45" s="18"/>
      <c r="S45" s="474"/>
      <c r="T45" s="474"/>
      <c r="U45" s="19"/>
      <c r="W45" s="1000"/>
      <c r="X45" s="331"/>
    </row>
    <row r="46" spans="1:24" ht="13.8" thickBot="1" x14ac:dyDescent="0.3">
      <c r="A46" s="708">
        <v>5790</v>
      </c>
      <c r="B46" s="27" t="s">
        <v>1468</v>
      </c>
      <c r="C46" s="37"/>
      <c r="D46" s="37"/>
      <c r="E46" s="37"/>
      <c r="F46" s="37"/>
      <c r="G46" s="37"/>
      <c r="H46" s="37"/>
      <c r="I46" s="571"/>
      <c r="J46" s="571"/>
      <c r="K46" s="475"/>
      <c r="L46" s="571"/>
      <c r="M46" s="475">
        <v>6000</v>
      </c>
      <c r="N46" s="571">
        <v>1405</v>
      </c>
      <c r="O46" s="475">
        <v>3720</v>
      </c>
      <c r="P46" s="571">
        <v>3720</v>
      </c>
      <c r="Q46" s="475">
        <v>3939</v>
      </c>
      <c r="R46" s="37">
        <v>3939</v>
      </c>
      <c r="S46" s="1339">
        <v>4000</v>
      </c>
      <c r="T46" s="475"/>
      <c r="U46" s="38"/>
      <c r="W46" s="571"/>
      <c r="X46" s="331"/>
    </row>
    <row r="47" spans="1:24" x14ac:dyDescent="0.25">
      <c r="A47" s="708"/>
      <c r="B47" s="17" t="s">
        <v>728</v>
      </c>
      <c r="C47" s="13">
        <f t="shared" ref="C47:S47" si="2">SUM(C18:C46)</f>
        <v>22794.65</v>
      </c>
      <c r="D47" s="13">
        <f t="shared" si="2"/>
        <v>26500.71</v>
      </c>
      <c r="E47" s="13">
        <f t="shared" si="2"/>
        <v>26028.799999999999</v>
      </c>
      <c r="F47" s="13">
        <f t="shared" si="2"/>
        <v>23692.040000000005</v>
      </c>
      <c r="G47" s="13">
        <f t="shared" si="2"/>
        <v>33988.230000000003</v>
      </c>
      <c r="H47" s="13">
        <f t="shared" si="2"/>
        <v>29026.399999999998</v>
      </c>
      <c r="I47" s="13">
        <f t="shared" si="2"/>
        <v>26249.980000000003</v>
      </c>
      <c r="J47" s="13">
        <f t="shared" si="2"/>
        <v>24516.76</v>
      </c>
      <c r="K47" s="40">
        <f t="shared" si="2"/>
        <v>53325</v>
      </c>
      <c r="L47" s="13">
        <f t="shared" si="2"/>
        <v>63015.01999999999</v>
      </c>
      <c r="M47" s="40">
        <f t="shared" si="2"/>
        <v>126611.45</v>
      </c>
      <c r="N47" s="13">
        <f t="shared" si="2"/>
        <v>123281.29000000001</v>
      </c>
      <c r="O47" s="40">
        <f t="shared" si="2"/>
        <v>105020</v>
      </c>
      <c r="P47" s="13">
        <f t="shared" ref="P47" si="3">SUM(P18:P46)</f>
        <v>111088.15</v>
      </c>
      <c r="Q47" s="40">
        <f>SUM(Q18:Q46)</f>
        <v>136839</v>
      </c>
      <c r="R47" s="13">
        <f t="shared" si="2"/>
        <v>95467.930000000008</v>
      </c>
      <c r="S47" s="40">
        <f t="shared" si="2"/>
        <v>119000</v>
      </c>
      <c r="T47" s="40">
        <f t="shared" ref="T47" si="4">SUM(T18:T46)</f>
        <v>0</v>
      </c>
      <c r="U47" s="14">
        <f>SUM(U18:U46)</f>
        <v>0</v>
      </c>
      <c r="V47" s="153"/>
      <c r="W47" s="13">
        <f>SUM(W18:W46)</f>
        <v>10983.759999999998</v>
      </c>
      <c r="X47" s="331"/>
    </row>
    <row r="48" spans="1:24" x14ac:dyDescent="0.25">
      <c r="A48" s="708"/>
      <c r="B48" s="17"/>
      <c r="C48" s="13"/>
      <c r="D48" s="13"/>
      <c r="E48" s="13"/>
      <c r="F48" s="13"/>
      <c r="G48" s="13"/>
      <c r="H48" s="13"/>
      <c r="I48" s="13"/>
      <c r="J48" s="13"/>
      <c r="K48" s="40"/>
      <c r="L48" s="13"/>
      <c r="M48" s="40"/>
      <c r="N48" s="13"/>
      <c r="O48" s="40"/>
      <c r="P48" s="13"/>
      <c r="Q48" s="40"/>
      <c r="R48" s="13"/>
      <c r="S48" s="40"/>
      <c r="T48" s="40"/>
      <c r="U48" s="14"/>
      <c r="V48" s="153"/>
      <c r="W48" s="13"/>
      <c r="X48" s="331"/>
    </row>
    <row r="49" spans="1:24" x14ac:dyDescent="0.25">
      <c r="A49" s="734" t="s">
        <v>1259</v>
      </c>
      <c r="B49" s="17"/>
      <c r="C49" s="13"/>
      <c r="D49" s="13"/>
      <c r="E49" s="13"/>
      <c r="F49" s="13"/>
      <c r="G49" s="13"/>
      <c r="H49" s="13"/>
      <c r="I49" s="13"/>
      <c r="J49" s="13"/>
      <c r="K49" s="40"/>
      <c r="L49" s="13"/>
      <c r="M49" s="40"/>
      <c r="N49" s="13"/>
      <c r="O49" s="40"/>
      <c r="P49" s="13"/>
      <c r="Q49" s="40"/>
      <c r="R49" s="13"/>
      <c r="S49" s="40"/>
      <c r="T49" s="40"/>
      <c r="U49" s="14"/>
      <c r="V49" s="153"/>
      <c r="W49" s="13"/>
      <c r="X49" s="331"/>
    </row>
    <row r="50" spans="1:24" ht="13.8" thickBot="1" x14ac:dyDescent="0.3">
      <c r="A50" s="708">
        <v>5800</v>
      </c>
      <c r="B50" s="12" t="s">
        <v>1957</v>
      </c>
      <c r="C50" s="13"/>
      <c r="D50" s="13"/>
      <c r="E50" s="13"/>
      <c r="F50" s="13"/>
      <c r="G50" s="13"/>
      <c r="H50" s="13"/>
      <c r="I50" s="13"/>
      <c r="J50" s="13"/>
      <c r="K50" s="40"/>
      <c r="L50" s="13"/>
      <c r="M50" s="41"/>
      <c r="N50" s="15"/>
      <c r="O50" s="41"/>
      <c r="P50" s="15"/>
      <c r="Q50" s="41">
        <v>10000</v>
      </c>
      <c r="R50" s="15"/>
      <c r="S50" s="41"/>
      <c r="T50" s="41"/>
      <c r="U50" s="16"/>
      <c r="V50" s="153"/>
      <c r="W50" s="13"/>
      <c r="X50" s="331"/>
    </row>
    <row r="51" spans="1:24" x14ac:dyDescent="0.25">
      <c r="A51" s="708"/>
      <c r="B51" s="17" t="s">
        <v>1958</v>
      </c>
      <c r="C51" s="13"/>
      <c r="D51" s="13"/>
      <c r="E51" s="13"/>
      <c r="F51" s="13"/>
      <c r="G51" s="13"/>
      <c r="H51" s="13"/>
      <c r="I51" s="13"/>
      <c r="J51" s="13"/>
      <c r="K51" s="40"/>
      <c r="L51" s="13"/>
      <c r="M51" s="34"/>
      <c r="N51" s="18"/>
      <c r="O51" s="34"/>
      <c r="P51" s="18"/>
      <c r="Q51" s="34">
        <f>+Q50</f>
        <v>10000</v>
      </c>
      <c r="R51" s="18"/>
      <c r="S51" s="34">
        <f>+S50</f>
        <v>0</v>
      </c>
      <c r="T51" s="34">
        <f>+T50</f>
        <v>0</v>
      </c>
      <c r="U51" s="19">
        <f>+S51</f>
        <v>0</v>
      </c>
      <c r="V51" s="153"/>
      <c r="W51" s="13"/>
      <c r="X51" s="331"/>
    </row>
    <row r="52" spans="1:24" x14ac:dyDescent="0.25">
      <c r="A52" s="708"/>
      <c r="B52" s="17"/>
      <c r="C52" s="13"/>
      <c r="D52" s="13"/>
      <c r="E52" s="13"/>
      <c r="F52" s="13"/>
      <c r="G52" s="13"/>
      <c r="H52" s="13"/>
      <c r="I52" s="13"/>
      <c r="J52" s="13"/>
      <c r="K52" s="40"/>
      <c r="L52" s="13"/>
      <c r="M52" s="40"/>
      <c r="N52" s="13"/>
      <c r="O52" s="40"/>
      <c r="P52" s="13"/>
      <c r="Q52" s="40"/>
      <c r="R52" s="13"/>
      <c r="S52" s="40"/>
      <c r="T52" s="40"/>
      <c r="U52" s="14"/>
      <c r="V52" s="153"/>
      <c r="W52" s="13"/>
      <c r="X52" s="331"/>
    </row>
    <row r="53" spans="1:24" x14ac:dyDescent="0.25">
      <c r="A53" s="708"/>
      <c r="B53" s="17"/>
      <c r="C53" s="13"/>
      <c r="D53" s="13"/>
      <c r="E53" s="13"/>
      <c r="F53" s="13"/>
      <c r="G53" s="13"/>
      <c r="H53" s="13"/>
      <c r="I53" s="13"/>
      <c r="J53" s="13"/>
      <c r="K53" s="40"/>
      <c r="L53" s="13"/>
      <c r="M53" s="40"/>
      <c r="N53" s="13"/>
      <c r="O53" s="40"/>
      <c r="P53" s="13"/>
      <c r="Q53" s="40"/>
      <c r="R53" s="13"/>
      <c r="S53" s="40"/>
      <c r="T53" s="40"/>
      <c r="U53" s="14"/>
      <c r="V53" s="153"/>
      <c r="W53" s="13"/>
      <c r="X53" s="331"/>
    </row>
    <row r="54" spans="1:24" ht="13.8" thickBot="1" x14ac:dyDescent="0.3">
      <c r="A54" s="709"/>
      <c r="B54" s="20" t="s">
        <v>573</v>
      </c>
      <c r="C54" s="21">
        <f t="shared" ref="C54:R54" si="5">+C47+C16</f>
        <v>36905.490000000005</v>
      </c>
      <c r="D54" s="21">
        <f t="shared" si="5"/>
        <v>44653.43</v>
      </c>
      <c r="E54" s="21">
        <f t="shared" si="5"/>
        <v>45769.880000000005</v>
      </c>
      <c r="F54" s="21">
        <f t="shared" si="5"/>
        <v>44520.340000000011</v>
      </c>
      <c r="G54" s="21">
        <f t="shared" si="5"/>
        <v>51918.03</v>
      </c>
      <c r="H54" s="21">
        <f t="shared" si="5"/>
        <v>48770.28</v>
      </c>
      <c r="I54" s="21">
        <f t="shared" si="5"/>
        <v>48391.540000000008</v>
      </c>
      <c r="J54" s="21">
        <f t="shared" si="5"/>
        <v>39812.629999999997</v>
      </c>
      <c r="K54" s="21">
        <f t="shared" si="5"/>
        <v>95494</v>
      </c>
      <c r="L54" s="21">
        <f t="shared" si="5"/>
        <v>95493.999999999985</v>
      </c>
      <c r="M54" s="21">
        <f t="shared" si="5"/>
        <v>211419.45</v>
      </c>
      <c r="N54" s="21">
        <f t="shared" si="5"/>
        <v>210949.27000000002</v>
      </c>
      <c r="O54" s="21">
        <f t="shared" si="5"/>
        <v>211894</v>
      </c>
      <c r="P54" s="21">
        <f t="shared" ref="P54" si="6">+P47+P16</f>
        <v>211533.59999999998</v>
      </c>
      <c r="Q54" s="21">
        <f>+Q47+Q16+Q51</f>
        <v>284915</v>
      </c>
      <c r="R54" s="21">
        <f t="shared" si="5"/>
        <v>160564.83000000002</v>
      </c>
      <c r="S54" s="21">
        <f>+S47+S16+S51</f>
        <v>255238</v>
      </c>
      <c r="T54" s="21">
        <f>+S54</f>
        <v>255238</v>
      </c>
      <c r="U54" s="21">
        <f>+S54</f>
        <v>255238</v>
      </c>
      <c r="W54" s="21">
        <f>+W47+W16</f>
        <v>21794.21</v>
      </c>
    </row>
    <row r="55" spans="1:24" ht="16.2" thickTop="1" x14ac:dyDescent="0.3">
      <c r="A55" s="703"/>
      <c r="B55" s="4"/>
      <c r="C55" s="23"/>
      <c r="D55" s="23"/>
      <c r="E55" s="23"/>
      <c r="F55" s="23"/>
      <c r="G55" s="23"/>
      <c r="H55" s="23"/>
      <c r="I55" s="23"/>
      <c r="J55" s="23"/>
      <c r="K55" s="23"/>
      <c r="L55" s="23"/>
      <c r="M55" s="23"/>
      <c r="N55" s="23"/>
      <c r="O55" s="23"/>
      <c r="P55" s="23"/>
      <c r="Q55" s="23"/>
      <c r="R55" s="181" t="s">
        <v>732</v>
      </c>
      <c r="S55" s="1001">
        <f>+S54-Q54</f>
        <v>-29677</v>
      </c>
      <c r="T55" s="1002">
        <f>ROUND((+S55/Q54),4)</f>
        <v>-0.1042</v>
      </c>
      <c r="U55" s="25"/>
      <c r="W55" s="183">
        <f>+J54+W54</f>
        <v>61606.84</v>
      </c>
      <c r="X55" s="25"/>
    </row>
    <row r="56" spans="1:24" ht="15.6" x14ac:dyDescent="0.3">
      <c r="A56" s="63">
        <v>45302</v>
      </c>
      <c r="B56" s="4" t="s">
        <v>2540</v>
      </c>
      <c r="C56" s="23"/>
      <c r="D56" s="23"/>
      <c r="E56" s="23"/>
      <c r="F56" s="23"/>
      <c r="G56" s="23"/>
      <c r="H56" s="23"/>
      <c r="I56" s="23"/>
      <c r="J56" s="23"/>
      <c r="K56" s="23"/>
      <c r="L56" s="23"/>
      <c r="M56" s="23"/>
      <c r="N56" s="23"/>
      <c r="O56" s="23"/>
      <c r="P56" s="23"/>
      <c r="Q56" s="23"/>
      <c r="R56" s="181"/>
      <c r="S56" s="1001"/>
      <c r="T56" s="1002"/>
      <c r="U56" s="25"/>
      <c r="W56" s="183"/>
      <c r="X56" s="25"/>
    </row>
    <row r="57" spans="1:24" ht="15.6" x14ac:dyDescent="0.3">
      <c r="A57" s="63">
        <v>45337</v>
      </c>
      <c r="B57" s="4" t="s">
        <v>2628</v>
      </c>
      <c r="C57" s="23"/>
      <c r="D57" s="23"/>
      <c r="E57" s="23"/>
      <c r="F57" s="23"/>
      <c r="G57" s="23"/>
      <c r="H57" s="23"/>
      <c r="I57" s="23"/>
      <c r="J57" s="23"/>
      <c r="K57" s="23"/>
      <c r="L57" s="23"/>
      <c r="M57" s="23"/>
      <c r="N57" s="23"/>
      <c r="O57" s="23"/>
      <c r="P57" s="23"/>
      <c r="Q57" s="23"/>
      <c r="R57" s="181"/>
      <c r="S57" s="1001"/>
      <c r="T57" s="1002"/>
      <c r="U57" s="25"/>
      <c r="W57" s="183"/>
      <c r="X57" s="25"/>
    </row>
    <row r="58" spans="1:24" x14ac:dyDescent="0.25">
      <c r="A58" s="703"/>
      <c r="B58" s="4"/>
      <c r="C58" s="23"/>
      <c r="D58" s="23"/>
      <c r="E58" s="23"/>
      <c r="F58" s="23"/>
      <c r="G58" s="23"/>
      <c r="H58" s="23"/>
      <c r="I58" s="23"/>
      <c r="J58" s="23"/>
      <c r="K58" s="23"/>
      <c r="L58" s="23"/>
      <c r="M58" s="23"/>
      <c r="N58" s="23"/>
      <c r="O58" s="23"/>
      <c r="P58" s="23"/>
      <c r="Q58" s="23"/>
      <c r="R58" s="25"/>
      <c r="S58" s="23"/>
      <c r="T58" s="23"/>
      <c r="U58" s="25"/>
      <c r="V58" s="25"/>
      <c r="W58" s="25"/>
      <c r="X58" s="25"/>
    </row>
    <row r="59" spans="1:24" ht="13.8" thickBot="1" x14ac:dyDescent="0.3">
      <c r="A59" s="703" t="s">
        <v>793</v>
      </c>
      <c r="B59" s="4"/>
      <c r="D59" s="194"/>
      <c r="E59" s="194"/>
      <c r="F59" s="194"/>
      <c r="G59" s="194"/>
      <c r="H59" s="194"/>
      <c r="I59" s="194"/>
      <c r="J59" s="194"/>
      <c r="K59" s="194"/>
      <c r="L59" s="194"/>
      <c r="M59" s="194"/>
      <c r="N59" s="194"/>
      <c r="O59" s="194"/>
      <c r="P59" s="194"/>
      <c r="Q59" s="194"/>
      <c r="R59" s="194"/>
    </row>
    <row r="60" spans="1:24" ht="13.8" thickTop="1" x14ac:dyDescent="0.25">
      <c r="A60" s="710" t="s">
        <v>760</v>
      </c>
      <c r="B60" s="98"/>
      <c r="D60" s="276"/>
      <c r="E60" s="194"/>
      <c r="F60" s="194"/>
      <c r="G60" s="194"/>
      <c r="H60" s="194"/>
      <c r="I60" s="194"/>
      <c r="J60" s="194"/>
      <c r="K60" s="194"/>
      <c r="L60" s="194"/>
      <c r="O60" s="251" t="s">
        <v>761</v>
      </c>
      <c r="P60" s="137" t="s">
        <v>1075</v>
      </c>
      <c r="Q60" s="138" t="s">
        <v>1076</v>
      </c>
      <c r="R60" s="149" t="s">
        <v>763</v>
      </c>
      <c r="S60" s="106" t="s">
        <v>2132</v>
      </c>
      <c r="T60"/>
      <c r="U60"/>
    </row>
    <row r="61" spans="1:24" ht="13.8" thickBot="1" x14ac:dyDescent="0.3">
      <c r="A61" s="711" t="s">
        <v>765</v>
      </c>
      <c r="B61" s="100" t="s">
        <v>766</v>
      </c>
      <c r="D61" s="277"/>
      <c r="E61" s="194"/>
      <c r="F61" s="194"/>
      <c r="G61" s="194"/>
      <c r="H61" s="194"/>
      <c r="I61" s="194"/>
      <c r="J61" s="194"/>
      <c r="K61" s="194"/>
      <c r="L61" s="194"/>
      <c r="O61" s="269">
        <v>45474</v>
      </c>
      <c r="P61" s="140" t="s">
        <v>767</v>
      </c>
      <c r="Q61" s="234" t="s">
        <v>768</v>
      </c>
      <c r="R61" s="141" t="s">
        <v>769</v>
      </c>
      <c r="S61" s="194" t="s">
        <v>1345</v>
      </c>
      <c r="T61" s="194" t="s">
        <v>771</v>
      </c>
      <c r="U61" s="187"/>
    </row>
    <row r="62" spans="1:24" ht="13.8" thickTop="1" x14ac:dyDescent="0.25">
      <c r="A62" s="132">
        <v>42866</v>
      </c>
      <c r="B62" s="101" t="s">
        <v>1830</v>
      </c>
      <c r="D62" s="18"/>
      <c r="E62" s="194"/>
      <c r="F62" s="194"/>
      <c r="G62" s="194"/>
      <c r="H62" s="194"/>
      <c r="I62" s="194"/>
      <c r="J62" s="194"/>
      <c r="K62" s="194"/>
      <c r="L62" s="194"/>
      <c r="O62" s="111" t="s">
        <v>774</v>
      </c>
      <c r="P62" s="111">
        <f>+'NAGE &amp; Non-Union Wages'!L8</f>
        <v>30.77</v>
      </c>
      <c r="Q62" s="201">
        <v>2088</v>
      </c>
      <c r="R62" s="136">
        <f>ROUND((+Q62*P62),2)</f>
        <v>64247.76</v>
      </c>
      <c r="S62" s="194">
        <v>8</v>
      </c>
      <c r="T62" s="1">
        <v>300</v>
      </c>
      <c r="U62" s="181"/>
    </row>
    <row r="63" spans="1:24" x14ac:dyDescent="0.25">
      <c r="A63" s="132">
        <v>44361</v>
      </c>
      <c r="B63" s="101" t="s">
        <v>2131</v>
      </c>
      <c r="D63" s="18"/>
      <c r="E63" s="194"/>
      <c r="F63" s="194"/>
      <c r="G63" s="194"/>
      <c r="H63" s="194"/>
      <c r="I63" s="194"/>
      <c r="J63" s="194"/>
      <c r="K63" s="194"/>
      <c r="L63" s="194"/>
      <c r="O63" s="111" t="s">
        <v>1089</v>
      </c>
      <c r="P63" s="111">
        <f>+'NAGE &amp; Non-Union Wages'!D7</f>
        <v>23.75</v>
      </c>
      <c r="Q63" s="201">
        <v>2088</v>
      </c>
      <c r="R63" s="136">
        <f>ROUND((+Q63*P63),2)</f>
        <v>49590</v>
      </c>
      <c r="S63" s="194"/>
      <c r="U63" s="181"/>
    </row>
    <row r="64" spans="1:24" x14ac:dyDescent="0.25">
      <c r="A64" s="132"/>
      <c r="B64" s="101"/>
      <c r="D64" s="18"/>
      <c r="E64" s="194"/>
      <c r="F64" s="194"/>
      <c r="G64" s="194"/>
      <c r="H64" s="194"/>
      <c r="I64" s="194"/>
      <c r="J64" s="194"/>
      <c r="K64" s="194"/>
      <c r="L64" s="194"/>
      <c r="O64" s="111"/>
      <c r="P64" s="111"/>
      <c r="Q64" s="201"/>
      <c r="R64" s="136"/>
      <c r="U64" s="181"/>
    </row>
    <row r="65" spans="1:24" x14ac:dyDescent="0.25">
      <c r="A65" s="732"/>
      <c r="B65" s="101"/>
      <c r="D65" s="18"/>
      <c r="E65" s="194"/>
      <c r="F65" s="194"/>
      <c r="G65" s="194"/>
      <c r="H65" s="194"/>
      <c r="I65" s="194"/>
      <c r="J65" s="194"/>
      <c r="K65" s="194"/>
      <c r="L65" s="194"/>
      <c r="O65" s="18"/>
      <c r="P65" s="18"/>
      <c r="Q65" s="235"/>
      <c r="R65" s="136"/>
      <c r="U65" s="181"/>
    </row>
    <row r="66" spans="1:24" x14ac:dyDescent="0.25">
      <c r="A66" s="703"/>
      <c r="B66" s="4"/>
      <c r="C66" s="23"/>
      <c r="D66" s="23"/>
      <c r="E66" s="23"/>
      <c r="F66" s="23"/>
      <c r="G66" s="194"/>
      <c r="H66" s="194"/>
      <c r="I66" s="23"/>
      <c r="J66" s="23"/>
      <c r="K66" s="23"/>
      <c r="L66" s="23"/>
      <c r="O66" s="23"/>
      <c r="P66" s="23"/>
      <c r="Q66" s="23"/>
      <c r="R66" s="25"/>
      <c r="S66" s="23"/>
      <c r="T66" s="23"/>
      <c r="U66" s="23"/>
      <c r="V66" s="25"/>
      <c r="W66" s="25"/>
      <c r="X66" s="25"/>
    </row>
    <row r="67" spans="1:24" x14ac:dyDescent="0.25">
      <c r="A67" s="733" t="s">
        <v>1345</v>
      </c>
      <c r="B67" s="324" t="s">
        <v>1469</v>
      </c>
      <c r="C67" s="102"/>
      <c r="D67" s="23"/>
      <c r="E67" s="23"/>
      <c r="F67" s="23"/>
      <c r="G67" s="194"/>
      <c r="H67" s="194"/>
      <c r="I67" s="23"/>
      <c r="J67" s="23"/>
      <c r="K67" s="23"/>
      <c r="L67" s="23"/>
      <c r="O67" s="23"/>
      <c r="P67" s="23"/>
      <c r="Q67" s="23"/>
      <c r="R67" s="23"/>
      <c r="S67" s="23"/>
      <c r="T67" s="23"/>
      <c r="V67" s="25"/>
      <c r="W67" s="25"/>
      <c r="X67" s="25"/>
    </row>
    <row r="68" spans="1:24" x14ac:dyDescent="0.25">
      <c r="A68" s="852">
        <v>215039</v>
      </c>
      <c r="B68" s="324" t="s">
        <v>1470</v>
      </c>
      <c r="C68" s="24"/>
      <c r="D68" s="23"/>
      <c r="E68" s="23"/>
      <c r="F68" s="23"/>
      <c r="G68" s="194"/>
      <c r="H68" s="194"/>
      <c r="I68" s="23"/>
      <c r="J68" s="23"/>
      <c r="K68" s="194"/>
      <c r="L68" s="4"/>
      <c r="O68" s="324"/>
      <c r="P68" s="4"/>
      <c r="Q68" s="4"/>
      <c r="R68" s="23"/>
      <c r="S68" s="23"/>
      <c r="T68" s="23"/>
      <c r="V68" s="4"/>
      <c r="W68" s="4"/>
      <c r="X68" s="4"/>
    </row>
    <row r="69" spans="1:24" x14ac:dyDescent="0.25">
      <c r="A69" s="1325">
        <v>107593</v>
      </c>
      <c r="B69" s="1326" t="s">
        <v>2575</v>
      </c>
      <c r="C69" s="24"/>
      <c r="D69" s="23"/>
      <c r="E69" s="23"/>
      <c r="F69" s="23"/>
      <c r="G69" s="194"/>
      <c r="H69" s="194"/>
      <c r="I69" s="23"/>
      <c r="J69" s="23"/>
      <c r="K69" s="194"/>
      <c r="L69" s="23"/>
      <c r="O69" s="854"/>
      <c r="P69" s="23"/>
      <c r="Q69" s="23"/>
      <c r="R69" s="23"/>
      <c r="S69" s="23"/>
      <c r="T69" s="23"/>
      <c r="V69" s="4"/>
      <c r="W69" s="4"/>
      <c r="X69" s="4"/>
    </row>
    <row r="70" spans="1:24" x14ac:dyDescent="0.25">
      <c r="A70" s="852">
        <v>26041</v>
      </c>
      <c r="B70" s="324" t="s">
        <v>2576</v>
      </c>
      <c r="C70" s="24"/>
      <c r="D70" s="23"/>
      <c r="E70" s="23"/>
      <c r="F70" s="23"/>
      <c r="G70" s="194"/>
      <c r="H70" s="194"/>
      <c r="I70" s="23"/>
      <c r="J70" s="23"/>
      <c r="K70" s="194"/>
      <c r="L70" s="23"/>
      <c r="O70" s="854"/>
      <c r="P70" s="23"/>
      <c r="Q70" s="23"/>
      <c r="R70" s="23"/>
      <c r="S70" s="23"/>
      <c r="T70" s="23"/>
      <c r="V70" s="4"/>
      <c r="W70" s="4"/>
      <c r="X70" s="4"/>
    </row>
    <row r="71" spans="1:24" x14ac:dyDescent="0.25">
      <c r="A71" s="1327">
        <v>71004</v>
      </c>
      <c r="B71" s="324" t="s">
        <v>1471</v>
      </c>
      <c r="C71" s="24"/>
      <c r="D71" s="23"/>
      <c r="E71" s="23"/>
      <c r="F71" s="23"/>
      <c r="G71" s="194"/>
      <c r="H71" s="194"/>
      <c r="I71" s="23"/>
      <c r="J71" s="23"/>
      <c r="K71" s="194"/>
      <c r="L71" s="23"/>
      <c r="O71" s="23"/>
      <c r="P71" s="23"/>
      <c r="Q71" s="23"/>
      <c r="R71" s="23"/>
      <c r="S71" s="23"/>
      <c r="T71" s="23"/>
      <c r="V71" s="4"/>
      <c r="W71" s="4"/>
      <c r="X71" s="4"/>
    </row>
    <row r="72" spans="1:24" x14ac:dyDescent="0.25">
      <c r="A72" s="853">
        <f>SUM(A68:A71)</f>
        <v>419677</v>
      </c>
      <c r="B72" s="324" t="s">
        <v>1472</v>
      </c>
      <c r="C72" s="148"/>
      <c r="D72" s="23"/>
      <c r="E72" s="23"/>
      <c r="F72" s="23"/>
      <c r="G72" s="194"/>
      <c r="H72" s="194"/>
      <c r="I72" s="23"/>
      <c r="J72" s="23"/>
      <c r="K72" s="194"/>
      <c r="L72" s="23"/>
      <c r="O72" s="23"/>
      <c r="P72" s="23"/>
      <c r="Q72" s="23"/>
      <c r="R72" s="23"/>
      <c r="S72" s="23"/>
      <c r="T72" s="23"/>
      <c r="V72" s="4"/>
      <c r="W72" s="4"/>
      <c r="X72" s="4"/>
    </row>
    <row r="73" spans="1:24" x14ac:dyDescent="0.25">
      <c r="A73" s="853"/>
      <c r="B73" s="324"/>
      <c r="C73" s="148"/>
      <c r="D73" s="23"/>
      <c r="E73" s="23"/>
      <c r="F73" s="23"/>
      <c r="G73" s="194"/>
      <c r="H73" s="194"/>
      <c r="I73" s="23"/>
      <c r="J73" s="23"/>
      <c r="K73" s="194"/>
      <c r="L73" s="23"/>
      <c r="O73" s="23"/>
      <c r="P73" s="23"/>
      <c r="Q73" s="23"/>
      <c r="R73" s="23"/>
      <c r="S73" s="23"/>
      <c r="T73" s="23"/>
      <c r="V73" s="4"/>
      <c r="W73" s="4"/>
      <c r="X73" s="4"/>
    </row>
    <row r="74" spans="1:24" x14ac:dyDescent="0.25">
      <c r="A74" s="853">
        <f>+S54-S50</f>
        <v>255238</v>
      </c>
      <c r="B74" s="324" t="s">
        <v>2585</v>
      </c>
      <c r="C74" s="148"/>
      <c r="D74" s="23"/>
      <c r="E74" s="23"/>
      <c r="F74" s="23"/>
      <c r="G74" s="194"/>
      <c r="H74" s="194"/>
      <c r="I74" s="23"/>
      <c r="J74" s="23"/>
      <c r="K74" s="194"/>
      <c r="L74" s="23"/>
      <c r="O74" s="23"/>
      <c r="P74" s="23"/>
      <c r="Q74" s="23"/>
      <c r="R74" s="23"/>
      <c r="S74" s="23"/>
      <c r="T74" s="23"/>
      <c r="V74" s="4"/>
      <c r="W74" s="4"/>
      <c r="X74" s="4"/>
    </row>
    <row r="75" spans="1:24" x14ac:dyDescent="0.25">
      <c r="A75" s="853">
        <f>+'600-700 Airport Debt'!S21</f>
        <v>102775</v>
      </c>
      <c r="B75" s="324" t="s">
        <v>2586</v>
      </c>
      <c r="C75" s="148"/>
      <c r="D75" s="23"/>
      <c r="E75" s="23"/>
      <c r="F75" s="23"/>
      <c r="G75" s="194"/>
      <c r="H75" s="194"/>
      <c r="I75" s="23"/>
      <c r="J75" s="23"/>
      <c r="K75" s="194"/>
      <c r="L75" s="23"/>
      <c r="O75" s="23"/>
      <c r="P75" s="23"/>
      <c r="Q75" s="23"/>
      <c r="R75" s="23"/>
      <c r="S75" s="23"/>
      <c r="T75" s="23"/>
      <c r="V75" s="4"/>
      <c r="W75" s="4"/>
      <c r="X75" s="4"/>
    </row>
    <row r="76" spans="1:24" x14ac:dyDescent="0.25">
      <c r="A76" s="1331">
        <f>+'600-900 Airport Benefits'!S17</f>
        <v>61664</v>
      </c>
      <c r="B76" s="324" t="s">
        <v>2587</v>
      </c>
      <c r="C76" s="148"/>
      <c r="D76" s="23"/>
      <c r="E76" s="23"/>
      <c r="F76" s="23"/>
      <c r="G76" s="194"/>
      <c r="H76" s="194"/>
      <c r="I76" s="23"/>
      <c r="J76" s="23"/>
      <c r="K76" s="194"/>
      <c r="L76" s="23"/>
      <c r="O76" s="23"/>
      <c r="P76" s="23"/>
      <c r="Q76" s="23"/>
      <c r="R76" s="23"/>
      <c r="S76" s="23"/>
      <c r="T76" s="23"/>
      <c r="V76" s="4"/>
      <c r="W76" s="4"/>
      <c r="X76" s="4"/>
    </row>
    <row r="77" spans="1:24" x14ac:dyDescent="0.25">
      <c r="A77" s="853">
        <f>SUM(A74:A76)</f>
        <v>419677</v>
      </c>
      <c r="B77" s="324" t="s">
        <v>2574</v>
      </c>
      <c r="C77" s="148"/>
      <c r="D77" s="23"/>
      <c r="E77" s="23"/>
      <c r="F77" s="23"/>
      <c r="G77" s="194"/>
      <c r="H77" s="194"/>
      <c r="I77" s="23"/>
      <c r="J77" s="23"/>
      <c r="K77" s="194"/>
      <c r="L77" s="23"/>
      <c r="O77" s="23"/>
      <c r="P77" s="23"/>
      <c r="Q77" s="23"/>
      <c r="R77" s="23"/>
      <c r="S77" s="23"/>
      <c r="T77" s="23"/>
      <c r="V77" s="4"/>
      <c r="W77" s="4"/>
      <c r="X77" s="4"/>
    </row>
    <row r="78" spans="1:24" x14ac:dyDescent="0.25">
      <c r="A78" s="597">
        <f>+A72-A77</f>
        <v>0</v>
      </c>
      <c r="B78" s="4" t="s">
        <v>1473</v>
      </c>
      <c r="C78" s="23"/>
      <c r="D78" s="23"/>
      <c r="E78" s="23"/>
      <c r="F78" s="23"/>
      <c r="G78" s="194"/>
      <c r="H78" s="194"/>
      <c r="I78" s="23"/>
      <c r="J78" s="23"/>
      <c r="K78" s="23"/>
      <c r="L78" s="23"/>
      <c r="O78" s="23"/>
      <c r="P78" s="23"/>
      <c r="Q78" s="23"/>
      <c r="R78" s="23"/>
      <c r="S78" s="23"/>
      <c r="T78" s="23"/>
      <c r="V78" s="4"/>
      <c r="W78" s="4"/>
      <c r="X78" s="4"/>
    </row>
    <row r="79" spans="1:24" ht="13.8" thickBot="1" x14ac:dyDescent="0.3">
      <c r="A79" s="703"/>
      <c r="B79" s="4"/>
      <c r="C79" s="23"/>
      <c r="D79" s="23"/>
      <c r="E79" s="23"/>
      <c r="F79" s="23"/>
      <c r="G79" s="194"/>
      <c r="H79" s="194"/>
      <c r="I79" s="23"/>
      <c r="J79" s="23"/>
      <c r="K79" s="23"/>
      <c r="L79" s="23"/>
      <c r="O79" s="23"/>
      <c r="P79" s="23"/>
      <c r="Q79" s="23"/>
      <c r="R79" s="23"/>
      <c r="S79" s="23"/>
      <c r="T79" s="23"/>
      <c r="V79" s="4"/>
      <c r="W79" s="4"/>
      <c r="X79" s="4"/>
    </row>
    <row r="80" spans="1:24" ht="13.8" thickTop="1" x14ac:dyDescent="0.25">
      <c r="A80" s="718"/>
      <c r="B80" s="349"/>
      <c r="C80" s="350" t="s">
        <v>256</v>
      </c>
      <c r="D80" s="351" t="s">
        <v>256</v>
      </c>
      <c r="E80" s="351" t="s">
        <v>256</v>
      </c>
      <c r="F80" s="194"/>
      <c r="G80" s="194"/>
      <c r="H80" s="194"/>
      <c r="I80" s="194"/>
      <c r="J80" s="194"/>
      <c r="K80" s="194"/>
      <c r="L80" s="194"/>
      <c r="O80" s="352" t="s">
        <v>255</v>
      </c>
      <c r="P80" s="353" t="s">
        <v>716</v>
      </c>
      <c r="Q80" s="354" t="s">
        <v>730</v>
      </c>
      <c r="R80" s="353" t="s">
        <v>731</v>
      </c>
      <c r="S80" s="355"/>
      <c r="T80" s="550"/>
      <c r="U80" s="354"/>
      <c r="V80" s="4"/>
      <c r="W80" s="4"/>
      <c r="X80" s="4"/>
    </row>
    <row r="81" spans="1:24" ht="13.8" thickBot="1" x14ac:dyDescent="0.3">
      <c r="A81" s="719" t="s">
        <v>715</v>
      </c>
      <c r="B81" s="356"/>
      <c r="C81" s="357" t="s">
        <v>243</v>
      </c>
      <c r="D81" s="357" t="s">
        <v>244</v>
      </c>
      <c r="E81" s="358" t="s">
        <v>245</v>
      </c>
      <c r="F81" s="194"/>
      <c r="G81" s="194"/>
      <c r="H81" s="194"/>
      <c r="I81" s="194"/>
      <c r="J81" s="194"/>
      <c r="K81" s="194"/>
      <c r="L81" s="194"/>
      <c r="O81" s="359" t="s">
        <v>469</v>
      </c>
      <c r="P81" s="359" t="s">
        <v>1345</v>
      </c>
      <c r="Q81" s="358" t="s">
        <v>732</v>
      </c>
      <c r="R81" s="836" t="s">
        <v>732</v>
      </c>
      <c r="S81" s="361" t="s">
        <v>733</v>
      </c>
      <c r="T81" s="551"/>
      <c r="U81" s="359"/>
      <c r="V81" s="4"/>
      <c r="W81" s="4"/>
      <c r="X81" s="4"/>
    </row>
    <row r="82" spans="1:24" ht="13.8" thickTop="1" x14ac:dyDescent="0.25">
      <c r="A82" s="1090">
        <v>5111</v>
      </c>
      <c r="B82" s="1091" t="s">
        <v>1951</v>
      </c>
      <c r="C82" s="387"/>
      <c r="D82" s="387"/>
      <c r="E82" s="390"/>
      <c r="F82" s="194"/>
      <c r="G82" s="194"/>
      <c r="H82" s="194"/>
      <c r="I82" s="194"/>
      <c r="J82" s="194"/>
      <c r="K82" s="194"/>
      <c r="L82" s="194"/>
      <c r="O82" s="539">
        <f>+Q9</f>
        <v>109976</v>
      </c>
      <c r="P82" s="539">
        <f t="shared" ref="P82:P88" si="7">+S9</f>
        <v>113838</v>
      </c>
      <c r="Q82" s="372">
        <f t="shared" ref="Q82" si="8">+P82-O82</f>
        <v>3862</v>
      </c>
      <c r="R82" s="374">
        <f t="shared" ref="R82:R119" si="9">IF(O82+P82&lt;&gt;0,IF(O82&lt;&gt;0,IF(Q82&lt;&gt;0,ROUND((+Q82/O82),4),""),1),"")</f>
        <v>3.5099999999999999E-2</v>
      </c>
      <c r="S82" s="861"/>
      <c r="T82" s="926"/>
      <c r="U82" s="835"/>
      <c r="V82" s="4"/>
      <c r="W82" s="4"/>
      <c r="X82" s="4"/>
    </row>
    <row r="83" spans="1:24" x14ac:dyDescent="0.25">
      <c r="A83" s="724">
        <v>5111</v>
      </c>
      <c r="B83" s="1091" t="s">
        <v>1950</v>
      </c>
      <c r="C83" s="373">
        <v>13810.8</v>
      </c>
      <c r="D83" s="373">
        <v>17852.68</v>
      </c>
      <c r="E83" s="373">
        <v>19441.04</v>
      </c>
      <c r="F83" s="194"/>
      <c r="G83" s="194"/>
      <c r="H83" s="194"/>
      <c r="I83" s="194"/>
      <c r="J83" s="194"/>
      <c r="K83" s="194"/>
      <c r="L83" s="194"/>
      <c r="O83" s="539">
        <f>+Q10</f>
        <v>0</v>
      </c>
      <c r="P83" s="539">
        <f t="shared" si="7"/>
        <v>0</v>
      </c>
      <c r="Q83" s="372">
        <f t="shared" ref="Q83:Q91" si="10">+P83-O83</f>
        <v>0</v>
      </c>
      <c r="R83" s="374" t="str">
        <f t="shared" si="9"/>
        <v/>
      </c>
      <c r="S83" s="862"/>
      <c r="T83" s="927"/>
      <c r="U83" s="368"/>
      <c r="V83" s="4"/>
      <c r="W83" s="4"/>
      <c r="X83" s="4"/>
    </row>
    <row r="84" spans="1:24" x14ac:dyDescent="0.25">
      <c r="A84" s="724">
        <v>5124</v>
      </c>
      <c r="B84" s="397" t="s">
        <v>1458</v>
      </c>
      <c r="C84" s="375"/>
      <c r="D84" s="375"/>
      <c r="E84" s="375"/>
      <c r="F84" s="194"/>
      <c r="G84" s="194"/>
      <c r="H84" s="194"/>
      <c r="I84" s="194"/>
      <c r="J84" s="194"/>
      <c r="K84" s="194"/>
      <c r="L84" s="194"/>
      <c r="O84" s="539">
        <f>+Q11</f>
        <v>25000</v>
      </c>
      <c r="P84" s="539">
        <f t="shared" si="7"/>
        <v>20000</v>
      </c>
      <c r="Q84" s="372">
        <f t="shared" si="10"/>
        <v>-5000</v>
      </c>
      <c r="R84" s="374">
        <f t="shared" si="9"/>
        <v>-0.2</v>
      </c>
      <c r="S84" s="862"/>
      <c r="T84" s="927"/>
      <c r="U84" s="368"/>
      <c r="V84" s="4"/>
      <c r="W84" s="4"/>
      <c r="X84" s="4"/>
    </row>
    <row r="85" spans="1:24" x14ac:dyDescent="0.25">
      <c r="A85" s="724">
        <v>5145</v>
      </c>
      <c r="B85" s="397" t="s">
        <v>27</v>
      </c>
      <c r="C85" s="375"/>
      <c r="D85" s="375"/>
      <c r="E85" s="375"/>
      <c r="F85" s="194"/>
      <c r="G85" s="194"/>
      <c r="H85" s="194"/>
      <c r="I85" s="194"/>
      <c r="J85" s="194"/>
      <c r="K85" s="194"/>
      <c r="L85" s="194"/>
      <c r="O85" s="539">
        <f>+O12</f>
        <v>0</v>
      </c>
      <c r="P85" s="539">
        <f t="shared" si="7"/>
        <v>0</v>
      </c>
      <c r="Q85" s="372">
        <f t="shared" si="10"/>
        <v>0</v>
      </c>
      <c r="R85" s="374" t="str">
        <f t="shared" si="9"/>
        <v/>
      </c>
      <c r="S85" s="862"/>
      <c r="T85" s="927"/>
      <c r="U85" s="368"/>
      <c r="V85" s="4"/>
      <c r="W85" s="4"/>
      <c r="X85" s="4"/>
    </row>
    <row r="86" spans="1:24" ht="13.8" thickBot="1" x14ac:dyDescent="0.3">
      <c r="A86" s="724">
        <v>5132</v>
      </c>
      <c r="B86" s="397" t="s">
        <v>1459</v>
      </c>
      <c r="C86" s="371">
        <v>300.04000000000002</v>
      </c>
      <c r="D86" s="371">
        <v>300.04000000000002</v>
      </c>
      <c r="E86" s="371">
        <v>300.04000000000002</v>
      </c>
      <c r="F86" s="194"/>
      <c r="G86" s="194"/>
      <c r="H86" s="194"/>
      <c r="I86" s="194"/>
      <c r="J86" s="194"/>
      <c r="K86" s="194"/>
      <c r="L86" s="194"/>
      <c r="O86" s="539">
        <f>+Q13</f>
        <v>2000</v>
      </c>
      <c r="P86" s="539">
        <f t="shared" si="7"/>
        <v>1500</v>
      </c>
      <c r="Q86" s="372">
        <f t="shared" si="10"/>
        <v>-500</v>
      </c>
      <c r="R86" s="374">
        <f t="shared" si="9"/>
        <v>-0.25</v>
      </c>
      <c r="S86" s="862"/>
      <c r="T86" s="927"/>
      <c r="U86" s="368"/>
      <c r="V86" s="4"/>
      <c r="W86" s="4"/>
      <c r="X86" s="4"/>
    </row>
    <row r="87" spans="1:24" x14ac:dyDescent="0.25">
      <c r="A87" s="724">
        <v>5144</v>
      </c>
      <c r="B87" s="397" t="s">
        <v>1952</v>
      </c>
      <c r="C87" s="375"/>
      <c r="D87" s="375"/>
      <c r="E87" s="375"/>
      <c r="F87" s="194"/>
      <c r="G87" s="194"/>
      <c r="H87" s="194"/>
      <c r="I87" s="194"/>
      <c r="J87" s="194"/>
      <c r="K87" s="194"/>
      <c r="L87" s="194"/>
      <c r="O87" s="539">
        <f>+Q14</f>
        <v>500</v>
      </c>
      <c r="P87" s="539">
        <f t="shared" si="7"/>
        <v>300</v>
      </c>
      <c r="Q87" s="372">
        <f t="shared" si="10"/>
        <v>-200</v>
      </c>
      <c r="R87" s="374">
        <f t="shared" si="9"/>
        <v>-0.4</v>
      </c>
      <c r="S87" s="862"/>
      <c r="T87" s="927"/>
      <c r="U87" s="368"/>
      <c r="V87" s="4"/>
      <c r="W87" s="4"/>
      <c r="X87" s="4"/>
    </row>
    <row r="88" spans="1:24" x14ac:dyDescent="0.25">
      <c r="A88" s="724">
        <v>5145</v>
      </c>
      <c r="B88" s="397" t="s">
        <v>744</v>
      </c>
      <c r="C88" s="373">
        <v>5066.71</v>
      </c>
      <c r="D88" s="373">
        <v>6228.7</v>
      </c>
      <c r="E88" s="373">
        <v>6567.25</v>
      </c>
      <c r="F88" s="982"/>
      <c r="G88" s="982"/>
      <c r="H88" s="982"/>
      <c r="I88" s="194"/>
      <c r="J88" s="194"/>
      <c r="K88" s="194"/>
      <c r="L88" s="194"/>
      <c r="O88" s="539">
        <f>+Q15</f>
        <v>600</v>
      </c>
      <c r="P88" s="539">
        <f t="shared" si="7"/>
        <v>600</v>
      </c>
      <c r="Q88" s="372">
        <f t="shared" si="10"/>
        <v>0</v>
      </c>
      <c r="R88" s="374" t="str">
        <f t="shared" si="9"/>
        <v/>
      </c>
      <c r="S88" s="862"/>
      <c r="T88" s="927"/>
      <c r="U88" s="368"/>
      <c r="V88" s="4"/>
      <c r="W88" s="4"/>
      <c r="X88" s="4"/>
    </row>
    <row r="89" spans="1:24" x14ac:dyDescent="0.25">
      <c r="A89" s="724">
        <v>5211</v>
      </c>
      <c r="B89" s="397" t="s">
        <v>1252</v>
      </c>
      <c r="C89" s="373">
        <v>403.2</v>
      </c>
      <c r="D89" s="373">
        <v>146</v>
      </c>
      <c r="E89" s="373">
        <v>219.2</v>
      </c>
      <c r="F89" s="982"/>
      <c r="G89" s="982"/>
      <c r="H89" s="982"/>
      <c r="I89" s="194"/>
      <c r="J89" s="194"/>
      <c r="K89" s="194"/>
      <c r="L89" s="194"/>
      <c r="O89" s="539">
        <f t="shared" ref="O89:O117" si="11">+Q18</f>
        <v>16000</v>
      </c>
      <c r="P89" s="539">
        <f t="shared" ref="P89:P117" si="12">+S18</f>
        <v>16000</v>
      </c>
      <c r="Q89" s="372">
        <f t="shared" si="10"/>
        <v>0</v>
      </c>
      <c r="R89" s="374" t="str">
        <f t="shared" si="9"/>
        <v/>
      </c>
      <c r="S89" s="862"/>
      <c r="T89" s="927"/>
      <c r="U89" s="368"/>
      <c r="V89" s="4"/>
      <c r="W89" s="4"/>
      <c r="X89" s="4"/>
    </row>
    <row r="90" spans="1:24" x14ac:dyDescent="0.25">
      <c r="A90" s="724">
        <v>5213</v>
      </c>
      <c r="B90" s="397" t="s">
        <v>1460</v>
      </c>
      <c r="C90" s="373">
        <v>5585.18</v>
      </c>
      <c r="D90" s="373">
        <v>4307.68</v>
      </c>
      <c r="E90" s="373">
        <v>2060.39</v>
      </c>
      <c r="F90" s="982"/>
      <c r="G90" s="982"/>
      <c r="H90" s="982"/>
      <c r="I90" s="194"/>
      <c r="J90" s="194"/>
      <c r="K90" s="194"/>
      <c r="L90" s="194"/>
      <c r="O90" s="539">
        <f t="shared" si="11"/>
        <v>2750</v>
      </c>
      <c r="P90" s="539">
        <f t="shared" si="12"/>
        <v>1500</v>
      </c>
      <c r="Q90" s="372">
        <f t="shared" si="10"/>
        <v>-1250</v>
      </c>
      <c r="R90" s="374">
        <f t="shared" si="9"/>
        <v>-0.45450000000000002</v>
      </c>
      <c r="S90" s="862"/>
      <c r="T90" s="928"/>
      <c r="U90" s="368"/>
      <c r="V90" s="4"/>
      <c r="W90" s="4"/>
      <c r="X90" s="4"/>
    </row>
    <row r="91" spans="1:24" x14ac:dyDescent="0.25">
      <c r="A91" s="724">
        <v>5214</v>
      </c>
      <c r="B91" s="397" t="s">
        <v>1283</v>
      </c>
      <c r="C91" s="373">
        <v>740.5</v>
      </c>
      <c r="D91" s="373">
        <v>1025.08</v>
      </c>
      <c r="E91" s="373">
        <v>368.69</v>
      </c>
      <c r="F91" s="982"/>
      <c r="G91" s="982"/>
      <c r="H91" s="982"/>
      <c r="I91" s="194"/>
      <c r="J91" s="194"/>
      <c r="K91" s="194"/>
      <c r="L91" s="194"/>
      <c r="O91" s="539">
        <f t="shared" si="11"/>
        <v>2250</v>
      </c>
      <c r="P91" s="539">
        <f t="shared" si="12"/>
        <v>1800</v>
      </c>
      <c r="Q91" s="372">
        <f t="shared" si="10"/>
        <v>-450</v>
      </c>
      <c r="R91" s="374">
        <f t="shared" si="9"/>
        <v>-0.2</v>
      </c>
      <c r="S91" s="863"/>
      <c r="T91" s="928"/>
      <c r="U91" s="368"/>
      <c r="V91" s="4"/>
      <c r="W91" s="4"/>
      <c r="X91" s="4"/>
    </row>
    <row r="92" spans="1:24" x14ac:dyDescent="0.25">
      <c r="A92" s="724">
        <v>5215</v>
      </c>
      <c r="B92" s="397" t="s">
        <v>1960</v>
      </c>
      <c r="C92" s="373"/>
      <c r="D92" s="373"/>
      <c r="E92" s="373"/>
      <c r="F92" s="982"/>
      <c r="G92" s="982"/>
      <c r="H92" s="982"/>
      <c r="I92" s="194"/>
      <c r="J92" s="194"/>
      <c r="K92" s="194"/>
      <c r="L92" s="194"/>
      <c r="O92" s="539">
        <f t="shared" si="11"/>
        <v>1000</v>
      </c>
      <c r="P92" s="539">
        <f t="shared" si="12"/>
        <v>1000</v>
      </c>
      <c r="Q92" s="372">
        <f t="shared" ref="Q92" si="13">+P92-O92</f>
        <v>0</v>
      </c>
      <c r="R92" s="374" t="str">
        <f t="shared" si="9"/>
        <v/>
      </c>
      <c r="S92" s="863"/>
      <c r="T92" s="928"/>
      <c r="U92" s="368"/>
      <c r="V92" s="4"/>
      <c r="W92" s="4"/>
      <c r="X92" s="4"/>
    </row>
    <row r="93" spans="1:24" x14ac:dyDescent="0.25">
      <c r="A93" s="724">
        <v>5231</v>
      </c>
      <c r="B93" s="397" t="s">
        <v>1284</v>
      </c>
      <c r="C93" s="373">
        <v>3574</v>
      </c>
      <c r="D93" s="373">
        <v>5884</v>
      </c>
      <c r="E93" s="373">
        <v>9987.5</v>
      </c>
      <c r="F93" s="982"/>
      <c r="G93" s="982"/>
      <c r="H93" s="982"/>
      <c r="I93" s="194"/>
      <c r="J93" s="194"/>
      <c r="K93" s="194"/>
      <c r="L93" s="194"/>
      <c r="O93" s="539">
        <f t="shared" si="11"/>
        <v>1250</v>
      </c>
      <c r="P93" s="539">
        <f t="shared" si="12"/>
        <v>1250</v>
      </c>
      <c r="Q93" s="372">
        <f t="shared" ref="Q93:Q118" si="14">+P93-O93</f>
        <v>0</v>
      </c>
      <c r="R93" s="374" t="str">
        <f t="shared" si="9"/>
        <v/>
      </c>
      <c r="S93" s="863"/>
      <c r="T93" s="928"/>
      <c r="U93" s="368"/>
      <c r="V93" s="4"/>
      <c r="W93" s="4"/>
      <c r="X93" s="4"/>
    </row>
    <row r="94" spans="1:24" x14ac:dyDescent="0.25">
      <c r="A94" s="724">
        <v>5241</v>
      </c>
      <c r="B94" s="369" t="s">
        <v>1461</v>
      </c>
      <c r="C94" s="373">
        <v>391</v>
      </c>
      <c r="D94" s="373">
        <v>238</v>
      </c>
      <c r="E94" s="373">
        <v>17</v>
      </c>
      <c r="F94" s="982"/>
      <c r="G94" s="982"/>
      <c r="H94" s="982"/>
      <c r="I94" s="194"/>
      <c r="J94" s="194"/>
      <c r="K94" s="194"/>
      <c r="L94" s="194"/>
      <c r="O94" s="539">
        <f t="shared" si="11"/>
        <v>15000</v>
      </c>
      <c r="P94" s="539">
        <f t="shared" si="12"/>
        <v>14500</v>
      </c>
      <c r="Q94" s="372">
        <f t="shared" si="14"/>
        <v>-500</v>
      </c>
      <c r="R94" s="374">
        <f t="shared" si="9"/>
        <v>-3.3300000000000003E-2</v>
      </c>
      <c r="S94" s="863"/>
      <c r="T94" s="928"/>
      <c r="U94" s="368"/>
      <c r="V94" s="4"/>
      <c r="W94" s="4"/>
      <c r="X94" s="4"/>
    </row>
    <row r="95" spans="1:24" x14ac:dyDescent="0.25">
      <c r="A95" s="724">
        <v>5244</v>
      </c>
      <c r="B95" s="369" t="s">
        <v>1029</v>
      </c>
      <c r="C95" s="373">
        <v>189</v>
      </c>
      <c r="D95" s="373">
        <v>240</v>
      </c>
      <c r="E95" s="373"/>
      <c r="F95" s="982"/>
      <c r="G95" s="982"/>
      <c r="H95" s="982"/>
      <c r="I95" s="194"/>
      <c r="J95" s="194"/>
      <c r="K95" s="194"/>
      <c r="L95" s="194"/>
      <c r="O95" s="539">
        <f t="shared" si="11"/>
        <v>12500</v>
      </c>
      <c r="P95" s="539">
        <f t="shared" si="12"/>
        <v>13000</v>
      </c>
      <c r="Q95" s="372">
        <f t="shared" si="14"/>
        <v>500</v>
      </c>
      <c r="R95" s="374">
        <f t="shared" si="9"/>
        <v>0.04</v>
      </c>
      <c r="S95" s="863"/>
      <c r="T95" s="928"/>
      <c r="U95" s="368"/>
      <c r="V95" s="4"/>
      <c r="W95" s="4"/>
      <c r="X95" s="4"/>
    </row>
    <row r="96" spans="1:24" x14ac:dyDescent="0.25">
      <c r="A96" s="724">
        <v>5251</v>
      </c>
      <c r="B96" s="369" t="s">
        <v>1462</v>
      </c>
      <c r="C96" s="373">
        <v>175</v>
      </c>
      <c r="D96" s="373">
        <v>0</v>
      </c>
      <c r="E96" s="373"/>
      <c r="F96" s="982"/>
      <c r="G96" s="982"/>
      <c r="H96" s="982"/>
      <c r="I96" s="194"/>
      <c r="J96" s="194"/>
      <c r="K96" s="194"/>
      <c r="L96" s="194"/>
      <c r="O96" s="539">
        <f t="shared" si="11"/>
        <v>3500</v>
      </c>
      <c r="P96" s="539">
        <f t="shared" si="12"/>
        <v>3000</v>
      </c>
      <c r="Q96" s="372">
        <f t="shared" si="14"/>
        <v>-500</v>
      </c>
      <c r="R96" s="374">
        <f t="shared" si="9"/>
        <v>-0.1429</v>
      </c>
      <c r="S96" s="863"/>
      <c r="T96" s="928"/>
      <c r="U96" s="368"/>
      <c r="V96" s="4"/>
      <c r="W96" s="4"/>
      <c r="X96" s="4"/>
    </row>
    <row r="97" spans="1:24" x14ac:dyDescent="0.25">
      <c r="A97" s="724">
        <v>5275</v>
      </c>
      <c r="B97" s="369" t="s">
        <v>1463</v>
      </c>
      <c r="C97" s="373">
        <v>824.55</v>
      </c>
      <c r="D97" s="373">
        <v>813.4</v>
      </c>
      <c r="E97" s="373">
        <v>808.28</v>
      </c>
      <c r="F97" s="982"/>
      <c r="G97" s="982"/>
      <c r="H97" s="982"/>
      <c r="I97" s="194"/>
      <c r="J97" s="194"/>
      <c r="K97" s="194"/>
      <c r="L97" s="194"/>
      <c r="O97" s="539">
        <f t="shared" si="11"/>
        <v>2000</v>
      </c>
      <c r="P97" s="539">
        <f t="shared" si="12"/>
        <v>2000</v>
      </c>
      <c r="Q97" s="372">
        <f t="shared" si="14"/>
        <v>0</v>
      </c>
      <c r="R97" s="374" t="str">
        <f t="shared" si="9"/>
        <v/>
      </c>
      <c r="S97" s="863"/>
      <c r="T97" s="928"/>
      <c r="U97" s="368"/>
      <c r="V97" s="4"/>
      <c r="W97" s="4"/>
      <c r="X97" s="4"/>
    </row>
    <row r="98" spans="1:24" x14ac:dyDescent="0.25">
      <c r="A98" s="724">
        <v>5302</v>
      </c>
      <c r="B98" s="369" t="s">
        <v>94</v>
      </c>
      <c r="C98" s="373">
        <v>82.22</v>
      </c>
      <c r="D98" s="373">
        <v>33.18</v>
      </c>
      <c r="E98" s="373">
        <v>47.61</v>
      </c>
      <c r="F98" s="982"/>
      <c r="G98" s="982"/>
      <c r="H98" s="982"/>
      <c r="I98" s="194"/>
      <c r="J98" s="194"/>
      <c r="K98" s="194"/>
      <c r="L98" s="194"/>
      <c r="O98" s="539">
        <f t="shared" si="11"/>
        <v>1500</v>
      </c>
      <c r="P98" s="539">
        <f t="shared" si="12"/>
        <v>1000</v>
      </c>
      <c r="Q98" s="372">
        <f t="shared" si="14"/>
        <v>-500</v>
      </c>
      <c r="R98" s="374">
        <f t="shared" si="9"/>
        <v>-0.33329999999999999</v>
      </c>
      <c r="S98" s="863"/>
      <c r="T98" s="928"/>
      <c r="U98" s="368"/>
      <c r="V98" s="4"/>
      <c r="W98" s="4"/>
      <c r="X98" s="4"/>
    </row>
    <row r="99" spans="1:24" x14ac:dyDescent="0.25">
      <c r="A99" s="724">
        <v>5314</v>
      </c>
      <c r="B99" s="369" t="s">
        <v>1031</v>
      </c>
      <c r="C99" s="365"/>
      <c r="D99" s="373">
        <v>796.78</v>
      </c>
      <c r="E99" s="373"/>
      <c r="F99" s="982"/>
      <c r="G99" s="982"/>
      <c r="H99" s="982"/>
      <c r="I99" s="194"/>
      <c r="J99" s="194"/>
      <c r="K99" s="194"/>
      <c r="L99" s="194"/>
      <c r="O99" s="539">
        <f t="shared" si="11"/>
        <v>1500</v>
      </c>
      <c r="P99" s="539">
        <f t="shared" si="12"/>
        <v>1000</v>
      </c>
      <c r="Q99" s="372">
        <f t="shared" si="14"/>
        <v>-500</v>
      </c>
      <c r="R99" s="374">
        <f t="shared" si="9"/>
        <v>-0.33329999999999999</v>
      </c>
      <c r="S99" s="863"/>
      <c r="T99" s="928"/>
      <c r="U99" s="368"/>
      <c r="V99" s="4"/>
      <c r="W99" s="4"/>
      <c r="X99" s="4"/>
    </row>
    <row r="100" spans="1:24" x14ac:dyDescent="0.25">
      <c r="A100" s="724">
        <v>5315</v>
      </c>
      <c r="B100" s="369" t="s">
        <v>1157</v>
      </c>
      <c r="C100" s="365">
        <v>175.79</v>
      </c>
      <c r="D100" s="373">
        <v>124.86</v>
      </c>
      <c r="E100" s="373">
        <v>221.12</v>
      </c>
      <c r="F100" s="982"/>
      <c r="G100" s="982"/>
      <c r="H100" s="982"/>
      <c r="I100" s="194"/>
      <c r="J100" s="194"/>
      <c r="K100" s="194"/>
      <c r="L100" s="194"/>
      <c r="O100" s="539">
        <f t="shared" si="11"/>
        <v>1500</v>
      </c>
      <c r="P100" s="539">
        <f t="shared" si="12"/>
        <v>1500</v>
      </c>
      <c r="Q100" s="372">
        <f t="shared" si="14"/>
        <v>0</v>
      </c>
      <c r="R100" s="374" t="str">
        <f t="shared" si="9"/>
        <v/>
      </c>
      <c r="S100" s="863"/>
      <c r="T100" s="928"/>
      <c r="U100" s="368"/>
      <c r="V100" s="4"/>
      <c r="W100" s="4"/>
      <c r="X100" s="4"/>
    </row>
    <row r="101" spans="1:24" x14ac:dyDescent="0.25">
      <c r="A101" s="724">
        <v>5341</v>
      </c>
      <c r="B101" s="369" t="s">
        <v>1464</v>
      </c>
      <c r="C101" s="373">
        <v>48.61</v>
      </c>
      <c r="D101" s="365">
        <v>0</v>
      </c>
      <c r="E101" s="365"/>
      <c r="F101" s="982"/>
      <c r="G101" s="982"/>
      <c r="H101" s="982"/>
      <c r="I101" s="194"/>
      <c r="J101" s="194"/>
      <c r="K101" s="194"/>
      <c r="L101" s="194"/>
      <c r="O101" s="539">
        <f t="shared" si="11"/>
        <v>3300</v>
      </c>
      <c r="P101" s="539">
        <f t="shared" si="12"/>
        <v>3750</v>
      </c>
      <c r="Q101" s="372">
        <f t="shared" si="14"/>
        <v>450</v>
      </c>
      <c r="R101" s="374">
        <f t="shared" si="9"/>
        <v>0.13639999999999999</v>
      </c>
      <c r="S101" s="863"/>
      <c r="T101" s="928"/>
      <c r="U101" s="368"/>
      <c r="V101" s="4"/>
      <c r="W101" s="4"/>
      <c r="X101" s="4"/>
    </row>
    <row r="102" spans="1:24" x14ac:dyDescent="0.25">
      <c r="A102" s="724">
        <v>5344</v>
      </c>
      <c r="B102" s="369" t="s">
        <v>722</v>
      </c>
      <c r="C102" s="365"/>
      <c r="D102" s="365">
        <v>113.67</v>
      </c>
      <c r="E102" s="365">
        <v>500</v>
      </c>
      <c r="F102" s="982"/>
      <c r="G102" s="982"/>
      <c r="H102" s="982"/>
      <c r="I102" s="194"/>
      <c r="J102" s="194"/>
      <c r="K102" s="194"/>
      <c r="L102" s="194"/>
      <c r="O102" s="539">
        <f t="shared" si="11"/>
        <v>350</v>
      </c>
      <c r="P102" s="539">
        <f t="shared" si="12"/>
        <v>200</v>
      </c>
      <c r="Q102" s="372">
        <f t="shared" si="14"/>
        <v>-150</v>
      </c>
      <c r="R102" s="374">
        <f t="shared" si="9"/>
        <v>-0.42859999999999998</v>
      </c>
      <c r="S102" s="863"/>
      <c r="T102" s="928"/>
      <c r="U102" s="368"/>
      <c r="V102" s="4"/>
      <c r="W102" s="4"/>
      <c r="X102" s="4"/>
    </row>
    <row r="103" spans="1:24" x14ac:dyDescent="0.25">
      <c r="A103" s="724">
        <v>5345</v>
      </c>
      <c r="B103" s="369" t="s">
        <v>752</v>
      </c>
      <c r="C103" s="365"/>
      <c r="D103" s="365"/>
      <c r="E103" s="365"/>
      <c r="F103" s="982"/>
      <c r="G103" s="982"/>
      <c r="H103" s="982"/>
      <c r="I103" s="194"/>
      <c r="J103" s="194"/>
      <c r="K103" s="194"/>
      <c r="L103" s="194"/>
      <c r="O103" s="539">
        <f t="shared" si="11"/>
        <v>3000</v>
      </c>
      <c r="P103" s="539">
        <f t="shared" si="12"/>
        <v>2000</v>
      </c>
      <c r="Q103" s="372">
        <f t="shared" si="14"/>
        <v>-1000</v>
      </c>
      <c r="R103" s="374">
        <f t="shared" si="9"/>
        <v>-0.33329999999999999</v>
      </c>
      <c r="S103" s="863"/>
      <c r="T103" s="928"/>
      <c r="U103" s="368"/>
      <c r="V103" s="4"/>
      <c r="W103" s="4"/>
      <c r="X103" s="4"/>
    </row>
    <row r="104" spans="1:24" x14ac:dyDescent="0.25">
      <c r="A104" s="724">
        <v>5420</v>
      </c>
      <c r="B104" s="369" t="s">
        <v>753</v>
      </c>
      <c r="C104" s="365">
        <v>432.52</v>
      </c>
      <c r="D104" s="373">
        <v>358.6</v>
      </c>
      <c r="E104" s="373">
        <v>213.5</v>
      </c>
      <c r="F104" s="982"/>
      <c r="G104" s="982"/>
      <c r="H104" s="982"/>
      <c r="I104" s="194"/>
      <c r="J104" s="194"/>
      <c r="K104" s="194"/>
      <c r="L104" s="194"/>
      <c r="O104" s="539">
        <f t="shared" si="11"/>
        <v>1500</v>
      </c>
      <c r="P104" s="539">
        <f t="shared" si="12"/>
        <v>1500</v>
      </c>
      <c r="Q104" s="372">
        <f t="shared" si="14"/>
        <v>0</v>
      </c>
      <c r="R104" s="374" t="str">
        <f t="shared" si="9"/>
        <v/>
      </c>
      <c r="S104" s="863"/>
      <c r="T104" s="928"/>
      <c r="U104" s="368"/>
      <c r="V104" s="4"/>
      <c r="W104" s="4"/>
      <c r="X104" s="4"/>
    </row>
    <row r="105" spans="1:24" x14ac:dyDescent="0.25">
      <c r="A105" s="724">
        <v>5443</v>
      </c>
      <c r="B105" s="369" t="s">
        <v>1164</v>
      </c>
      <c r="C105" s="377"/>
      <c r="D105" s="373"/>
      <c r="E105" s="373"/>
      <c r="F105" s="982"/>
      <c r="G105" s="982"/>
      <c r="H105" s="982"/>
      <c r="I105" s="194"/>
      <c r="J105" s="194"/>
      <c r="K105" s="194"/>
      <c r="L105" s="194"/>
      <c r="O105" s="539">
        <f t="shared" si="11"/>
        <v>3000</v>
      </c>
      <c r="P105" s="539">
        <f t="shared" si="12"/>
        <v>2000</v>
      </c>
      <c r="Q105" s="372">
        <f t="shared" si="14"/>
        <v>-1000</v>
      </c>
      <c r="R105" s="374">
        <f t="shared" si="9"/>
        <v>-0.33329999999999999</v>
      </c>
      <c r="S105" s="863"/>
      <c r="T105" s="928"/>
      <c r="U105" s="368"/>
      <c r="V105" s="4"/>
      <c r="W105" s="4"/>
      <c r="X105" s="4"/>
    </row>
    <row r="106" spans="1:24" x14ac:dyDescent="0.25">
      <c r="A106" s="724">
        <v>5481</v>
      </c>
      <c r="B106" s="369" t="s">
        <v>1037</v>
      </c>
      <c r="C106" s="375">
        <v>4569</v>
      </c>
      <c r="D106" s="377">
        <v>4735</v>
      </c>
      <c r="E106" s="377">
        <f>175+4225</f>
        <v>4400</v>
      </c>
      <c r="F106" s="982"/>
      <c r="G106" s="982"/>
      <c r="H106" s="982"/>
      <c r="I106" s="194"/>
      <c r="J106" s="194"/>
      <c r="K106" s="194"/>
      <c r="L106" s="194"/>
      <c r="O106" s="539">
        <f t="shared" si="11"/>
        <v>7500</v>
      </c>
      <c r="P106" s="539">
        <f t="shared" si="12"/>
        <v>6000</v>
      </c>
      <c r="Q106" s="372">
        <f t="shared" si="14"/>
        <v>-1500</v>
      </c>
      <c r="R106" s="374">
        <f t="shared" si="9"/>
        <v>-0.2</v>
      </c>
      <c r="S106" s="863"/>
      <c r="T106" s="929"/>
      <c r="U106" s="407"/>
      <c r="V106" s="4"/>
      <c r="W106" s="4"/>
      <c r="X106" s="4"/>
    </row>
    <row r="107" spans="1:24" x14ac:dyDescent="0.25">
      <c r="A107" s="724">
        <v>5482</v>
      </c>
      <c r="B107" s="369" t="s">
        <v>1166</v>
      </c>
      <c r="C107" s="373"/>
      <c r="D107" s="373"/>
      <c r="E107" s="373"/>
      <c r="F107" s="991"/>
      <c r="G107" s="991"/>
      <c r="H107" s="991"/>
      <c r="I107" s="194"/>
      <c r="J107" s="194"/>
      <c r="K107" s="194"/>
      <c r="L107" s="194"/>
      <c r="O107" s="539">
        <f t="shared" si="11"/>
        <v>8500</v>
      </c>
      <c r="P107" s="539">
        <f t="shared" si="12"/>
        <v>6000</v>
      </c>
      <c r="Q107" s="372">
        <f t="shared" si="14"/>
        <v>-2500</v>
      </c>
      <c r="R107" s="374">
        <f t="shared" si="9"/>
        <v>-0.29409999999999997</v>
      </c>
      <c r="S107" s="1354"/>
      <c r="T107" s="1355"/>
      <c r="U107" s="1356"/>
      <c r="V107" s="4"/>
      <c r="W107" s="4"/>
      <c r="X107" s="4"/>
    </row>
    <row r="108" spans="1:24" x14ac:dyDescent="0.25">
      <c r="A108" s="724">
        <v>5500</v>
      </c>
      <c r="B108" s="369" t="s">
        <v>1465</v>
      </c>
      <c r="C108" s="373"/>
      <c r="D108" s="373"/>
      <c r="E108" s="373"/>
      <c r="F108" s="373"/>
      <c r="G108" s="373"/>
      <c r="H108" s="991"/>
      <c r="I108" s="194"/>
      <c r="J108" s="194"/>
      <c r="K108" s="194"/>
      <c r="L108" s="194"/>
      <c r="O108" s="539">
        <f t="shared" si="11"/>
        <v>2500</v>
      </c>
      <c r="P108" s="539">
        <f t="shared" si="12"/>
        <v>1250</v>
      </c>
      <c r="Q108" s="372">
        <f t="shared" si="14"/>
        <v>-1250</v>
      </c>
      <c r="R108" s="374">
        <f t="shared" si="9"/>
        <v>-0.5</v>
      </c>
      <c r="S108" s="1354"/>
      <c r="T108" s="1355"/>
      <c r="U108" s="1356"/>
      <c r="V108" s="4"/>
      <c r="W108" s="4"/>
      <c r="X108" s="4"/>
    </row>
    <row r="109" spans="1:24" x14ac:dyDescent="0.25">
      <c r="A109" s="724">
        <v>5580</v>
      </c>
      <c r="B109" s="369" t="s">
        <v>1953</v>
      </c>
      <c r="C109" s="23"/>
      <c r="D109" s="23"/>
      <c r="E109" s="23"/>
      <c r="F109" s="23"/>
      <c r="G109" s="23"/>
      <c r="H109" s="194"/>
      <c r="I109" s="194"/>
      <c r="J109" s="194"/>
      <c r="K109" s="194"/>
      <c r="L109" s="194"/>
      <c r="O109" s="539">
        <f t="shared" si="11"/>
        <v>4500</v>
      </c>
      <c r="P109" s="539">
        <f t="shared" si="12"/>
        <v>4500</v>
      </c>
      <c r="Q109" s="372">
        <f t="shared" si="14"/>
        <v>0</v>
      </c>
      <c r="R109" s="374" t="str">
        <f t="shared" si="9"/>
        <v/>
      </c>
      <c r="S109" s="1354"/>
      <c r="T109" s="1355"/>
      <c r="U109" s="1356"/>
      <c r="V109" s="4"/>
      <c r="W109" s="4"/>
      <c r="X109" s="4"/>
    </row>
    <row r="110" spans="1:24" x14ac:dyDescent="0.25">
      <c r="A110" s="724">
        <v>5581</v>
      </c>
      <c r="B110" s="369" t="s">
        <v>1954</v>
      </c>
      <c r="C110" s="23"/>
      <c r="D110" s="23"/>
      <c r="E110" s="23"/>
      <c r="F110" s="23"/>
      <c r="G110" s="23"/>
      <c r="H110" s="23"/>
      <c r="I110" s="23"/>
      <c r="J110" s="23"/>
      <c r="K110" s="23"/>
      <c r="L110" s="23"/>
      <c r="O110" s="539">
        <f t="shared" si="11"/>
        <v>4500</v>
      </c>
      <c r="P110" s="539">
        <f t="shared" si="12"/>
        <v>4500</v>
      </c>
      <c r="Q110" s="372">
        <f t="shared" si="14"/>
        <v>0</v>
      </c>
      <c r="R110" s="374" t="str">
        <f t="shared" si="9"/>
        <v/>
      </c>
      <c r="S110" s="1354"/>
      <c r="T110" s="1355"/>
      <c r="U110" s="1356"/>
      <c r="V110" s="4"/>
      <c r="W110" s="4"/>
      <c r="X110" s="4"/>
    </row>
    <row r="111" spans="1:24" x14ac:dyDescent="0.25">
      <c r="A111" s="724">
        <v>5582</v>
      </c>
      <c r="B111" s="369" t="s">
        <v>1466</v>
      </c>
      <c r="C111" s="194"/>
      <c r="D111" s="194"/>
      <c r="E111" s="194"/>
      <c r="F111" s="194"/>
      <c r="G111" s="194"/>
      <c r="H111" s="194"/>
      <c r="I111" s="194"/>
      <c r="J111" s="194"/>
      <c r="K111" s="194"/>
      <c r="L111" s="194"/>
      <c r="O111" s="539">
        <f t="shared" si="11"/>
        <v>3750</v>
      </c>
      <c r="P111" s="539">
        <f t="shared" si="12"/>
        <v>4250</v>
      </c>
      <c r="Q111" s="372">
        <f t="shared" si="14"/>
        <v>500</v>
      </c>
      <c r="R111" s="374">
        <f t="shared" si="9"/>
        <v>0.1333</v>
      </c>
      <c r="S111" s="863"/>
      <c r="T111" s="864"/>
      <c r="U111" s="372"/>
    </row>
    <row r="112" spans="1:24" x14ac:dyDescent="0.25">
      <c r="A112" s="724">
        <v>5584</v>
      </c>
      <c r="B112" s="369" t="s">
        <v>1955</v>
      </c>
      <c r="C112" s="194"/>
      <c r="D112" s="194"/>
      <c r="E112" s="194"/>
      <c r="F112" s="194"/>
      <c r="G112" s="194"/>
      <c r="H112" s="194"/>
      <c r="I112" s="194"/>
      <c r="J112" s="194"/>
      <c r="K112" s="194"/>
      <c r="L112" s="194"/>
      <c r="O112" s="539">
        <f t="shared" si="11"/>
        <v>500</v>
      </c>
      <c r="P112" s="539">
        <f t="shared" si="12"/>
        <v>500</v>
      </c>
      <c r="Q112" s="372">
        <f t="shared" si="14"/>
        <v>0</v>
      </c>
      <c r="R112" s="374" t="str">
        <f t="shared" si="9"/>
        <v/>
      </c>
      <c r="S112" s="1354"/>
      <c r="T112" s="1355"/>
      <c r="U112" s="1356"/>
    </row>
    <row r="113" spans="1:21" x14ac:dyDescent="0.25">
      <c r="A113" s="724">
        <v>5710</v>
      </c>
      <c r="B113" s="369" t="s">
        <v>758</v>
      </c>
      <c r="C113" s="194"/>
      <c r="D113" s="194"/>
      <c r="E113" s="194"/>
      <c r="F113" s="194"/>
      <c r="G113" s="194"/>
      <c r="H113" s="194"/>
      <c r="I113" s="194"/>
      <c r="J113" s="194"/>
      <c r="K113" s="194"/>
      <c r="L113" s="194"/>
      <c r="O113" s="539">
        <f t="shared" si="11"/>
        <v>2500</v>
      </c>
      <c r="P113" s="539">
        <f t="shared" si="12"/>
        <v>1000</v>
      </c>
      <c r="Q113" s="372">
        <f t="shared" si="14"/>
        <v>-1500</v>
      </c>
      <c r="R113" s="374">
        <f t="shared" si="9"/>
        <v>-0.6</v>
      </c>
      <c r="S113" s="1354"/>
      <c r="T113" s="1355"/>
      <c r="U113" s="1356"/>
    </row>
    <row r="114" spans="1:21" x14ac:dyDescent="0.25">
      <c r="A114" s="724">
        <v>5730</v>
      </c>
      <c r="B114" s="369" t="s">
        <v>1467</v>
      </c>
      <c r="C114" s="194"/>
      <c r="O114" s="539">
        <f t="shared" si="11"/>
        <v>750</v>
      </c>
      <c r="P114" s="539">
        <f t="shared" si="12"/>
        <v>500</v>
      </c>
      <c r="Q114" s="372">
        <f t="shared" si="14"/>
        <v>-250</v>
      </c>
      <c r="R114" s="374">
        <f t="shared" si="9"/>
        <v>-0.33329999999999999</v>
      </c>
      <c r="S114" s="1354"/>
      <c r="T114" s="1355"/>
      <c r="U114" s="1356"/>
    </row>
    <row r="115" spans="1:21" x14ac:dyDescent="0.25">
      <c r="A115" s="724">
        <v>5740</v>
      </c>
      <c r="B115" s="369" t="s">
        <v>861</v>
      </c>
      <c r="C115" s="194"/>
      <c r="O115" s="539">
        <f t="shared" si="11"/>
        <v>18000</v>
      </c>
      <c r="P115" s="539">
        <f t="shared" si="12"/>
        <v>19500</v>
      </c>
      <c r="Q115" s="372">
        <f t="shared" si="14"/>
        <v>1500</v>
      </c>
      <c r="R115" s="374">
        <f t="shared" si="9"/>
        <v>8.3299999999999999E-2</v>
      </c>
      <c r="S115" s="1354"/>
      <c r="T115" s="1355"/>
      <c r="U115" s="1356"/>
    </row>
    <row r="116" spans="1:21" x14ac:dyDescent="0.25">
      <c r="A116" s="724"/>
      <c r="B116" s="369" t="s">
        <v>1956</v>
      </c>
      <c r="C116" s="194"/>
      <c r="O116" s="539">
        <f t="shared" si="11"/>
        <v>8000</v>
      </c>
      <c r="P116" s="539">
        <f t="shared" si="12"/>
        <v>0</v>
      </c>
      <c r="Q116" s="372">
        <f t="shared" si="14"/>
        <v>-8000</v>
      </c>
      <c r="R116" s="374">
        <f t="shared" si="9"/>
        <v>-1</v>
      </c>
      <c r="S116" s="1354"/>
      <c r="T116" s="1355"/>
      <c r="U116" s="1356"/>
    </row>
    <row r="117" spans="1:21" x14ac:dyDescent="0.25">
      <c r="A117" s="724">
        <v>5790</v>
      </c>
      <c r="B117" s="376" t="s">
        <v>1468</v>
      </c>
      <c r="C117" s="194"/>
      <c r="O117" s="539">
        <f t="shared" si="11"/>
        <v>3939</v>
      </c>
      <c r="P117" s="539">
        <f t="shared" si="12"/>
        <v>4000</v>
      </c>
      <c r="Q117" s="372">
        <f t="shared" si="14"/>
        <v>61</v>
      </c>
      <c r="R117" s="374">
        <f t="shared" si="9"/>
        <v>1.55E-2</v>
      </c>
      <c r="S117" s="1354"/>
      <c r="T117" s="1355"/>
      <c r="U117" s="1356"/>
    </row>
    <row r="118" spans="1:21" x14ac:dyDescent="0.25">
      <c r="A118" s="724">
        <v>5800</v>
      </c>
      <c r="B118" s="369" t="s">
        <v>1957</v>
      </c>
      <c r="C118" s="194"/>
      <c r="O118" s="539">
        <f>+Q50</f>
        <v>10000</v>
      </c>
      <c r="P118" s="539">
        <f>+S50</f>
        <v>0</v>
      </c>
      <c r="Q118" s="372">
        <f t="shared" si="14"/>
        <v>-10000</v>
      </c>
      <c r="R118" s="374">
        <f t="shared" si="9"/>
        <v>-1</v>
      </c>
      <c r="S118" s="1354"/>
      <c r="T118" s="1355"/>
      <c r="U118" s="1356"/>
    </row>
    <row r="119" spans="1:21" x14ac:dyDescent="0.25">
      <c r="B119" s="679" t="s">
        <v>735</v>
      </c>
      <c r="C119" s="194"/>
      <c r="O119" s="105">
        <f>SUM(O82:O118)</f>
        <v>284915</v>
      </c>
      <c r="P119" s="105">
        <f t="shared" ref="P119:Q119" si="15">SUM(P82:P118)</f>
        <v>255238</v>
      </c>
      <c r="Q119" s="105">
        <f t="shared" si="15"/>
        <v>-29677</v>
      </c>
      <c r="R119" s="374">
        <f t="shared" si="9"/>
        <v>-0.1042</v>
      </c>
    </row>
    <row r="120" spans="1:21" x14ac:dyDescent="0.25">
      <c r="C120" s="194"/>
    </row>
    <row r="121" spans="1:21" x14ac:dyDescent="0.25">
      <c r="C121" s="194"/>
    </row>
    <row r="122" spans="1:21" x14ac:dyDescent="0.25">
      <c r="C122" s="194"/>
    </row>
    <row r="123" spans="1:21" x14ac:dyDescent="0.25">
      <c r="C123" s="194"/>
    </row>
    <row r="124" spans="1:21" x14ac:dyDescent="0.25">
      <c r="C124" s="194"/>
    </row>
    <row r="125" spans="1:21" x14ac:dyDescent="0.25">
      <c r="C125" s="194"/>
    </row>
    <row r="126" spans="1:21" x14ac:dyDescent="0.25">
      <c r="C126" s="194"/>
    </row>
    <row r="127" spans="1:21" x14ac:dyDescent="0.25">
      <c r="C127" s="194"/>
    </row>
    <row r="128" spans="1:21" x14ac:dyDescent="0.25">
      <c r="C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sheetData>
  <mergeCells count="11">
    <mergeCell ref="S118:U118"/>
    <mergeCell ref="S107:U107"/>
    <mergeCell ref="S108:U108"/>
    <mergeCell ref="S109:U109"/>
    <mergeCell ref="S110:U110"/>
    <mergeCell ref="S112:U112"/>
    <mergeCell ref="S113:U113"/>
    <mergeCell ref="S114:U114"/>
    <mergeCell ref="S115:U115"/>
    <mergeCell ref="S116:U116"/>
    <mergeCell ref="S117:U117"/>
  </mergeCells>
  <phoneticPr fontId="0" type="noConversion"/>
  <hyperlinks>
    <hyperlink ref="A1" location="'Working Budget with funding det'!A1" display="Main " xr:uid="{00000000-0004-0000-3600-000000000000}"/>
    <hyperlink ref="B1" location="'Table of Contents'!A1" display="TOC" xr:uid="{00000000-0004-0000-3600-000001000000}"/>
  </hyperlinks>
  <pageMargins left="0.75" right="0.5" top="0.75" bottom="0.75" header="0.5" footer="0.5"/>
  <pageSetup scale="69" fitToHeight="2" orientation="landscape" r:id="rId1"/>
  <headerFooter alignWithMargins="0">
    <oddFooter>&amp;L&amp;D     &amp;T&amp;C&amp;F&amp;R&amp;A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50"/>
    <pageSetUpPr fitToPage="1"/>
  </sheetPr>
  <dimension ref="A1:AX22"/>
  <sheetViews>
    <sheetView workbookViewId="0">
      <pane xSplit="10" ySplit="7" topLeftCell="O8" activePane="bottomRight" state="frozen"/>
      <selection activeCell="S36" sqref="S36"/>
      <selection pane="topRight" activeCell="S36" sqref="S36"/>
      <selection pane="bottomLeft" activeCell="S36" sqref="S36"/>
      <selection pane="bottomRight" sqref="A1:U22"/>
    </sheetView>
  </sheetViews>
  <sheetFormatPr defaultRowHeight="13.2" x14ac:dyDescent="0.25"/>
  <cols>
    <col min="1" max="1" width="10.44140625" style="712" customWidth="1"/>
    <col min="2" max="2" width="33" customWidth="1"/>
    <col min="3" max="12" width="8.88671875" hidden="1" customWidth="1"/>
    <col min="13" max="14" width="10.77734375" hidden="1" customWidth="1"/>
    <col min="15" max="15" width="10.33203125" customWidth="1"/>
    <col min="16" max="16" width="12.109375" customWidth="1"/>
    <col min="17" max="17" width="11.44140625" customWidth="1"/>
    <col min="18" max="18" width="11.33203125" customWidth="1"/>
    <col min="19" max="20" width="12.6640625" customWidth="1"/>
    <col min="21" max="21" width="13.109375" customWidth="1"/>
    <col min="23" max="23" width="11.109375" hidden="1" customWidth="1"/>
    <col min="24" max="24" width="12.33203125" hidden="1" customWidth="1"/>
    <col min="25" max="25" width="12.33203125" customWidth="1"/>
    <col min="26" max="26" width="10.44140625" bestFit="1" customWidth="1"/>
    <col min="27" max="27" width="11.44140625" customWidth="1"/>
    <col min="28" max="28" width="10.44140625" bestFit="1" customWidth="1"/>
    <col min="29" max="29" width="10.44140625" customWidth="1"/>
    <col min="30" max="30" width="10.44140625" bestFit="1" customWidth="1"/>
    <col min="31" max="31" width="11.33203125" customWidth="1"/>
    <col min="32" max="32" width="10.44140625" bestFit="1" customWidth="1"/>
    <col min="33" max="33" width="12" customWidth="1"/>
    <col min="34" max="34" width="10.44140625" bestFit="1" customWidth="1"/>
    <col min="35" max="36" width="11.109375" customWidth="1"/>
    <col min="37" max="37" width="11.44140625" customWidth="1"/>
    <col min="51" max="51" width="12" customWidth="1"/>
  </cols>
  <sheetData>
    <row r="1" spans="1:50" x14ac:dyDescent="0.25">
      <c r="A1" s="701" t="s">
        <v>736</v>
      </c>
      <c r="B1" s="290" t="s">
        <v>194</v>
      </c>
      <c r="C1" s="1"/>
      <c r="D1" s="194"/>
      <c r="E1" s="194"/>
      <c r="F1" s="194"/>
      <c r="G1" s="194"/>
      <c r="H1" s="194"/>
      <c r="I1" s="194"/>
      <c r="J1" s="194"/>
      <c r="K1" s="194"/>
      <c r="L1" s="194"/>
      <c r="M1" s="194"/>
      <c r="N1" s="194"/>
      <c r="O1" s="194"/>
      <c r="P1" s="194"/>
      <c r="Q1" s="194"/>
      <c r="S1" s="1"/>
      <c r="T1" s="1"/>
    </row>
    <row r="2" spans="1:50" ht="13.8" x14ac:dyDescent="0.25">
      <c r="A2" s="702" t="s">
        <v>1474</v>
      </c>
      <c r="B2" s="43"/>
      <c r="C2" s="1"/>
      <c r="D2" s="194"/>
      <c r="E2" s="125"/>
      <c r="F2" s="194"/>
      <c r="G2" s="194"/>
      <c r="H2" s="194"/>
      <c r="I2" s="125" t="s">
        <v>706</v>
      </c>
      <c r="J2" s="125"/>
      <c r="K2" s="58" t="s">
        <v>1475</v>
      </c>
      <c r="L2" s="58"/>
      <c r="M2" s="58"/>
      <c r="N2" s="58"/>
      <c r="O2" s="58"/>
      <c r="P2" s="58"/>
      <c r="Q2" s="58"/>
      <c r="R2" s="1"/>
      <c r="S2" s="44" t="s">
        <v>1476</v>
      </c>
      <c r="T2" s="44"/>
    </row>
    <row r="3" spans="1:50" ht="13.8" thickBot="1" x14ac:dyDescent="0.3">
      <c r="A3" s="703"/>
      <c r="B3" s="4"/>
      <c r="C3" s="23"/>
      <c r="D3" s="23"/>
      <c r="E3" s="23"/>
      <c r="F3" s="23"/>
      <c r="G3" s="23"/>
      <c r="H3" s="23"/>
      <c r="I3" s="23"/>
      <c r="J3" s="23"/>
      <c r="K3" s="23"/>
      <c r="L3" s="23"/>
      <c r="M3" s="23"/>
      <c r="N3" s="23"/>
      <c r="O3" s="23"/>
      <c r="P3" s="23"/>
      <c r="Q3" s="23"/>
      <c r="R3" s="4"/>
      <c r="S3" s="23"/>
      <c r="T3" s="23"/>
      <c r="U3" s="4"/>
    </row>
    <row r="4" spans="1:50"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row>
    <row r="5" spans="1:50" x14ac:dyDescent="0.25">
      <c r="A5" s="705"/>
      <c r="B5" s="184"/>
      <c r="C5" s="112"/>
      <c r="D5" s="82"/>
      <c r="E5" s="104"/>
      <c r="F5" s="82"/>
      <c r="G5" s="82"/>
      <c r="H5" s="104"/>
      <c r="I5" s="229"/>
      <c r="J5" s="229"/>
      <c r="K5" s="229"/>
      <c r="L5" s="229"/>
      <c r="M5" s="229" t="s">
        <v>1455</v>
      </c>
      <c r="N5" s="229"/>
      <c r="O5" s="229"/>
      <c r="P5" s="229"/>
      <c r="Q5" s="229"/>
      <c r="R5" s="104" t="s">
        <v>709</v>
      </c>
      <c r="S5" s="83" t="s">
        <v>710</v>
      </c>
      <c r="T5" s="83" t="s">
        <v>711</v>
      </c>
      <c r="U5" s="178" t="s">
        <v>712</v>
      </c>
      <c r="W5" s="45" t="s">
        <v>253</v>
      </c>
      <c r="X5" s="45" t="s">
        <v>469</v>
      </c>
      <c r="Y5" s="45" t="s">
        <v>1345</v>
      </c>
      <c r="Z5" s="45" t="s">
        <v>1346</v>
      </c>
      <c r="AA5" s="45" t="s">
        <v>1347</v>
      </c>
      <c r="AB5" s="45" t="s">
        <v>1348</v>
      </c>
      <c r="AC5" s="45" t="s">
        <v>1349</v>
      </c>
      <c r="AD5" s="45" t="s">
        <v>1350</v>
      </c>
      <c r="AE5" s="45" t="s">
        <v>1351</v>
      </c>
      <c r="AF5" s="45" t="s">
        <v>1352</v>
      </c>
      <c r="AG5" s="45" t="s">
        <v>1353</v>
      </c>
      <c r="AH5" s="45" t="s">
        <v>1354</v>
      </c>
      <c r="AI5" s="45" t="s">
        <v>1355</v>
      </c>
      <c r="AJ5" s="45" t="s">
        <v>1356</v>
      </c>
      <c r="AK5" s="45" t="s">
        <v>1357</v>
      </c>
      <c r="AL5" s="45" t="s">
        <v>1358</v>
      </c>
      <c r="AM5" s="45" t="s">
        <v>1359</v>
      </c>
      <c r="AN5" s="45" t="s">
        <v>1360</v>
      </c>
      <c r="AO5" s="45" t="s">
        <v>1361</v>
      </c>
      <c r="AP5" s="45" t="s">
        <v>1362</v>
      </c>
      <c r="AQ5" s="45" t="s">
        <v>1363</v>
      </c>
      <c r="AR5" s="45" t="s">
        <v>1364</v>
      </c>
      <c r="AS5" s="45" t="s">
        <v>1365</v>
      </c>
      <c r="AT5" s="45" t="s">
        <v>1366</v>
      </c>
      <c r="AU5" s="45" t="s">
        <v>1367</v>
      </c>
      <c r="AV5" s="45" t="s">
        <v>1368</v>
      </c>
      <c r="AW5" s="45" t="s">
        <v>1369</v>
      </c>
      <c r="AX5" s="45" t="s">
        <v>1370</v>
      </c>
    </row>
    <row r="6" spans="1:50" x14ac:dyDescent="0.25">
      <c r="A6" s="705"/>
      <c r="B6" s="184"/>
      <c r="C6" s="112"/>
      <c r="D6" s="112"/>
      <c r="E6" s="112"/>
      <c r="F6" s="112"/>
      <c r="G6" s="112"/>
      <c r="H6" s="112"/>
      <c r="I6" s="83"/>
      <c r="J6" s="83"/>
      <c r="K6" s="83"/>
      <c r="L6" s="83"/>
      <c r="M6" s="83" t="s">
        <v>1456</v>
      </c>
      <c r="N6" s="83"/>
      <c r="O6" s="83"/>
      <c r="P6" s="83"/>
      <c r="Q6" s="83"/>
      <c r="R6" s="112"/>
      <c r="S6" s="83" t="s">
        <v>713</v>
      </c>
      <c r="T6" s="83" t="s">
        <v>481</v>
      </c>
      <c r="U6" s="45" t="s">
        <v>714</v>
      </c>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row>
    <row r="7" spans="1:50"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c r="W7" s="9"/>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0" ht="14.4" thickTop="1" thickBot="1" x14ac:dyDescent="0.3">
      <c r="A8" s="725"/>
      <c r="B8" s="91" t="s">
        <v>1371</v>
      </c>
      <c r="C8" s="117"/>
      <c r="D8" s="18"/>
      <c r="E8" s="18"/>
      <c r="F8" s="18"/>
      <c r="G8" s="18"/>
      <c r="H8" s="18"/>
      <c r="I8" s="19"/>
      <c r="J8" s="19"/>
      <c r="K8" s="19"/>
      <c r="L8" s="19"/>
      <c r="M8" s="18"/>
      <c r="N8" s="19"/>
      <c r="O8" s="19"/>
      <c r="P8" s="19"/>
      <c r="Q8" s="19"/>
      <c r="R8" s="18"/>
      <c r="S8" s="19"/>
      <c r="T8" s="19"/>
      <c r="U8" s="180"/>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row>
    <row r="9" spans="1:50" x14ac:dyDescent="0.25">
      <c r="A9" s="708" t="s">
        <v>1477</v>
      </c>
      <c r="B9" s="60" t="s">
        <v>1478</v>
      </c>
      <c r="C9" s="210"/>
      <c r="D9" s="200"/>
      <c r="E9" s="200"/>
      <c r="F9" s="200"/>
      <c r="G9" s="200"/>
      <c r="H9" s="200"/>
      <c r="I9" s="200"/>
      <c r="J9" s="200"/>
      <c r="K9" s="36"/>
      <c r="L9" s="36"/>
      <c r="M9" s="35"/>
      <c r="N9" s="36"/>
      <c r="O9" s="36">
        <v>44000</v>
      </c>
      <c r="P9" s="35">
        <v>44000</v>
      </c>
      <c r="Q9" s="36">
        <v>63000</v>
      </c>
      <c r="R9" s="35">
        <v>63000</v>
      </c>
      <c r="S9" s="36">
        <f>+Y9</f>
        <v>67000</v>
      </c>
      <c r="T9" s="36"/>
      <c r="U9" s="36"/>
      <c r="W9" s="35">
        <v>44000</v>
      </c>
      <c r="X9" s="35">
        <v>63000</v>
      </c>
      <c r="Y9" s="35">
        <v>67000</v>
      </c>
      <c r="Z9" s="35">
        <v>67000</v>
      </c>
      <c r="AA9" s="35">
        <v>71000</v>
      </c>
      <c r="AB9" s="35">
        <v>70000</v>
      </c>
      <c r="AC9" s="35">
        <v>79000</v>
      </c>
      <c r="AD9" s="35">
        <v>77000</v>
      </c>
      <c r="AE9" s="35">
        <v>82000</v>
      </c>
      <c r="AF9" s="35">
        <v>81000</v>
      </c>
      <c r="AG9" s="35">
        <v>86000</v>
      </c>
      <c r="AH9" s="35">
        <v>85000</v>
      </c>
      <c r="AI9" s="35">
        <v>90000</v>
      </c>
      <c r="AJ9" s="35">
        <v>90000</v>
      </c>
      <c r="AK9" s="35">
        <v>95000</v>
      </c>
      <c r="AL9" s="35"/>
      <c r="AM9" s="35"/>
      <c r="AN9" s="35"/>
      <c r="AO9" s="35"/>
      <c r="AP9" s="35"/>
      <c r="AQ9" s="35"/>
      <c r="AR9" s="35"/>
      <c r="AS9" s="35"/>
      <c r="AT9" s="35"/>
      <c r="AU9" s="35"/>
      <c r="AV9" s="35"/>
      <c r="AW9" s="35"/>
      <c r="AX9" s="35"/>
    </row>
    <row r="10" spans="1:50" x14ac:dyDescent="0.25">
      <c r="A10" s="708" t="s">
        <v>1479</v>
      </c>
      <c r="B10" s="60" t="s">
        <v>1480</v>
      </c>
      <c r="C10" s="210"/>
      <c r="D10" s="200"/>
      <c r="E10" s="200"/>
      <c r="F10" s="200"/>
      <c r="G10" s="200"/>
      <c r="H10" s="200"/>
      <c r="I10" s="200"/>
      <c r="J10" s="200"/>
      <c r="K10" s="36"/>
      <c r="L10" s="36"/>
      <c r="M10" s="35"/>
      <c r="N10" s="36"/>
      <c r="O10" s="36">
        <v>3000</v>
      </c>
      <c r="P10" s="35">
        <v>3000</v>
      </c>
      <c r="Q10" s="36">
        <v>4000</v>
      </c>
      <c r="R10" s="35">
        <v>4000</v>
      </c>
      <c r="S10" s="36">
        <f>+Y10</f>
        <v>4000</v>
      </c>
      <c r="T10" s="36"/>
      <c r="U10" s="36"/>
      <c r="W10" s="35">
        <v>3000</v>
      </c>
      <c r="X10" s="35">
        <v>4000</v>
      </c>
      <c r="Y10" s="35">
        <v>4000</v>
      </c>
      <c r="Z10" s="35">
        <v>4000</v>
      </c>
      <c r="AA10" s="35">
        <v>4000</v>
      </c>
      <c r="AB10" s="35">
        <v>4000</v>
      </c>
      <c r="AC10" s="35">
        <v>4000</v>
      </c>
      <c r="AD10" s="35">
        <v>5000</v>
      </c>
      <c r="AE10" s="35">
        <v>5000</v>
      </c>
      <c r="AF10" s="35">
        <v>5000</v>
      </c>
      <c r="AG10" s="35">
        <v>5000</v>
      </c>
      <c r="AH10" s="35">
        <v>5000</v>
      </c>
      <c r="AI10" s="35">
        <v>5000</v>
      </c>
      <c r="AJ10" s="35">
        <v>5000</v>
      </c>
      <c r="AK10" s="35">
        <v>5000</v>
      </c>
      <c r="AL10" s="35"/>
      <c r="AM10" s="35"/>
      <c r="AN10" s="35"/>
      <c r="AO10" s="35"/>
      <c r="AP10" s="35"/>
      <c r="AQ10" s="35"/>
      <c r="AR10" s="35"/>
      <c r="AS10" s="35"/>
      <c r="AT10" s="35"/>
      <c r="AU10" s="35"/>
      <c r="AV10" s="35"/>
      <c r="AW10" s="35"/>
      <c r="AX10" s="35"/>
    </row>
    <row r="11" spans="1:50" ht="13.8" thickBot="1" x14ac:dyDescent="0.3">
      <c r="A11" s="708"/>
      <c r="B11" s="12"/>
      <c r="C11" s="15"/>
      <c r="D11" s="245"/>
      <c r="E11" s="245"/>
      <c r="F11" s="245"/>
      <c r="G11" s="245"/>
      <c r="H11" s="245"/>
      <c r="I11" s="245"/>
      <c r="J11" s="245"/>
      <c r="K11" s="154"/>
      <c r="L11" s="154"/>
      <c r="M11" s="245"/>
      <c r="N11" s="154"/>
      <c r="O11" s="154"/>
      <c r="P11" s="245"/>
      <c r="Q11" s="154"/>
      <c r="R11" s="15"/>
      <c r="S11" s="154"/>
      <c r="T11" s="154"/>
      <c r="U11" s="154"/>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row>
    <row r="12" spans="1:50" x14ac:dyDescent="0.25">
      <c r="A12" s="708"/>
      <c r="B12" s="17" t="s">
        <v>1371</v>
      </c>
      <c r="C12" s="18">
        <f t="shared" ref="C12:R12" si="0">SUM(C9:C11)</f>
        <v>0</v>
      </c>
      <c r="D12" s="18">
        <f t="shared" si="0"/>
        <v>0</v>
      </c>
      <c r="E12" s="18">
        <f t="shared" si="0"/>
        <v>0</v>
      </c>
      <c r="F12" s="18">
        <f t="shared" si="0"/>
        <v>0</v>
      </c>
      <c r="G12" s="18">
        <f t="shared" si="0"/>
        <v>0</v>
      </c>
      <c r="H12" s="18">
        <f t="shared" si="0"/>
        <v>0</v>
      </c>
      <c r="I12" s="18">
        <f t="shared" si="0"/>
        <v>0</v>
      </c>
      <c r="J12" s="18">
        <f t="shared" si="0"/>
        <v>0</v>
      </c>
      <c r="K12" s="19">
        <f t="shared" si="0"/>
        <v>0</v>
      </c>
      <c r="L12" s="19">
        <f t="shared" ref="L12:O12" si="1">SUM(L9:L11)</f>
        <v>0</v>
      </c>
      <c r="M12" s="18">
        <f t="shared" si="1"/>
        <v>0</v>
      </c>
      <c r="N12" s="19"/>
      <c r="O12" s="19">
        <f t="shared" si="1"/>
        <v>47000</v>
      </c>
      <c r="P12" s="18">
        <f t="shared" ref="P12" si="2">SUM(P9:P11)</f>
        <v>47000</v>
      </c>
      <c r="Q12" s="19">
        <f t="shared" ref="Q12" si="3">SUM(Q9:Q11)</f>
        <v>67000</v>
      </c>
      <c r="R12" s="18">
        <f t="shared" si="0"/>
        <v>67000</v>
      </c>
      <c r="S12" s="19">
        <f t="shared" ref="S12:U12" si="4">SUM(S9:S11)</f>
        <v>71000</v>
      </c>
      <c r="T12" s="19">
        <f t="shared" si="4"/>
        <v>0</v>
      </c>
      <c r="U12" s="19">
        <f t="shared" si="4"/>
        <v>0</v>
      </c>
      <c r="W12" s="18">
        <f t="shared" ref="W12:AX12" si="5">SUM(W9:W11)</f>
        <v>47000</v>
      </c>
      <c r="X12" s="18">
        <f t="shared" si="5"/>
        <v>67000</v>
      </c>
      <c r="Y12" s="18">
        <f t="shared" si="5"/>
        <v>71000</v>
      </c>
      <c r="Z12" s="18">
        <f t="shared" si="5"/>
        <v>71000</v>
      </c>
      <c r="AA12" s="18">
        <f t="shared" si="5"/>
        <v>75000</v>
      </c>
      <c r="AB12" s="18">
        <f t="shared" si="5"/>
        <v>74000</v>
      </c>
      <c r="AC12" s="18">
        <f t="shared" si="5"/>
        <v>83000</v>
      </c>
      <c r="AD12" s="18">
        <f t="shared" si="5"/>
        <v>82000</v>
      </c>
      <c r="AE12" s="18">
        <f t="shared" si="5"/>
        <v>87000</v>
      </c>
      <c r="AF12" s="18">
        <f t="shared" si="5"/>
        <v>86000</v>
      </c>
      <c r="AG12" s="18">
        <f t="shared" si="5"/>
        <v>91000</v>
      </c>
      <c r="AH12" s="18">
        <f t="shared" si="5"/>
        <v>90000</v>
      </c>
      <c r="AI12" s="18">
        <f t="shared" si="5"/>
        <v>95000</v>
      </c>
      <c r="AJ12" s="18">
        <f t="shared" si="5"/>
        <v>95000</v>
      </c>
      <c r="AK12" s="18">
        <f t="shared" si="5"/>
        <v>100000</v>
      </c>
      <c r="AL12" s="18">
        <f t="shared" si="5"/>
        <v>0</v>
      </c>
      <c r="AM12" s="18">
        <f t="shared" si="5"/>
        <v>0</v>
      </c>
      <c r="AN12" s="18">
        <f t="shared" si="5"/>
        <v>0</v>
      </c>
      <c r="AO12" s="18">
        <f t="shared" si="5"/>
        <v>0</v>
      </c>
      <c r="AP12" s="18">
        <f t="shared" si="5"/>
        <v>0</v>
      </c>
      <c r="AQ12" s="18">
        <f t="shared" si="5"/>
        <v>0</v>
      </c>
      <c r="AR12" s="18">
        <f t="shared" si="5"/>
        <v>0</v>
      </c>
      <c r="AS12" s="18">
        <f t="shared" si="5"/>
        <v>0</v>
      </c>
      <c r="AT12" s="18">
        <f t="shared" si="5"/>
        <v>0</v>
      </c>
      <c r="AU12" s="18">
        <f t="shared" si="5"/>
        <v>0</v>
      </c>
      <c r="AV12" s="18">
        <f t="shared" si="5"/>
        <v>0</v>
      </c>
      <c r="AW12" s="18">
        <f t="shared" si="5"/>
        <v>0</v>
      </c>
      <c r="AX12" s="18">
        <f t="shared" si="5"/>
        <v>0</v>
      </c>
    </row>
    <row r="13" spans="1:50" x14ac:dyDescent="0.25">
      <c r="A13" s="708"/>
      <c r="B13" s="17"/>
      <c r="C13" s="18"/>
      <c r="D13" s="246"/>
      <c r="E13" s="246"/>
      <c r="F13" s="246"/>
      <c r="G13" s="246"/>
      <c r="H13" s="246"/>
      <c r="I13" s="246"/>
      <c r="J13" s="246"/>
      <c r="K13" s="150"/>
      <c r="L13" s="150"/>
      <c r="M13" s="246"/>
      <c r="N13" s="150"/>
      <c r="O13" s="150"/>
      <c r="P13" s="246"/>
      <c r="Q13" s="150"/>
      <c r="R13" s="18"/>
      <c r="S13" s="150"/>
      <c r="T13" s="150"/>
      <c r="U13" s="150"/>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row>
    <row r="14" spans="1:50" ht="13.8" thickBot="1" x14ac:dyDescent="0.3">
      <c r="A14" s="708"/>
      <c r="B14" s="90" t="s">
        <v>1394</v>
      </c>
      <c r="C14" s="13"/>
      <c r="D14" s="126"/>
      <c r="E14" s="126"/>
      <c r="F14" s="126"/>
      <c r="G14" s="126"/>
      <c r="H14" s="126"/>
      <c r="I14" s="126"/>
      <c r="J14" s="126"/>
      <c r="K14" s="151"/>
      <c r="L14" s="151"/>
      <c r="M14" s="126"/>
      <c r="N14" s="151"/>
      <c r="O14" s="151"/>
      <c r="P14" s="126"/>
      <c r="Q14" s="151"/>
      <c r="R14" s="13"/>
      <c r="S14" s="151"/>
      <c r="T14" s="151"/>
      <c r="U14" s="151"/>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x14ac:dyDescent="0.25">
      <c r="A15" s="708" t="s">
        <v>1481</v>
      </c>
      <c r="B15" s="60" t="s">
        <v>1478</v>
      </c>
      <c r="C15" s="94"/>
      <c r="D15" s="247"/>
      <c r="E15" s="247"/>
      <c r="F15" s="247"/>
      <c r="G15" s="247"/>
      <c r="H15" s="247"/>
      <c r="I15" s="247"/>
      <c r="J15" s="247"/>
      <c r="K15" s="32"/>
      <c r="L15" s="32"/>
      <c r="M15" s="35">
        <v>3229.55</v>
      </c>
      <c r="N15" s="211">
        <v>3229.55</v>
      </c>
      <c r="O15" s="36">
        <v>51131</v>
      </c>
      <c r="P15" s="35">
        <v>51131.46</v>
      </c>
      <c r="Q15" s="36">
        <v>32645</v>
      </c>
      <c r="R15" s="94">
        <v>16952.5</v>
      </c>
      <c r="S15" s="36">
        <f>+Y15</f>
        <v>30045</v>
      </c>
      <c r="T15" s="36"/>
      <c r="U15" s="36"/>
      <c r="W15" s="94">
        <v>51131.46</v>
      </c>
      <c r="X15" s="94">
        <v>32645</v>
      </c>
      <c r="Y15" s="94">
        <v>30045</v>
      </c>
      <c r="Z15" s="94">
        <v>27365</v>
      </c>
      <c r="AA15" s="94">
        <v>24605</v>
      </c>
      <c r="AB15" s="94">
        <v>21785</v>
      </c>
      <c r="AC15" s="94">
        <v>18805</v>
      </c>
      <c r="AD15" s="94">
        <v>15685</v>
      </c>
      <c r="AE15" s="94">
        <v>13304.5</v>
      </c>
      <c r="AF15" s="94">
        <v>11593.25</v>
      </c>
      <c r="AG15" s="94">
        <v>9755</v>
      </c>
      <c r="AH15" s="94">
        <v>7810</v>
      </c>
      <c r="AI15" s="94">
        <v>5775</v>
      </c>
      <c r="AJ15" s="94">
        <v>3570</v>
      </c>
      <c r="AK15" s="94">
        <v>1211.25</v>
      </c>
      <c r="AL15" s="94"/>
      <c r="AM15" s="94"/>
      <c r="AN15" s="94"/>
      <c r="AO15" s="94"/>
      <c r="AP15" s="94"/>
      <c r="AQ15" s="94"/>
      <c r="AR15" s="94"/>
      <c r="AS15" s="94"/>
      <c r="AT15" s="94"/>
      <c r="AU15" s="94"/>
      <c r="AV15" s="94"/>
      <c r="AW15" s="94"/>
      <c r="AX15" s="94"/>
    </row>
    <row r="16" spans="1:50" x14ac:dyDescent="0.25">
      <c r="A16" s="708" t="s">
        <v>1482</v>
      </c>
      <c r="B16" s="60" t="s">
        <v>1480</v>
      </c>
      <c r="C16" s="109"/>
      <c r="D16" s="248"/>
      <c r="E16" s="248"/>
      <c r="F16" s="248"/>
      <c r="G16" s="248"/>
      <c r="H16" s="248"/>
      <c r="I16" s="248"/>
      <c r="J16" s="248"/>
      <c r="K16" s="211"/>
      <c r="L16" s="211"/>
      <c r="M16" s="109"/>
      <c r="N16" s="211"/>
      <c r="O16" s="36">
        <v>2989</v>
      </c>
      <c r="P16" s="35">
        <v>2987.92</v>
      </c>
      <c r="Q16" s="36">
        <v>1890</v>
      </c>
      <c r="R16" s="109">
        <v>985</v>
      </c>
      <c r="S16" s="36">
        <f>+Y16</f>
        <v>1730</v>
      </c>
      <c r="T16" s="36"/>
      <c r="U16" s="36"/>
      <c r="W16" s="109">
        <v>2987.92</v>
      </c>
      <c r="X16" s="109">
        <v>1890</v>
      </c>
      <c r="Y16" s="109">
        <v>1730</v>
      </c>
      <c r="Z16" s="109">
        <v>1570</v>
      </c>
      <c r="AA16" s="109">
        <v>1410</v>
      </c>
      <c r="AB16" s="109">
        <v>1250</v>
      </c>
      <c r="AC16" s="109">
        <v>1090</v>
      </c>
      <c r="AD16" s="109">
        <v>910</v>
      </c>
      <c r="AE16" s="109">
        <v>758.75</v>
      </c>
      <c r="AF16" s="109">
        <v>653.75</v>
      </c>
      <c r="AG16" s="109">
        <v>543.75</v>
      </c>
      <c r="AH16" s="109">
        <v>430</v>
      </c>
      <c r="AI16" s="109">
        <v>313.75</v>
      </c>
      <c r="AJ16" s="109">
        <v>191.25</v>
      </c>
      <c r="AK16" s="109">
        <v>63.75</v>
      </c>
      <c r="AL16" s="109"/>
      <c r="AM16" s="109"/>
      <c r="AN16" s="109"/>
      <c r="AO16" s="109"/>
      <c r="AP16" s="109"/>
      <c r="AQ16" s="109"/>
      <c r="AR16" s="109"/>
      <c r="AS16" s="109"/>
      <c r="AT16" s="109"/>
      <c r="AU16" s="109"/>
      <c r="AV16" s="109"/>
      <c r="AW16" s="109"/>
      <c r="AX16" s="109"/>
    </row>
    <row r="17" spans="1:50" ht="13.8" thickBot="1" x14ac:dyDescent="0.3">
      <c r="A17" s="708"/>
      <c r="B17" s="12"/>
      <c r="C17" s="110"/>
      <c r="D17" s="249"/>
      <c r="E17" s="249"/>
      <c r="F17" s="249"/>
      <c r="G17" s="249"/>
      <c r="H17" s="249"/>
      <c r="I17" s="586"/>
      <c r="J17" s="586"/>
      <c r="K17" s="225"/>
      <c r="L17" s="225"/>
      <c r="M17" s="249"/>
      <c r="N17" s="225"/>
      <c r="O17" s="225"/>
      <c r="P17" s="249"/>
      <c r="Q17" s="225"/>
      <c r="R17" s="110"/>
      <c r="S17" s="225"/>
      <c r="T17" s="154"/>
      <c r="U17" s="154"/>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row>
    <row r="18" spans="1:50" x14ac:dyDescent="0.25">
      <c r="A18" s="708"/>
      <c r="B18" s="17" t="s">
        <v>1394</v>
      </c>
      <c r="C18" s="18">
        <f t="shared" ref="C18:R18" si="6">SUM(C15:C17)</f>
        <v>0</v>
      </c>
      <c r="D18" s="18">
        <f t="shared" si="6"/>
        <v>0</v>
      </c>
      <c r="E18" s="18">
        <f t="shared" si="6"/>
        <v>0</v>
      </c>
      <c r="F18" s="18">
        <f t="shared" si="6"/>
        <v>0</v>
      </c>
      <c r="G18" s="18">
        <f t="shared" si="6"/>
        <v>0</v>
      </c>
      <c r="H18" s="18">
        <f t="shared" si="6"/>
        <v>0</v>
      </c>
      <c r="I18" s="111">
        <f t="shared" si="6"/>
        <v>0</v>
      </c>
      <c r="J18" s="111">
        <f t="shared" si="6"/>
        <v>0</v>
      </c>
      <c r="K18" s="19">
        <f t="shared" si="6"/>
        <v>0</v>
      </c>
      <c r="L18" s="19">
        <f t="shared" ref="L18:O18" si="7">SUM(L15:L17)</f>
        <v>0</v>
      </c>
      <c r="M18" s="18">
        <f t="shared" si="7"/>
        <v>3229.55</v>
      </c>
      <c r="N18" s="18">
        <f t="shared" ref="N18" si="8">SUM(N15:N17)</f>
        <v>3229.55</v>
      </c>
      <c r="O18" s="19">
        <f t="shared" si="7"/>
        <v>54120</v>
      </c>
      <c r="P18" s="18">
        <f t="shared" ref="P18" si="9">SUM(P15:P17)</f>
        <v>54119.38</v>
      </c>
      <c r="Q18" s="19">
        <f t="shared" ref="Q18" si="10">SUM(Q15:Q17)</f>
        <v>34535</v>
      </c>
      <c r="R18" s="18">
        <f t="shared" si="6"/>
        <v>17937.5</v>
      </c>
      <c r="S18" s="19">
        <f t="shared" ref="S18:U18" si="11">SUM(S15:S17)</f>
        <v>31775</v>
      </c>
      <c r="T18" s="19">
        <f t="shared" si="11"/>
        <v>0</v>
      </c>
      <c r="U18" s="19">
        <f t="shared" si="11"/>
        <v>0</v>
      </c>
      <c r="W18" s="18">
        <f t="shared" ref="W18:AX18" si="12">SUM(W15:W17)</f>
        <v>54119.38</v>
      </c>
      <c r="X18" s="18">
        <f t="shared" si="12"/>
        <v>34535</v>
      </c>
      <c r="Y18" s="18">
        <f t="shared" si="12"/>
        <v>31775</v>
      </c>
      <c r="Z18" s="18">
        <f t="shared" si="12"/>
        <v>28935</v>
      </c>
      <c r="AA18" s="18">
        <f t="shared" si="12"/>
        <v>26015</v>
      </c>
      <c r="AB18" s="18">
        <f t="shared" si="12"/>
        <v>23035</v>
      </c>
      <c r="AC18" s="18">
        <f t="shared" si="12"/>
        <v>19895</v>
      </c>
      <c r="AD18" s="18">
        <f t="shared" si="12"/>
        <v>16595</v>
      </c>
      <c r="AE18" s="18">
        <f t="shared" si="12"/>
        <v>14063.25</v>
      </c>
      <c r="AF18" s="18">
        <f t="shared" si="12"/>
        <v>12247</v>
      </c>
      <c r="AG18" s="18">
        <f t="shared" si="12"/>
        <v>10298.75</v>
      </c>
      <c r="AH18" s="18">
        <f t="shared" si="12"/>
        <v>8240</v>
      </c>
      <c r="AI18" s="18">
        <f t="shared" si="12"/>
        <v>6088.75</v>
      </c>
      <c r="AJ18" s="18">
        <f t="shared" si="12"/>
        <v>3761.25</v>
      </c>
      <c r="AK18" s="18">
        <f t="shared" si="12"/>
        <v>1275</v>
      </c>
      <c r="AL18" s="18">
        <f t="shared" si="12"/>
        <v>0</v>
      </c>
      <c r="AM18" s="18">
        <f t="shared" si="12"/>
        <v>0</v>
      </c>
      <c r="AN18" s="18">
        <f t="shared" si="12"/>
        <v>0</v>
      </c>
      <c r="AO18" s="18">
        <f t="shared" si="12"/>
        <v>0</v>
      </c>
      <c r="AP18" s="18">
        <f t="shared" si="12"/>
        <v>0</v>
      </c>
      <c r="AQ18" s="18">
        <f t="shared" si="12"/>
        <v>0</v>
      </c>
      <c r="AR18" s="18">
        <f t="shared" si="12"/>
        <v>0</v>
      </c>
      <c r="AS18" s="18">
        <f t="shared" si="12"/>
        <v>0</v>
      </c>
      <c r="AT18" s="18">
        <f t="shared" si="12"/>
        <v>0</v>
      </c>
      <c r="AU18" s="18">
        <f t="shared" si="12"/>
        <v>0</v>
      </c>
      <c r="AV18" s="18">
        <f t="shared" si="12"/>
        <v>0</v>
      </c>
      <c r="AW18" s="18">
        <f t="shared" si="12"/>
        <v>0</v>
      </c>
      <c r="AX18" s="18">
        <f t="shared" si="12"/>
        <v>0</v>
      </c>
    </row>
    <row r="19" spans="1:50" x14ac:dyDescent="0.25">
      <c r="A19" s="708"/>
      <c r="B19" s="12"/>
      <c r="C19" s="13"/>
      <c r="D19" s="126"/>
      <c r="E19" s="126"/>
      <c r="F19" s="126"/>
      <c r="G19" s="126"/>
      <c r="H19" s="126"/>
      <c r="I19" s="126"/>
      <c r="J19" s="126"/>
      <c r="K19" s="151"/>
      <c r="L19" s="151"/>
      <c r="M19" s="126"/>
      <c r="N19" s="126"/>
      <c r="O19" s="151"/>
      <c r="P19" s="126"/>
      <c r="Q19" s="151"/>
      <c r="R19" s="13"/>
      <c r="S19" s="151"/>
      <c r="T19" s="151"/>
      <c r="U19" s="151"/>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5">
      <c r="A20" s="708"/>
      <c r="B20" s="12"/>
      <c r="C20" s="13"/>
      <c r="D20" s="13"/>
      <c r="E20" s="13"/>
      <c r="F20" s="13"/>
      <c r="G20" s="13"/>
      <c r="H20" s="13"/>
      <c r="I20" s="13"/>
      <c r="J20" s="13"/>
      <c r="K20" s="14"/>
      <c r="L20" s="14"/>
      <c r="M20" s="13"/>
      <c r="N20" s="13"/>
      <c r="O20" s="14"/>
      <c r="P20" s="13"/>
      <c r="Q20" s="14"/>
      <c r="R20" s="13"/>
      <c r="S20" s="14"/>
      <c r="T20" s="14"/>
      <c r="U20" s="14"/>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ht="13.8" thickBot="1" x14ac:dyDescent="0.3">
      <c r="A21" s="709"/>
      <c r="B21" s="20" t="s">
        <v>1483</v>
      </c>
      <c r="C21" s="21">
        <f>+C18+C12</f>
        <v>0</v>
      </c>
      <c r="D21" s="21">
        <f t="shared" ref="D21:R21" si="13">+D18+D12</f>
        <v>0</v>
      </c>
      <c r="E21" s="21">
        <f t="shared" si="13"/>
        <v>0</v>
      </c>
      <c r="F21" s="21">
        <f t="shared" si="13"/>
        <v>0</v>
      </c>
      <c r="G21" s="21">
        <f t="shared" si="13"/>
        <v>0</v>
      </c>
      <c r="H21" s="21">
        <f t="shared" si="13"/>
        <v>0</v>
      </c>
      <c r="I21" s="21">
        <f t="shared" si="13"/>
        <v>0</v>
      </c>
      <c r="J21" s="21">
        <f t="shared" si="13"/>
        <v>0</v>
      </c>
      <c r="K21" s="21">
        <f t="shared" si="13"/>
        <v>0</v>
      </c>
      <c r="L21" s="21">
        <f t="shared" ref="L21:O21" si="14">+L18+L12</f>
        <v>0</v>
      </c>
      <c r="M21" s="21">
        <f t="shared" si="14"/>
        <v>3229.55</v>
      </c>
      <c r="N21" s="21">
        <f t="shared" ref="N21" si="15">+N18+N12</f>
        <v>3229.55</v>
      </c>
      <c r="O21" s="538">
        <f t="shared" si="14"/>
        <v>101120</v>
      </c>
      <c r="P21" s="21">
        <f t="shared" ref="P21" si="16">+P18+P12</f>
        <v>101119.38</v>
      </c>
      <c r="Q21" s="21">
        <f t="shared" ref="Q21:S21" si="17">+Q18+Q12</f>
        <v>101535</v>
      </c>
      <c r="R21" s="21">
        <f t="shared" si="13"/>
        <v>84937.5</v>
      </c>
      <c r="S21" s="21">
        <f t="shared" si="17"/>
        <v>102775</v>
      </c>
      <c r="T21" s="21">
        <f>+S21</f>
        <v>102775</v>
      </c>
      <c r="U21" s="21">
        <f>+S21</f>
        <v>102775</v>
      </c>
      <c r="W21" s="21">
        <f t="shared" ref="W21:AX21" si="18">+W18+W12</f>
        <v>101119.38</v>
      </c>
      <c r="X21" s="21">
        <f t="shared" si="18"/>
        <v>101535</v>
      </c>
      <c r="Y21" s="21">
        <f t="shared" si="18"/>
        <v>102775</v>
      </c>
      <c r="Z21" s="21">
        <f t="shared" si="18"/>
        <v>99935</v>
      </c>
      <c r="AA21" s="21">
        <f t="shared" si="18"/>
        <v>101015</v>
      </c>
      <c r="AB21" s="21">
        <f t="shared" si="18"/>
        <v>97035</v>
      </c>
      <c r="AC21" s="21">
        <f t="shared" si="18"/>
        <v>102895</v>
      </c>
      <c r="AD21" s="21">
        <f t="shared" si="18"/>
        <v>98595</v>
      </c>
      <c r="AE21" s="21">
        <f t="shared" si="18"/>
        <v>101063.25</v>
      </c>
      <c r="AF21" s="21">
        <f t="shared" si="18"/>
        <v>98247</v>
      </c>
      <c r="AG21" s="21">
        <f t="shared" si="18"/>
        <v>101298.75</v>
      </c>
      <c r="AH21" s="21">
        <f t="shared" si="18"/>
        <v>98240</v>
      </c>
      <c r="AI21" s="21">
        <f t="shared" si="18"/>
        <v>101088.75</v>
      </c>
      <c r="AJ21" s="21">
        <f t="shared" si="18"/>
        <v>98761.25</v>
      </c>
      <c r="AK21" s="21">
        <f t="shared" si="18"/>
        <v>101275</v>
      </c>
      <c r="AL21" s="21">
        <f t="shared" si="18"/>
        <v>0</v>
      </c>
      <c r="AM21" s="21">
        <f t="shared" si="18"/>
        <v>0</v>
      </c>
      <c r="AN21" s="21">
        <f t="shared" si="18"/>
        <v>0</v>
      </c>
      <c r="AO21" s="21">
        <f t="shared" si="18"/>
        <v>0</v>
      </c>
      <c r="AP21" s="21">
        <f t="shared" si="18"/>
        <v>0</v>
      </c>
      <c r="AQ21" s="21">
        <f t="shared" si="18"/>
        <v>0</v>
      </c>
      <c r="AR21" s="21">
        <f t="shared" si="18"/>
        <v>0</v>
      </c>
      <c r="AS21" s="21">
        <f t="shared" si="18"/>
        <v>0</v>
      </c>
      <c r="AT21" s="21">
        <f t="shared" si="18"/>
        <v>0</v>
      </c>
      <c r="AU21" s="21">
        <f t="shared" si="18"/>
        <v>0</v>
      </c>
      <c r="AV21" s="21">
        <f t="shared" si="18"/>
        <v>0</v>
      </c>
      <c r="AW21" s="21">
        <f t="shared" si="18"/>
        <v>0</v>
      </c>
      <c r="AX21" s="21">
        <f t="shared" si="18"/>
        <v>0</v>
      </c>
    </row>
    <row r="22" spans="1:50" ht="13.8" thickTop="1" x14ac:dyDescent="0.25">
      <c r="R22" s="181" t="s">
        <v>732</v>
      </c>
      <c r="S22" s="1001">
        <f>+S21-Q21</f>
        <v>1240</v>
      </c>
      <c r="T22" s="1002">
        <f>ROUND((+S22/Q21),4)</f>
        <v>1.2200000000000001E-2</v>
      </c>
    </row>
  </sheetData>
  <hyperlinks>
    <hyperlink ref="A1" location="'Working Budget with funding det'!A1" display="Main " xr:uid="{00000000-0004-0000-3700-000000000000}"/>
    <hyperlink ref="B1" location="'Table of Contents'!A1" display="TOC" xr:uid="{00000000-0004-0000-3700-000001000000}"/>
  </hyperlinks>
  <pageMargins left="0.7" right="0.7" top="0.75" bottom="0.75" header="0.3" footer="0.3"/>
  <pageSetup scale="8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V66"/>
  <sheetViews>
    <sheetView topLeftCell="A12" workbookViewId="0">
      <selection activeCell="P36" sqref="P36"/>
    </sheetView>
  </sheetViews>
  <sheetFormatPr defaultRowHeight="13.2" x14ac:dyDescent="0.25"/>
  <cols>
    <col min="1" max="1" width="33.33203125" customWidth="1"/>
    <col min="2" max="5" width="14.33203125" hidden="1" customWidth="1"/>
    <col min="6" max="6" width="14.33203125" style="2" hidden="1" customWidth="1"/>
    <col min="7" max="7" width="12.6640625" style="2" hidden="1" customWidth="1"/>
    <col min="8" max="8" width="12.6640625" hidden="1" customWidth="1"/>
    <col min="9" max="9" width="12.6640625" style="2" hidden="1" customWidth="1"/>
    <col min="10" max="10" width="12.109375" hidden="1" customWidth="1"/>
    <col min="11" max="12" width="12.109375" customWidth="1"/>
    <col min="13" max="14" width="10.44140625" customWidth="1"/>
    <col min="15" max="15" width="11.33203125" customWidth="1"/>
    <col min="16" max="16" width="11.5546875" customWidth="1"/>
    <col min="17" max="17" width="13" bestFit="1" customWidth="1"/>
    <col min="21" max="21" width="16.109375" customWidth="1"/>
    <col min="22" max="22" width="9.88671875" bestFit="1" customWidth="1"/>
  </cols>
  <sheetData>
    <row r="1" spans="1:17" x14ac:dyDescent="0.25">
      <c r="A1" s="290" t="s">
        <v>194</v>
      </c>
      <c r="B1" s="3" t="s">
        <v>243</v>
      </c>
      <c r="C1" s="271" t="s">
        <v>244</v>
      </c>
      <c r="D1" s="271" t="s">
        <v>245</v>
      </c>
      <c r="E1" s="271" t="s">
        <v>246</v>
      </c>
      <c r="F1" s="271" t="s">
        <v>247</v>
      </c>
      <c r="G1" s="271" t="s">
        <v>248</v>
      </c>
      <c r="H1" s="271" t="s">
        <v>248</v>
      </c>
      <c r="I1" s="271" t="s">
        <v>249</v>
      </c>
      <c r="J1" s="271" t="s">
        <v>250</v>
      </c>
      <c r="K1" s="271" t="s">
        <v>251</v>
      </c>
      <c r="L1" s="271" t="s">
        <v>252</v>
      </c>
      <c r="M1" s="271" t="s">
        <v>253</v>
      </c>
      <c r="N1" s="271" t="s">
        <v>469</v>
      </c>
      <c r="O1" s="271" t="s">
        <v>1345</v>
      </c>
    </row>
    <row r="2" spans="1:17" x14ac:dyDescent="0.25">
      <c r="B2" s="2"/>
      <c r="C2" s="2"/>
      <c r="D2" s="2"/>
      <c r="E2" s="262"/>
      <c r="F2" s="271"/>
      <c r="G2" s="271"/>
      <c r="H2" s="124" t="s">
        <v>254</v>
      </c>
      <c r="I2" s="3"/>
      <c r="J2" s="124"/>
      <c r="K2" s="124" t="s">
        <v>255</v>
      </c>
      <c r="L2" s="124" t="s">
        <v>255</v>
      </c>
      <c r="M2" s="124" t="s">
        <v>255</v>
      </c>
      <c r="N2" s="124" t="s">
        <v>255</v>
      </c>
      <c r="O2" s="124" t="s">
        <v>255</v>
      </c>
    </row>
    <row r="3" spans="1:17" x14ac:dyDescent="0.25">
      <c r="B3" s="3" t="s">
        <v>256</v>
      </c>
      <c r="C3" s="3" t="s">
        <v>256</v>
      </c>
      <c r="D3" s="3" t="s">
        <v>256</v>
      </c>
      <c r="E3" s="3" t="s">
        <v>256</v>
      </c>
      <c r="F3" s="344" t="s">
        <v>256</v>
      </c>
      <c r="G3" s="344" t="s">
        <v>256</v>
      </c>
      <c r="H3" s="3" t="s">
        <v>257</v>
      </c>
      <c r="I3" s="3" t="s">
        <v>257</v>
      </c>
      <c r="J3" s="3" t="s">
        <v>257</v>
      </c>
      <c r="K3" s="271" t="s">
        <v>258</v>
      </c>
      <c r="L3" s="271" t="s">
        <v>258</v>
      </c>
      <c r="M3" s="271" t="s">
        <v>259</v>
      </c>
      <c r="N3" s="271" t="s">
        <v>259</v>
      </c>
      <c r="O3" s="271" t="s">
        <v>259</v>
      </c>
    </row>
    <row r="4" spans="1:17" x14ac:dyDescent="0.25">
      <c r="B4" s="3"/>
      <c r="C4" s="3"/>
      <c r="D4" s="3"/>
      <c r="E4" s="3"/>
      <c r="F4" s="344"/>
      <c r="G4" s="3"/>
      <c r="H4" s="3"/>
      <c r="I4" s="3"/>
      <c r="J4" s="271"/>
      <c r="K4" s="271"/>
      <c r="L4" s="271"/>
    </row>
    <row r="5" spans="1:17" x14ac:dyDescent="0.25">
      <c r="B5" s="3"/>
      <c r="C5" s="3"/>
      <c r="D5" s="3"/>
      <c r="E5" s="3"/>
      <c r="F5" s="344"/>
      <c r="G5" s="3"/>
      <c r="H5" s="3"/>
      <c r="I5" s="3"/>
      <c r="J5" s="271"/>
      <c r="K5" s="271"/>
      <c r="L5" s="271"/>
    </row>
    <row r="6" spans="1:17" x14ac:dyDescent="0.25">
      <c r="A6" s="202" t="s">
        <v>260</v>
      </c>
      <c r="B6" s="3"/>
      <c r="C6" s="3"/>
      <c r="D6" s="3"/>
      <c r="E6" s="3"/>
      <c r="F6" s="344"/>
      <c r="G6" s="3"/>
      <c r="H6" s="3"/>
      <c r="I6" s="202"/>
      <c r="J6" s="2">
        <f>2320727+215000</f>
        <v>2535727</v>
      </c>
      <c r="K6" s="1340">
        <v>2419509</v>
      </c>
      <c r="L6" s="1340">
        <v>2586971</v>
      </c>
      <c r="M6" s="1340">
        <v>2872377</v>
      </c>
      <c r="N6" s="1340">
        <v>3006124</v>
      </c>
      <c r="O6" s="2">
        <f>+'Working Budget with funding det'!T28+'Working Budget with funding det'!U120</f>
        <v>3119324</v>
      </c>
      <c r="P6" s="2" t="s">
        <v>2663</v>
      </c>
    </row>
    <row r="7" spans="1:17" x14ac:dyDescent="0.25">
      <c r="B7" s="2"/>
      <c r="C7" s="2"/>
      <c r="D7" s="2"/>
      <c r="E7" s="2"/>
      <c r="K7" s="1341"/>
      <c r="L7" s="1341"/>
      <c r="M7" s="1341"/>
      <c r="N7" s="1341"/>
      <c r="P7" t="s">
        <v>2664</v>
      </c>
    </row>
    <row r="8" spans="1:17" x14ac:dyDescent="0.25">
      <c r="A8" t="s">
        <v>2610</v>
      </c>
      <c r="B8" s="1">
        <v>2350.96</v>
      </c>
      <c r="C8" s="1">
        <v>0</v>
      </c>
      <c r="D8" s="1">
        <v>1692.14</v>
      </c>
      <c r="E8" s="1">
        <v>915.89</v>
      </c>
      <c r="F8" s="65">
        <v>3690.7</v>
      </c>
      <c r="G8" s="2">
        <v>1126.17</v>
      </c>
      <c r="H8" s="1">
        <v>1126</v>
      </c>
      <c r="I8" s="65">
        <v>150</v>
      </c>
      <c r="J8" s="65">
        <v>253261.08</v>
      </c>
      <c r="K8" s="1342">
        <v>3444.54</v>
      </c>
      <c r="L8" s="1342">
        <v>7516</v>
      </c>
      <c r="M8" s="1341"/>
      <c r="N8" s="1341"/>
      <c r="P8" t="s">
        <v>2665</v>
      </c>
    </row>
    <row r="9" spans="1:17" x14ac:dyDescent="0.25">
      <c r="A9" t="s">
        <v>2611</v>
      </c>
      <c r="B9" s="1">
        <v>62417.56</v>
      </c>
      <c r="C9" s="1">
        <v>46780.02</v>
      </c>
      <c r="D9" s="1">
        <v>47273.919999999998</v>
      </c>
      <c r="E9" s="1">
        <v>47707.63</v>
      </c>
      <c r="F9" s="65">
        <v>51027.91</v>
      </c>
      <c r="G9" s="2">
        <v>76073.2</v>
      </c>
      <c r="H9" s="2">
        <v>16336</v>
      </c>
      <c r="I9" s="2">
        <v>60437</v>
      </c>
      <c r="J9" s="2">
        <v>107621.26</v>
      </c>
      <c r="K9" s="1340">
        <v>112117.6</v>
      </c>
      <c r="L9" s="1340">
        <v>76504</v>
      </c>
      <c r="M9" s="1341"/>
      <c r="N9" s="1341"/>
      <c r="P9" t="s">
        <v>2666</v>
      </c>
    </row>
    <row r="10" spans="1:17" x14ac:dyDescent="0.25">
      <c r="A10" t="s">
        <v>2612</v>
      </c>
      <c r="B10" s="1">
        <v>9171.98</v>
      </c>
      <c r="C10" s="1">
        <v>7515.76</v>
      </c>
      <c r="D10" s="1">
        <v>8456.99</v>
      </c>
      <c r="E10" s="1">
        <v>7627.72</v>
      </c>
      <c r="F10" s="65">
        <v>8923.08</v>
      </c>
      <c r="G10" s="65">
        <v>8025.77</v>
      </c>
      <c r="H10" s="65">
        <v>4578</v>
      </c>
      <c r="I10" s="65">
        <v>7357</v>
      </c>
      <c r="J10" s="65">
        <v>66825.37</v>
      </c>
      <c r="K10" s="1340">
        <v>15558.03</v>
      </c>
      <c r="L10" s="1340">
        <v>15548</v>
      </c>
      <c r="M10" s="1340">
        <v>10000</v>
      </c>
      <c r="N10" s="1340">
        <v>10000</v>
      </c>
      <c r="O10" s="2">
        <v>6000</v>
      </c>
      <c r="P10" s="2"/>
    </row>
    <row r="11" spans="1:17" x14ac:dyDescent="0.25">
      <c r="A11" t="s">
        <v>2613</v>
      </c>
      <c r="B11" s="1">
        <v>570636.03</v>
      </c>
      <c r="C11" s="1">
        <v>522990.59</v>
      </c>
      <c r="D11" s="1">
        <v>429726.67</v>
      </c>
      <c r="E11" s="1">
        <v>389061.1</v>
      </c>
      <c r="F11" s="65">
        <v>341688.21</v>
      </c>
      <c r="G11" s="65">
        <v>206054.04</v>
      </c>
      <c r="H11" s="65">
        <f>18971+111265</f>
        <v>130236</v>
      </c>
      <c r="I11" s="65">
        <v>415437</v>
      </c>
      <c r="J11" s="65">
        <v>460864.76</v>
      </c>
      <c r="K11" s="1340">
        <v>370134.11</v>
      </c>
      <c r="L11" s="1340">
        <v>509669</v>
      </c>
      <c r="M11" s="1340">
        <v>517440</v>
      </c>
      <c r="N11" s="1340">
        <v>400000</v>
      </c>
      <c r="O11" s="2">
        <v>420000</v>
      </c>
      <c r="P11" s="2">
        <v>415000</v>
      </c>
      <c r="Q11" s="202" t="s">
        <v>2662</v>
      </c>
    </row>
    <row r="12" spans="1:17" x14ac:dyDescent="0.25">
      <c r="A12" t="s">
        <v>2614</v>
      </c>
      <c r="B12" s="1">
        <v>785756.91</v>
      </c>
      <c r="C12" s="1">
        <v>782475.45</v>
      </c>
      <c r="D12" s="1">
        <v>769534.7</v>
      </c>
      <c r="E12" s="1">
        <v>834113.89</v>
      </c>
      <c r="F12" s="65">
        <v>947012.31</v>
      </c>
      <c r="G12" s="272">
        <v>953505.81</v>
      </c>
      <c r="H12" s="272">
        <v>472871</v>
      </c>
      <c r="I12" s="65">
        <v>1598066</v>
      </c>
      <c r="J12" s="65">
        <v>1575572.53</v>
      </c>
      <c r="K12" s="1340">
        <v>1709955.71</v>
      </c>
      <c r="L12" s="1340">
        <v>1752954</v>
      </c>
      <c r="M12" s="1340">
        <v>1941057</v>
      </c>
      <c r="N12" s="1341">
        <f>+V25</f>
        <v>2021110.66</v>
      </c>
      <c r="O12">
        <f>+V25</f>
        <v>2021110.66</v>
      </c>
      <c r="P12">
        <f>+V25</f>
        <v>2021110.66</v>
      </c>
      <c r="Q12" s="202"/>
    </row>
    <row r="13" spans="1:17" x14ac:dyDescent="0.25">
      <c r="A13" t="s">
        <v>2615</v>
      </c>
      <c r="B13" s="1">
        <v>178768.23</v>
      </c>
      <c r="C13" s="1">
        <v>231553.77</v>
      </c>
      <c r="D13" s="1">
        <v>262084.75</v>
      </c>
      <c r="E13" s="1">
        <v>293062.40000000002</v>
      </c>
      <c r="F13" s="65">
        <v>271886.17</v>
      </c>
      <c r="G13" s="65">
        <v>263099.2</v>
      </c>
      <c r="H13" s="65">
        <f>3697+188037</f>
        <v>191734</v>
      </c>
      <c r="I13" s="65">
        <v>211265</v>
      </c>
      <c r="J13" s="65">
        <v>53327.5</v>
      </c>
      <c r="K13" s="1340">
        <v>49121</v>
      </c>
      <c r="L13" s="1340">
        <v>173818</v>
      </c>
      <c r="M13" s="1340">
        <v>146400</v>
      </c>
      <c r="N13" s="1340">
        <v>218000</v>
      </c>
      <c r="O13" s="2">
        <v>250000</v>
      </c>
      <c r="P13" s="2">
        <v>250000</v>
      </c>
      <c r="Q13" s="202" t="s">
        <v>2658</v>
      </c>
    </row>
    <row r="14" spans="1:17" x14ac:dyDescent="0.25">
      <c r="A14" t="s">
        <v>2616</v>
      </c>
      <c r="B14" s="1">
        <v>45499.24</v>
      </c>
      <c r="C14" s="1">
        <v>184592.92</v>
      </c>
      <c r="D14" s="1">
        <v>327232.28999999998</v>
      </c>
      <c r="E14" s="1">
        <v>483853.95</v>
      </c>
      <c r="F14" s="65">
        <v>106044.93</v>
      </c>
      <c r="G14" s="65">
        <v>79691.28</v>
      </c>
      <c r="H14" s="65">
        <v>79691</v>
      </c>
      <c r="I14" s="65"/>
      <c r="J14" s="65"/>
      <c r="K14" s="1341"/>
      <c r="L14" s="1341"/>
      <c r="M14" s="1341"/>
      <c r="N14" s="1341"/>
      <c r="Q14" s="202" t="s">
        <v>2660</v>
      </c>
    </row>
    <row r="15" spans="1:17" x14ac:dyDescent="0.25">
      <c r="A15" t="s">
        <v>2617</v>
      </c>
      <c r="B15" s="1">
        <v>167.51</v>
      </c>
      <c r="C15" s="1">
        <v>144.52000000000001</v>
      </c>
      <c r="D15" s="1">
        <v>78.22</v>
      </c>
      <c r="E15" s="1">
        <v>36.78</v>
      </c>
      <c r="F15" s="65">
        <v>24.84</v>
      </c>
      <c r="G15" s="2">
        <v>3.03</v>
      </c>
      <c r="H15" s="2">
        <v>2</v>
      </c>
      <c r="I15" s="2">
        <v>3</v>
      </c>
      <c r="J15" s="2">
        <v>3.01</v>
      </c>
      <c r="K15" s="1340">
        <v>3</v>
      </c>
      <c r="L15" s="1340">
        <v>3</v>
      </c>
      <c r="M15" s="1341"/>
      <c r="N15" s="1341"/>
      <c r="Q15" s="202" t="s">
        <v>2661</v>
      </c>
    </row>
    <row r="16" spans="1:17" x14ac:dyDescent="0.25">
      <c r="A16" t="s">
        <v>2618</v>
      </c>
      <c r="B16" s="1"/>
      <c r="C16" s="1">
        <v>6689.5</v>
      </c>
      <c r="D16" s="1">
        <f>532.96-1430.76</f>
        <v>-897.8</v>
      </c>
      <c r="E16" s="1">
        <v>60.78</v>
      </c>
      <c r="F16" s="65">
        <v>120271.51</v>
      </c>
      <c r="G16" s="2">
        <v>894</v>
      </c>
      <c r="H16" s="2">
        <v>894</v>
      </c>
      <c r="I16" s="2">
        <f>335+493+410</f>
        <v>1238</v>
      </c>
      <c r="J16" s="2">
        <f>105+1818.08</f>
        <v>1923.08</v>
      </c>
      <c r="K16" s="1340">
        <f>212.16+105</f>
        <v>317.15999999999997</v>
      </c>
      <c r="L16" s="1340">
        <f>355+5715</f>
        <v>6070</v>
      </c>
      <c r="M16" s="1341"/>
      <c r="N16" s="1341"/>
    </row>
    <row r="17" spans="1:22" x14ac:dyDescent="0.25">
      <c r="A17" t="s">
        <v>2619</v>
      </c>
      <c r="B17" s="1">
        <v>42360.77</v>
      </c>
      <c r="C17" s="1">
        <v>39529.18</v>
      </c>
      <c r="D17" s="1">
        <v>36608.18</v>
      </c>
      <c r="E17" s="1">
        <v>31266.98</v>
      </c>
      <c r="F17" s="65">
        <v>27250.13</v>
      </c>
      <c r="G17" s="2">
        <v>4681.92</v>
      </c>
      <c r="H17" s="2">
        <v>4682</v>
      </c>
      <c r="J17" s="2"/>
      <c r="K17" s="1341"/>
      <c r="L17" s="1341"/>
      <c r="M17" s="1341"/>
      <c r="N17" s="1341"/>
    </row>
    <row r="18" spans="1:22" x14ac:dyDescent="0.25">
      <c r="A18" s="202" t="s">
        <v>2620</v>
      </c>
      <c r="B18" s="1"/>
      <c r="C18" s="1"/>
      <c r="D18" s="1">
        <v>10337.09</v>
      </c>
      <c r="E18" s="1">
        <v>0</v>
      </c>
      <c r="F18" s="65"/>
      <c r="H18" s="2"/>
      <c r="J18" s="2">
        <v>2927.3</v>
      </c>
      <c r="K18" s="1341"/>
      <c r="L18" s="1341"/>
      <c r="M18" s="1341"/>
      <c r="N18" s="1341"/>
    </row>
    <row r="19" spans="1:22" x14ac:dyDescent="0.25">
      <c r="A19" t="s">
        <v>2621</v>
      </c>
      <c r="B19" s="1">
        <v>209502</v>
      </c>
      <c r="C19" s="1">
        <v>180000</v>
      </c>
      <c r="D19" s="1">
        <v>200000</v>
      </c>
      <c r="E19" s="1">
        <v>200000</v>
      </c>
      <c r="F19" s="65">
        <v>201261</v>
      </c>
      <c r="G19" s="65">
        <v>310000</v>
      </c>
      <c r="H19" s="65">
        <v>200000</v>
      </c>
      <c r="I19" s="65">
        <v>200000</v>
      </c>
      <c r="J19" s="65">
        <v>215000</v>
      </c>
      <c r="K19" s="1340">
        <v>220559</v>
      </c>
      <c r="L19" s="1340">
        <v>251228</v>
      </c>
      <c r="M19" s="1340">
        <v>266439</v>
      </c>
      <c r="N19" s="1340">
        <v>286900</v>
      </c>
      <c r="O19" s="2">
        <f>+'Working Budget with funding det'!U120</f>
        <v>359499</v>
      </c>
      <c r="P19" s="2">
        <f>+O19</f>
        <v>359499</v>
      </c>
    </row>
    <row r="20" spans="1:22" x14ac:dyDescent="0.25">
      <c r="A20" t="s">
        <v>2622</v>
      </c>
      <c r="B20" s="1"/>
      <c r="C20" s="1">
        <v>24784.25</v>
      </c>
      <c r="D20" s="1"/>
      <c r="E20" s="1"/>
      <c r="F20" s="65">
        <v>0</v>
      </c>
      <c r="G20" s="53"/>
      <c r="H20" s="53"/>
      <c r="I20" s="53"/>
      <c r="J20" s="53"/>
      <c r="K20" s="1343">
        <v>124560.47</v>
      </c>
      <c r="L20" s="1343"/>
      <c r="M20" s="1344"/>
      <c r="N20" s="1344"/>
      <c r="O20" s="55"/>
      <c r="P20" s="55"/>
    </row>
    <row r="21" spans="1:22" x14ac:dyDescent="0.25">
      <c r="B21" s="1"/>
      <c r="C21" s="1"/>
      <c r="D21" s="1"/>
      <c r="E21" s="1"/>
      <c r="F21" s="65"/>
      <c r="H21" s="2"/>
      <c r="J21" s="2"/>
      <c r="K21" s="1341"/>
      <c r="L21" s="1341"/>
      <c r="M21" s="1341"/>
      <c r="N21" s="1341"/>
    </row>
    <row r="22" spans="1:22" x14ac:dyDescent="0.25">
      <c r="A22" t="s">
        <v>190</v>
      </c>
      <c r="B22" s="1">
        <f t="shared" ref="B22:G22" si="0">SUM(B7:B21)</f>
        <v>1906631.19</v>
      </c>
      <c r="C22" s="1">
        <f t="shared" si="0"/>
        <v>2027055.9599999997</v>
      </c>
      <c r="D22" s="1">
        <f t="shared" si="0"/>
        <v>2092127.15</v>
      </c>
      <c r="E22" s="1">
        <f t="shared" si="0"/>
        <v>2287707.12</v>
      </c>
      <c r="F22" s="65">
        <f t="shared" si="0"/>
        <v>2079080.7899999998</v>
      </c>
      <c r="G22" s="65">
        <f t="shared" si="0"/>
        <v>1903154.42</v>
      </c>
      <c r="H22" s="65">
        <f t="shared" ref="H22:M22" si="1">SUM(H7:H21)</f>
        <v>1102150</v>
      </c>
      <c r="I22" s="65">
        <f t="shared" si="1"/>
        <v>2493953</v>
      </c>
      <c r="J22" s="65">
        <f t="shared" si="1"/>
        <v>2737325.8899999997</v>
      </c>
      <c r="K22" s="1342">
        <f t="shared" si="1"/>
        <v>2605770.6200000006</v>
      </c>
      <c r="L22" s="1342">
        <f t="shared" ref="L22" si="2">SUM(L7:L21)</f>
        <v>2793310</v>
      </c>
      <c r="M22" s="1342">
        <f t="shared" si="1"/>
        <v>2881336</v>
      </c>
      <c r="N22" s="1345">
        <f>SUM(N7:N21)</f>
        <v>2936010.66</v>
      </c>
      <c r="O22" s="65">
        <f t="shared" ref="O22" si="3">SUM(O7:O21)</f>
        <v>3056609.66</v>
      </c>
      <c r="P22" s="65">
        <f t="shared" ref="P22" si="4">SUM(P7:P21)</f>
        <v>3045609.66</v>
      </c>
      <c r="U22" t="s">
        <v>469</v>
      </c>
    </row>
    <row r="23" spans="1:22" x14ac:dyDescent="0.25">
      <c r="A23" s="202" t="s">
        <v>261</v>
      </c>
      <c r="B23" s="1">
        <v>160000</v>
      </c>
      <c r="C23" s="1">
        <v>120000</v>
      </c>
      <c r="D23" s="1">
        <v>294000</v>
      </c>
      <c r="E23" s="1">
        <v>100000</v>
      </c>
      <c r="F23" s="2">
        <v>200000</v>
      </c>
      <c r="H23" s="2"/>
      <c r="J23" s="2"/>
      <c r="U23" t="s">
        <v>2653</v>
      </c>
      <c r="V23">
        <f>1012633.4+1010687.96</f>
        <v>2023321.3599999999</v>
      </c>
    </row>
    <row r="24" spans="1:22" x14ac:dyDescent="0.25">
      <c r="A24" s="202"/>
      <c r="B24" s="1"/>
      <c r="C24" s="1"/>
      <c r="D24" s="1"/>
      <c r="E24" s="1"/>
      <c r="H24" s="2"/>
      <c r="J24" s="2"/>
      <c r="U24" t="s">
        <v>2654</v>
      </c>
      <c r="V24">
        <f>-77.46-2133.24</f>
        <v>-2210.6999999999998</v>
      </c>
    </row>
    <row r="25" spans="1:22" x14ac:dyDescent="0.25">
      <c r="A25" s="202" t="s">
        <v>2623</v>
      </c>
      <c r="H25" s="2"/>
      <c r="I25" s="202"/>
      <c r="J25" s="2"/>
      <c r="M25" s="592"/>
      <c r="N25" s="592"/>
      <c r="O25" s="592">
        <f>+'661 440 CWF'!S69</f>
        <v>2175090</v>
      </c>
      <c r="P25" s="592">
        <f>+'661 440 CWF'!T69</f>
        <v>2175090</v>
      </c>
      <c r="Q25" s="770">
        <v>440</v>
      </c>
      <c r="S25" s="202"/>
      <c r="U25" t="s">
        <v>2655</v>
      </c>
      <c r="V25">
        <f>SUM(V23:V24)</f>
        <v>2021110.66</v>
      </c>
    </row>
    <row r="26" spans="1:22" x14ac:dyDescent="0.25">
      <c r="A26" s="202" t="s">
        <v>2624</v>
      </c>
      <c r="H26" s="2"/>
      <c r="J26" s="2"/>
      <c r="M26" s="2"/>
      <c r="N26" s="2"/>
      <c r="O26" s="2">
        <f>+'661 449 Hwy'!S29</f>
        <v>85150</v>
      </c>
      <c r="P26" s="2">
        <f>+'661 449 Hwy'!T29</f>
        <v>85150</v>
      </c>
      <c r="Q26" s="770">
        <v>449</v>
      </c>
    </row>
    <row r="27" spans="1:22" x14ac:dyDescent="0.25">
      <c r="A27" s="202" t="s">
        <v>2625</v>
      </c>
      <c r="E27" s="202"/>
      <c r="M27" s="2"/>
      <c r="N27" s="2"/>
      <c r="O27" s="2">
        <f>+'661 700 CWF Debt'!S61</f>
        <v>478365.33</v>
      </c>
      <c r="P27" s="2">
        <f>+'661 700 CWF Debt'!T61</f>
        <v>478365.33</v>
      </c>
      <c r="Q27" s="770">
        <v>710</v>
      </c>
      <c r="S27" s="2"/>
    </row>
    <row r="28" spans="1:22" x14ac:dyDescent="0.25">
      <c r="A28" s="202" t="s">
        <v>2626</v>
      </c>
      <c r="E28" s="202"/>
      <c r="M28" s="2"/>
      <c r="N28" s="2"/>
      <c r="O28" s="2">
        <f>+'661 910 CWF Benefits'!S18</f>
        <v>380719</v>
      </c>
      <c r="P28" s="2">
        <f>+'661 910 CWF Benefits'!T18</f>
        <v>380719</v>
      </c>
      <c r="Q28" s="770">
        <v>910</v>
      </c>
      <c r="S28" s="272"/>
    </row>
    <row r="29" spans="1:22" x14ac:dyDescent="0.25">
      <c r="A29" s="202" t="s">
        <v>262</v>
      </c>
      <c r="E29" s="202"/>
      <c r="M29" s="2"/>
      <c r="N29" s="2"/>
      <c r="O29" s="2"/>
      <c r="P29" s="2"/>
      <c r="Q29" s="770"/>
      <c r="S29" s="272"/>
    </row>
    <row r="30" spans="1:22" x14ac:dyDescent="0.25">
      <c r="A30" s="202" t="s">
        <v>263</v>
      </c>
      <c r="E30" s="202"/>
      <c r="M30" s="2"/>
      <c r="N30" s="2"/>
      <c r="O30" s="668"/>
      <c r="P30" s="668"/>
      <c r="Q30" s="2" t="s">
        <v>2656</v>
      </c>
      <c r="S30" s="272"/>
      <c r="U30" s="2"/>
    </row>
    <row r="31" spans="1:22" x14ac:dyDescent="0.25">
      <c r="A31" s="202"/>
      <c r="M31" s="2"/>
      <c r="N31" s="2"/>
      <c r="O31" s="2">
        <f>SUM(O25:O30)</f>
        <v>3119324.33</v>
      </c>
      <c r="P31" s="2">
        <f>SUM(P25:P30)</f>
        <v>3119324.33</v>
      </c>
      <c r="Q31" t="s">
        <v>265</v>
      </c>
      <c r="S31" s="2"/>
      <c r="U31" s="2"/>
    </row>
    <row r="32" spans="1:22" x14ac:dyDescent="0.25">
      <c r="K32" s="2"/>
      <c r="L32" s="2"/>
      <c r="M32" s="2"/>
      <c r="N32" s="2"/>
      <c r="O32" s="2"/>
      <c r="P32" s="2"/>
      <c r="S32" s="2"/>
      <c r="U32" s="2"/>
    </row>
    <row r="33" spans="1:21" x14ac:dyDescent="0.25">
      <c r="A33" s="202"/>
      <c r="K33" s="2"/>
      <c r="L33" s="2"/>
      <c r="M33" s="2"/>
      <c r="N33" s="2"/>
      <c r="O33" s="2">
        <f>-O10-O11-O13-O19</f>
        <v>-1035499</v>
      </c>
      <c r="P33" s="2">
        <f>-P10-P11-P13-P19</f>
        <v>-1024499</v>
      </c>
      <c r="Q33" t="s">
        <v>266</v>
      </c>
      <c r="S33" s="2"/>
      <c r="U33" s="2"/>
    </row>
    <row r="34" spans="1:21" x14ac:dyDescent="0.25">
      <c r="A34" s="202"/>
      <c r="K34" s="272"/>
      <c r="L34" s="272"/>
      <c r="M34" s="272"/>
      <c r="N34" s="272"/>
      <c r="O34" s="272">
        <f>+O33+O31</f>
        <v>2083825.33</v>
      </c>
      <c r="P34" s="272">
        <f>+P33+P31</f>
        <v>2094825.33</v>
      </c>
      <c r="Q34" t="s">
        <v>267</v>
      </c>
      <c r="S34" s="2"/>
      <c r="U34" s="2"/>
    </row>
    <row r="35" spans="1:21" x14ac:dyDescent="0.25">
      <c r="A35" s="202"/>
      <c r="K35" s="2"/>
      <c r="L35" s="2"/>
      <c r="M35" s="2"/>
      <c r="N35" s="2"/>
      <c r="O35" s="2">
        <f>+O34-V25</f>
        <v>62714.670000000158</v>
      </c>
      <c r="P35" s="2">
        <f>+P34-V25</f>
        <v>73714.670000000158</v>
      </c>
      <c r="Q35" s="202" t="s">
        <v>268</v>
      </c>
    </row>
    <row r="36" spans="1:21" x14ac:dyDescent="0.25">
      <c r="K36" s="123"/>
      <c r="L36" s="123"/>
      <c r="M36" s="123"/>
      <c r="N36" s="123"/>
      <c r="O36" s="669">
        <f>ROUND((+O35/N12),4)</f>
        <v>3.1E-2</v>
      </c>
      <c r="P36" s="669">
        <f>ROUND((+P35/O12),4)</f>
        <v>3.6499999999999998E-2</v>
      </c>
      <c r="Q36" s="202" t="s">
        <v>2657</v>
      </c>
    </row>
    <row r="37" spans="1:21" x14ac:dyDescent="0.25">
      <c r="A37" s="483"/>
      <c r="K37" s="123"/>
      <c r="L37" s="123"/>
      <c r="M37" s="123"/>
      <c r="N37" s="123"/>
      <c r="O37" s="669">
        <f>+ROUND(((+O34-O30-N12)/N12),4)</f>
        <v>3.1E-2</v>
      </c>
      <c r="P37" s="669">
        <f>+ROUND(((+P34-P30-O12)/O12),4)</f>
        <v>3.6499999999999998E-2</v>
      </c>
      <c r="Q37" t="s">
        <v>269</v>
      </c>
    </row>
    <row r="38" spans="1:21" x14ac:dyDescent="0.25">
      <c r="A38" s="202"/>
      <c r="Q38" s="2"/>
    </row>
    <row r="39" spans="1:21" x14ac:dyDescent="0.25">
      <c r="A39" s="202"/>
      <c r="Q39" s="2"/>
      <c r="S39" s="2"/>
    </row>
    <row r="40" spans="1:21" x14ac:dyDescent="0.25">
      <c r="A40" s="202"/>
      <c r="Q40" s="2"/>
      <c r="S40" s="2"/>
    </row>
    <row r="41" spans="1:21" x14ac:dyDescent="0.25">
      <c r="A41" s="202"/>
    </row>
    <row r="42" spans="1:21" x14ac:dyDescent="0.25">
      <c r="A42" s="202"/>
      <c r="G42" s="53"/>
    </row>
    <row r="43" spans="1:21" x14ac:dyDescent="0.25">
      <c r="A43" s="202"/>
    </row>
    <row r="45" spans="1:21" x14ac:dyDescent="0.25">
      <c r="A45" s="202"/>
    </row>
    <row r="47" spans="1:21" ht="13.8" x14ac:dyDescent="0.25">
      <c r="A47" s="203"/>
    </row>
    <row r="48" spans="1:21" ht="13.8" x14ac:dyDescent="0.25">
      <c r="A48" s="207"/>
    </row>
    <row r="50" spans="1:9" x14ac:dyDescent="0.25">
      <c r="A50" s="202"/>
    </row>
    <row r="53" spans="1:9" x14ac:dyDescent="0.25">
      <c r="B53" s="2"/>
      <c r="F53"/>
    </row>
    <row r="54" spans="1:9" x14ac:dyDescent="0.25">
      <c r="F54"/>
      <c r="I54"/>
    </row>
    <row r="55" spans="1:9" x14ac:dyDescent="0.25">
      <c r="F55"/>
      <c r="I55"/>
    </row>
    <row r="56" spans="1:9" x14ac:dyDescent="0.25">
      <c r="F56"/>
      <c r="I56"/>
    </row>
    <row r="57" spans="1:9" x14ac:dyDescent="0.25">
      <c r="F57"/>
      <c r="I57"/>
    </row>
    <row r="58" spans="1:9" x14ac:dyDescent="0.25">
      <c r="F58"/>
      <c r="I58"/>
    </row>
    <row r="59" spans="1:9" x14ac:dyDescent="0.25">
      <c r="F59"/>
      <c r="I59"/>
    </row>
    <row r="60" spans="1:9" x14ac:dyDescent="0.25">
      <c r="A60" s="202"/>
      <c r="F60"/>
      <c r="I60"/>
    </row>
    <row r="61" spans="1:9" x14ac:dyDescent="0.25">
      <c r="F61"/>
      <c r="I61" s="202"/>
    </row>
    <row r="62" spans="1:9" x14ac:dyDescent="0.25">
      <c r="F62"/>
      <c r="I62"/>
    </row>
    <row r="63" spans="1:9" x14ac:dyDescent="0.25">
      <c r="F63"/>
      <c r="G63" s="53"/>
      <c r="I63" s="202"/>
    </row>
    <row r="64" spans="1:9" x14ac:dyDescent="0.25">
      <c r="F64"/>
      <c r="I64"/>
    </row>
    <row r="66" spans="1:1" x14ac:dyDescent="0.25">
      <c r="A66" s="202"/>
    </row>
  </sheetData>
  <hyperlinks>
    <hyperlink ref="A1" location="'Table of Contents'!A1" display="TOC" xr:uid="{00000000-0004-0000-0200-000000000000}"/>
  </hyperlinks>
  <pageMargins left="0.7" right="0.7" top="0.75" bottom="0.75" header="0.3" footer="0.3"/>
  <pageSetup scale="92" orientation="landscape" r:id="rId1"/>
  <headerFooter>
    <oddFooter>&amp;L&amp;D &amp;T&amp;C&amp;F&amp;R&amp;A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50"/>
  </sheetPr>
  <dimension ref="A1:U34"/>
  <sheetViews>
    <sheetView topLeftCell="A3" workbookViewId="0">
      <selection activeCell="B22" sqref="B22"/>
    </sheetView>
  </sheetViews>
  <sheetFormatPr defaultRowHeight="13.2" x14ac:dyDescent="0.25"/>
  <cols>
    <col min="1" max="1" width="10.109375" style="712" customWidth="1"/>
    <col min="2" max="2" width="25.44140625" customWidth="1"/>
    <col min="3" max="8" width="8.88671875" hidden="1" customWidth="1"/>
    <col min="9" max="14" width="10.77734375" hidden="1" customWidth="1"/>
    <col min="15" max="21" width="10.77734375" customWidth="1"/>
  </cols>
  <sheetData>
    <row r="1" spans="1:21" x14ac:dyDescent="0.25">
      <c r="A1" s="722" t="s">
        <v>736</v>
      </c>
      <c r="B1" s="290" t="s">
        <v>194</v>
      </c>
      <c r="C1" s="97"/>
      <c r="D1" s="97"/>
      <c r="E1" s="97"/>
      <c r="F1" s="97"/>
      <c r="G1" s="97"/>
      <c r="H1" s="97"/>
      <c r="I1" s="97"/>
      <c r="J1" s="97"/>
      <c r="K1" s="97"/>
      <c r="L1" s="97"/>
      <c r="M1" s="97"/>
      <c r="N1" s="97"/>
      <c r="O1" s="97"/>
      <c r="P1" s="97"/>
      <c r="Q1" s="97"/>
      <c r="R1" s="4"/>
      <c r="S1" s="97"/>
      <c r="T1" s="97"/>
      <c r="U1" s="4"/>
    </row>
    <row r="2" spans="1:21" x14ac:dyDescent="0.25">
      <c r="A2" s="703" t="s">
        <v>1474</v>
      </c>
      <c r="B2" s="4"/>
      <c r="C2" s="97"/>
      <c r="D2" s="23"/>
      <c r="E2" s="97"/>
      <c r="F2" s="23"/>
      <c r="G2" s="23"/>
      <c r="H2" s="23"/>
      <c r="I2" s="97" t="s">
        <v>706</v>
      </c>
      <c r="J2" s="97"/>
      <c r="K2" s="302" t="s">
        <v>1484</v>
      </c>
      <c r="L2" s="302"/>
      <c r="M2" s="302"/>
      <c r="N2" s="302"/>
      <c r="O2" s="302"/>
      <c r="P2" s="302"/>
      <c r="Q2" s="302"/>
      <c r="R2" s="97"/>
      <c r="S2" s="74" t="s">
        <v>1485</v>
      </c>
      <c r="T2" s="74"/>
    </row>
    <row r="3" spans="1:21" ht="13.8" thickBot="1" x14ac:dyDescent="0.3">
      <c r="A3" s="703"/>
      <c r="B3" s="4"/>
      <c r="C3" s="97"/>
      <c r="D3" s="97"/>
      <c r="E3" s="97"/>
      <c r="F3" s="97"/>
      <c r="G3" s="97"/>
      <c r="H3" s="97"/>
      <c r="I3" s="97"/>
      <c r="J3" s="97"/>
      <c r="K3" s="97"/>
      <c r="L3" s="97"/>
      <c r="M3" s="97"/>
      <c r="N3" s="97"/>
      <c r="O3" s="97"/>
      <c r="P3" s="97"/>
      <c r="Q3" s="97"/>
      <c r="R3" s="4"/>
      <c r="S3" s="97"/>
      <c r="T3" s="97"/>
      <c r="U3" s="4"/>
    </row>
    <row r="4" spans="1:21" ht="13.8" thickTop="1" x14ac:dyDescent="0.25">
      <c r="A4" s="704"/>
      <c r="B4" s="524"/>
      <c r="C4" s="303" t="s">
        <v>256</v>
      </c>
      <c r="D4" s="303" t="s">
        <v>256</v>
      </c>
      <c r="E4" s="303" t="s">
        <v>256</v>
      </c>
      <c r="F4" s="303" t="s">
        <v>256</v>
      </c>
      <c r="G4" s="303" t="s">
        <v>256</v>
      </c>
      <c r="H4" s="304" t="s">
        <v>256</v>
      </c>
      <c r="I4" s="228" t="s">
        <v>256</v>
      </c>
      <c r="J4" s="228" t="s">
        <v>256</v>
      </c>
      <c r="K4" s="228" t="s">
        <v>255</v>
      </c>
      <c r="L4" s="228" t="s">
        <v>256</v>
      </c>
      <c r="M4" s="228" t="s">
        <v>255</v>
      </c>
      <c r="N4" s="228" t="s">
        <v>256</v>
      </c>
      <c r="O4" s="228" t="s">
        <v>255</v>
      </c>
      <c r="P4" s="228" t="s">
        <v>256</v>
      </c>
      <c r="Q4" s="228" t="s">
        <v>255</v>
      </c>
      <c r="R4" s="304" t="s">
        <v>708</v>
      </c>
      <c r="S4" s="79" t="s">
        <v>1345</v>
      </c>
      <c r="T4" s="79" t="s">
        <v>1345</v>
      </c>
      <c r="U4" s="7" t="s">
        <v>1345</v>
      </c>
    </row>
    <row r="5" spans="1:21" x14ac:dyDescent="0.25">
      <c r="A5" s="705"/>
      <c r="B5" s="184"/>
      <c r="C5" s="305"/>
      <c r="D5" s="305"/>
      <c r="E5" s="306"/>
      <c r="F5" s="305"/>
      <c r="G5" s="305"/>
      <c r="H5" s="306"/>
      <c r="I5" s="229"/>
      <c r="J5" s="229"/>
      <c r="K5" s="229"/>
      <c r="L5" s="229"/>
      <c r="M5" s="229"/>
      <c r="N5" s="229"/>
      <c r="O5" s="229"/>
      <c r="P5" s="229"/>
      <c r="Q5" s="229"/>
      <c r="R5" s="306" t="s">
        <v>709</v>
      </c>
      <c r="S5" s="83" t="s">
        <v>710</v>
      </c>
      <c r="T5" s="83" t="s">
        <v>711</v>
      </c>
      <c r="U5" s="178" t="s">
        <v>712</v>
      </c>
    </row>
    <row r="6" spans="1:21" x14ac:dyDescent="0.25">
      <c r="A6" s="705"/>
      <c r="B6" s="184"/>
      <c r="C6" s="305"/>
      <c r="D6" s="305"/>
      <c r="E6" s="306"/>
      <c r="F6" s="305"/>
      <c r="G6" s="306"/>
      <c r="H6" s="306"/>
      <c r="I6" s="229"/>
      <c r="J6" s="229"/>
      <c r="K6" s="229"/>
      <c r="L6" s="229"/>
      <c r="M6" s="229"/>
      <c r="N6" s="229"/>
      <c r="O6" s="229"/>
      <c r="P6" s="229"/>
      <c r="Q6" s="229"/>
      <c r="R6" s="306"/>
      <c r="S6" s="83" t="s">
        <v>713</v>
      </c>
      <c r="T6" s="83" t="s">
        <v>481</v>
      </c>
      <c r="U6" s="45" t="s">
        <v>714</v>
      </c>
    </row>
    <row r="7" spans="1:21" ht="13.8" thickBot="1" x14ac:dyDescent="0.3">
      <c r="A7" s="706" t="s">
        <v>715</v>
      </c>
      <c r="B7" s="78"/>
      <c r="C7" s="307" t="s">
        <v>243</v>
      </c>
      <c r="D7" s="307" t="s">
        <v>244</v>
      </c>
      <c r="E7" s="77" t="s">
        <v>245</v>
      </c>
      <c r="F7" s="9" t="s">
        <v>464</v>
      </c>
      <c r="G7" s="77" t="s">
        <v>465</v>
      </c>
      <c r="H7" s="77" t="s">
        <v>248</v>
      </c>
      <c r="I7" s="77" t="s">
        <v>249</v>
      </c>
      <c r="J7" s="77" t="s">
        <v>468</v>
      </c>
      <c r="K7" s="77" t="s">
        <v>251</v>
      </c>
      <c r="L7" s="77" t="s">
        <v>251</v>
      </c>
      <c r="M7" s="77" t="s">
        <v>252</v>
      </c>
      <c r="N7" s="77" t="s">
        <v>252</v>
      </c>
      <c r="O7" s="77" t="s">
        <v>253</v>
      </c>
      <c r="P7" s="77" t="s">
        <v>253</v>
      </c>
      <c r="Q7" s="1051" t="s">
        <v>469</v>
      </c>
      <c r="R7" s="308">
        <v>45291</v>
      </c>
      <c r="S7" s="77" t="s">
        <v>716</v>
      </c>
      <c r="T7" s="77"/>
      <c r="U7" s="9" t="s">
        <v>481</v>
      </c>
    </row>
    <row r="8" spans="1:21" ht="13.8" thickTop="1" x14ac:dyDescent="0.25">
      <c r="A8" s="707"/>
      <c r="B8" s="156"/>
      <c r="C8" s="310"/>
      <c r="D8" s="316"/>
      <c r="E8" s="309"/>
      <c r="F8" s="338"/>
      <c r="G8" s="309"/>
      <c r="H8" s="309"/>
      <c r="I8" s="143"/>
      <c r="J8" s="143"/>
      <c r="K8" s="143"/>
      <c r="L8" s="143"/>
      <c r="M8" s="143"/>
      <c r="N8" s="143"/>
      <c r="O8" s="143"/>
      <c r="P8" s="143"/>
      <c r="Q8" s="143"/>
      <c r="R8" s="310"/>
      <c r="S8" s="88"/>
      <c r="T8" s="88"/>
      <c r="U8" s="88"/>
    </row>
    <row r="9" spans="1:21" x14ac:dyDescent="0.25">
      <c r="A9" s="708">
        <v>5171</v>
      </c>
      <c r="B9" s="60" t="s">
        <v>1425</v>
      </c>
      <c r="C9" s="311"/>
      <c r="D9" s="127"/>
      <c r="E9" s="311"/>
      <c r="F9" s="127"/>
      <c r="G9" s="311"/>
      <c r="H9" s="311"/>
      <c r="I9" s="311"/>
      <c r="J9" s="311"/>
      <c r="K9" s="263"/>
      <c r="L9" s="263"/>
      <c r="M9" s="263"/>
      <c r="N9" s="263"/>
      <c r="O9" s="263">
        <v>13828</v>
      </c>
      <c r="P9" s="115">
        <v>13825</v>
      </c>
      <c r="Q9" s="263">
        <v>23203</v>
      </c>
      <c r="R9" s="311">
        <v>23203</v>
      </c>
      <c r="S9" s="263">
        <v>30879</v>
      </c>
      <c r="T9" s="263"/>
      <c r="U9" s="263"/>
    </row>
    <row r="10" spans="1:21" x14ac:dyDescent="0.25">
      <c r="A10" s="708">
        <v>5172</v>
      </c>
      <c r="B10" s="60" t="s">
        <v>1426</v>
      </c>
      <c r="C10" s="311"/>
      <c r="D10" s="111"/>
      <c r="E10" s="312"/>
      <c r="F10" s="111"/>
      <c r="G10" s="312"/>
      <c r="H10" s="312"/>
      <c r="I10" s="312"/>
      <c r="J10" s="312"/>
      <c r="K10" s="87"/>
      <c r="L10" s="87"/>
      <c r="M10" s="87">
        <v>500</v>
      </c>
      <c r="N10" s="87"/>
      <c r="O10" s="87">
        <v>3500</v>
      </c>
      <c r="P10" s="117"/>
      <c r="Q10" s="87"/>
      <c r="R10" s="311"/>
      <c r="S10" s="87"/>
      <c r="T10" s="87"/>
      <c r="U10" s="87"/>
    </row>
    <row r="11" spans="1:21" x14ac:dyDescent="0.25">
      <c r="A11" s="708">
        <v>5174</v>
      </c>
      <c r="B11" s="60" t="s">
        <v>1428</v>
      </c>
      <c r="C11" s="311"/>
      <c r="D11" s="127"/>
      <c r="E11" s="311"/>
      <c r="F11" s="127"/>
      <c r="G11" s="311"/>
      <c r="H11" s="311"/>
      <c r="I11" s="311"/>
      <c r="J11" s="311"/>
      <c r="K11" s="263"/>
      <c r="L11" s="263"/>
      <c r="M11" s="263">
        <v>7007</v>
      </c>
      <c r="N11" s="263"/>
      <c r="O11" s="263">
        <v>14000</v>
      </c>
      <c r="P11" s="115">
        <v>7570.05</v>
      </c>
      <c r="Q11" s="263">
        <v>15000</v>
      </c>
      <c r="R11" s="311">
        <v>6796.8</v>
      </c>
      <c r="S11" s="1085">
        <v>28500</v>
      </c>
      <c r="T11" s="263"/>
      <c r="U11" s="263"/>
    </row>
    <row r="12" spans="1:21" x14ac:dyDescent="0.25">
      <c r="A12" s="708">
        <v>5175</v>
      </c>
      <c r="B12" s="60" t="s">
        <v>1429</v>
      </c>
      <c r="C12" s="311"/>
      <c r="D12" s="127"/>
      <c r="E12" s="311"/>
      <c r="F12" s="127"/>
      <c r="G12" s="311"/>
      <c r="H12" s="311"/>
      <c r="I12" s="311"/>
      <c r="J12" s="311"/>
      <c r="K12" s="263"/>
      <c r="L12" s="263"/>
      <c r="M12" s="263">
        <v>155</v>
      </c>
      <c r="N12" s="263"/>
      <c r="O12" s="263">
        <v>310</v>
      </c>
      <c r="P12" s="115">
        <v>136.32</v>
      </c>
      <c r="Q12" s="263">
        <v>310</v>
      </c>
      <c r="R12" s="311">
        <v>68.16</v>
      </c>
      <c r="S12" s="263">
        <v>310</v>
      </c>
      <c r="T12" s="263"/>
      <c r="U12" s="263"/>
    </row>
    <row r="13" spans="1:21" ht="13.8" thickBot="1" x14ac:dyDescent="0.3">
      <c r="A13" s="708">
        <v>5176</v>
      </c>
      <c r="B13" s="60" t="s">
        <v>1430</v>
      </c>
      <c r="C13" s="313"/>
      <c r="D13" s="252"/>
      <c r="E13" s="313"/>
      <c r="F13" s="252"/>
      <c r="G13" s="313"/>
      <c r="H13" s="313"/>
      <c r="I13" s="313"/>
      <c r="J13" s="313"/>
      <c r="K13" s="264"/>
      <c r="L13" s="264"/>
      <c r="M13" s="264">
        <v>1230</v>
      </c>
      <c r="N13" s="264"/>
      <c r="O13" s="264">
        <f>ROUND((+'600 482 Airport'!O16*0.0145),0)</f>
        <v>1550</v>
      </c>
      <c r="P13" s="116">
        <v>1451.46</v>
      </c>
      <c r="Q13" s="264">
        <f>ROUND((+'600 482 Airport'!Q16*0.0145),0)</f>
        <v>2002</v>
      </c>
      <c r="R13" s="313">
        <v>935.21</v>
      </c>
      <c r="S13" s="264">
        <f>ROUND((+'600 482 Airport'!S16*0.0145),0)</f>
        <v>1975</v>
      </c>
      <c r="T13" s="264"/>
      <c r="U13" s="264"/>
    </row>
    <row r="14" spans="1:21" x14ac:dyDescent="0.25">
      <c r="A14" s="708"/>
      <c r="B14" s="61" t="s">
        <v>718</v>
      </c>
      <c r="C14" s="312">
        <f t="shared" ref="C14:M14" si="0">SUM(C9:C13)</f>
        <v>0</v>
      </c>
      <c r="D14" s="111">
        <f t="shared" si="0"/>
        <v>0</v>
      </c>
      <c r="E14" s="312">
        <f t="shared" si="0"/>
        <v>0</v>
      </c>
      <c r="F14" s="111">
        <f t="shared" si="0"/>
        <v>0</v>
      </c>
      <c r="G14" s="312">
        <f t="shared" si="0"/>
        <v>0</v>
      </c>
      <c r="H14" s="312">
        <f t="shared" si="0"/>
        <v>0</v>
      </c>
      <c r="I14" s="312">
        <f t="shared" si="0"/>
        <v>0</v>
      </c>
      <c r="J14" s="312">
        <f t="shared" si="0"/>
        <v>0</v>
      </c>
      <c r="K14" s="87">
        <f t="shared" si="0"/>
        <v>0</v>
      </c>
      <c r="L14" s="87">
        <f t="shared" si="0"/>
        <v>0</v>
      </c>
      <c r="M14" s="87">
        <f t="shared" si="0"/>
        <v>8892</v>
      </c>
      <c r="N14" s="87"/>
      <c r="O14" s="87">
        <f>SUM(O9:O13)</f>
        <v>33188</v>
      </c>
      <c r="P14" s="117">
        <f>SUM(P9:P13)</f>
        <v>22982.829999999998</v>
      </c>
      <c r="Q14" s="87">
        <f>SUM(Q9:Q13)</f>
        <v>40515</v>
      </c>
      <c r="R14" s="312">
        <f>SUM(R9:R13)</f>
        <v>31003.17</v>
      </c>
      <c r="S14" s="87">
        <f>SUM(S9:S13)</f>
        <v>61664</v>
      </c>
      <c r="T14" s="87"/>
      <c r="U14" s="87">
        <f>SUM(U9:U13)</f>
        <v>0</v>
      </c>
    </row>
    <row r="15" spans="1:21" x14ac:dyDescent="0.25">
      <c r="A15" s="708"/>
      <c r="B15" s="60"/>
      <c r="C15" s="311"/>
      <c r="D15" s="127"/>
      <c r="E15" s="311"/>
      <c r="F15" s="127"/>
      <c r="G15" s="311"/>
      <c r="H15" s="311"/>
      <c r="I15" s="311"/>
      <c r="J15" s="311"/>
      <c r="K15" s="263"/>
      <c r="L15" s="263"/>
      <c r="M15" s="263"/>
      <c r="N15" s="263"/>
      <c r="O15" s="263"/>
      <c r="P15" s="115"/>
      <c r="Q15" s="263"/>
      <c r="R15" s="311"/>
      <c r="S15" s="263"/>
      <c r="T15" s="263"/>
      <c r="U15" s="263"/>
    </row>
    <row r="16" spans="1:21" x14ac:dyDescent="0.25">
      <c r="A16" s="708"/>
      <c r="B16" s="60"/>
      <c r="C16" s="311"/>
      <c r="D16" s="127"/>
      <c r="E16" s="311"/>
      <c r="F16" s="127"/>
      <c r="G16" s="311"/>
      <c r="H16" s="311"/>
      <c r="I16" s="311"/>
      <c r="J16" s="311"/>
      <c r="K16" s="263"/>
      <c r="L16" s="263"/>
      <c r="M16" s="263"/>
      <c r="N16" s="263"/>
      <c r="O16" s="263"/>
      <c r="P16" s="115"/>
      <c r="Q16" s="263"/>
      <c r="R16" s="311"/>
      <c r="S16" s="263"/>
      <c r="T16" s="263"/>
      <c r="U16" s="263"/>
    </row>
    <row r="17" spans="1:21" ht="13.8" thickBot="1" x14ac:dyDescent="0.3">
      <c r="A17" s="709"/>
      <c r="B17" s="583" t="s">
        <v>1486</v>
      </c>
      <c r="C17" s="314">
        <f t="shared" ref="C17:S17" si="1">+C14</f>
        <v>0</v>
      </c>
      <c r="D17" s="255">
        <f t="shared" si="1"/>
        <v>0</v>
      </c>
      <c r="E17" s="314">
        <f>+E14</f>
        <v>0</v>
      </c>
      <c r="F17" s="255">
        <f>+F14</f>
        <v>0</v>
      </c>
      <c r="G17" s="314">
        <f>+G14</f>
        <v>0</v>
      </c>
      <c r="H17" s="314">
        <f>+H14</f>
        <v>0</v>
      </c>
      <c r="I17" s="314">
        <f t="shared" si="1"/>
        <v>0</v>
      </c>
      <c r="J17" s="314">
        <f t="shared" si="1"/>
        <v>0</v>
      </c>
      <c r="K17" s="315">
        <f t="shared" si="1"/>
        <v>0</v>
      </c>
      <c r="L17" s="315">
        <f t="shared" ref="L17:O17" si="2">+L14</f>
        <v>0</v>
      </c>
      <c r="M17" s="315">
        <f t="shared" si="2"/>
        <v>8892</v>
      </c>
      <c r="N17" s="315"/>
      <c r="O17" s="315">
        <f t="shared" si="2"/>
        <v>33188</v>
      </c>
      <c r="P17" s="577">
        <f t="shared" ref="P17" si="3">+P14</f>
        <v>22982.829999999998</v>
      </c>
      <c r="Q17" s="315">
        <f t="shared" ref="Q17" si="4">+Q14</f>
        <v>40515</v>
      </c>
      <c r="R17" s="314">
        <f t="shared" si="1"/>
        <v>31003.17</v>
      </c>
      <c r="S17" s="315">
        <f t="shared" si="1"/>
        <v>61664</v>
      </c>
      <c r="T17" s="315">
        <f>+S17</f>
        <v>61664</v>
      </c>
      <c r="U17" s="315">
        <f>+S17</f>
        <v>61664</v>
      </c>
    </row>
    <row r="18" spans="1:21" ht="13.8" thickTop="1" x14ac:dyDescent="0.25">
      <c r="A18" s="703"/>
      <c r="B18" s="74"/>
      <c r="C18" s="24"/>
      <c r="D18" s="24"/>
      <c r="E18" s="24"/>
      <c r="F18" s="24"/>
      <c r="G18" s="24"/>
      <c r="H18" s="24"/>
      <c r="I18" s="24"/>
      <c r="J18" s="24"/>
      <c r="K18" s="24"/>
      <c r="L18" s="24"/>
      <c r="M18" s="24"/>
      <c r="N18" s="24"/>
      <c r="O18" s="24"/>
      <c r="P18" s="24"/>
      <c r="Q18" s="24"/>
      <c r="R18" s="181" t="s">
        <v>732</v>
      </c>
      <c r="S18" s="1001">
        <f>+S17-Q17</f>
        <v>21149</v>
      </c>
      <c r="T18" s="1002">
        <f>ROUND((+S18/Q17),4)</f>
        <v>0.52200000000000002</v>
      </c>
      <c r="U18" s="23"/>
    </row>
    <row r="19" spans="1:21" x14ac:dyDescent="0.25">
      <c r="A19" s="1243">
        <v>45257</v>
      </c>
      <c r="B19" s="4" t="s">
        <v>2295</v>
      </c>
      <c r="C19" s="24"/>
      <c r="D19" s="24"/>
      <c r="E19" s="24"/>
      <c r="F19" s="24"/>
      <c r="G19" s="24"/>
      <c r="H19" s="24"/>
      <c r="I19" s="24"/>
      <c r="J19" s="24"/>
      <c r="K19" s="24"/>
      <c r="L19" s="24"/>
      <c r="M19" s="24"/>
      <c r="N19" s="24"/>
      <c r="O19" s="24"/>
      <c r="P19" s="24"/>
      <c r="Q19" s="24"/>
      <c r="R19" s="25"/>
      <c r="S19" s="24"/>
      <c r="T19" s="24"/>
      <c r="U19" s="24"/>
    </row>
    <row r="20" spans="1:21" x14ac:dyDescent="0.25">
      <c r="A20" s="63">
        <v>44902</v>
      </c>
      <c r="B20" s="4" t="s">
        <v>1912</v>
      </c>
      <c r="C20" s="24"/>
      <c r="D20" s="24"/>
      <c r="E20" s="24"/>
      <c r="F20" s="24"/>
      <c r="G20" s="24"/>
      <c r="H20" s="24"/>
      <c r="I20" s="24"/>
      <c r="J20" s="24"/>
      <c r="K20" s="24"/>
      <c r="L20" s="24"/>
      <c r="M20" s="24"/>
      <c r="N20" s="24"/>
      <c r="O20" s="24"/>
      <c r="P20" s="24"/>
      <c r="Q20" s="24"/>
      <c r="R20" s="25"/>
      <c r="S20" s="24"/>
      <c r="T20" s="24"/>
      <c r="U20" s="24"/>
    </row>
    <row r="21" spans="1:21" x14ac:dyDescent="0.25">
      <c r="A21" s="63">
        <v>45322</v>
      </c>
      <c r="B21" s="4" t="s">
        <v>2578</v>
      </c>
      <c r="C21" s="24"/>
      <c r="D21" s="24"/>
      <c r="E21" s="24"/>
      <c r="F21" s="24"/>
      <c r="G21" s="24"/>
      <c r="H21" s="24"/>
      <c r="I21" s="24"/>
      <c r="J21" s="24"/>
      <c r="K21" s="24"/>
      <c r="L21" s="24"/>
      <c r="M21" s="24"/>
      <c r="N21" s="24"/>
      <c r="O21" s="24"/>
      <c r="P21" s="24"/>
      <c r="Q21" s="24"/>
      <c r="R21" s="25"/>
      <c r="S21" s="24"/>
      <c r="T21" s="24"/>
      <c r="U21" s="24"/>
    </row>
    <row r="22" spans="1:21" x14ac:dyDescent="0.25">
      <c r="A22" s="703"/>
      <c r="B22" s="4"/>
      <c r="C22" s="24"/>
      <c r="D22" s="24"/>
      <c r="E22" s="24"/>
      <c r="F22" s="24"/>
      <c r="G22" s="24"/>
      <c r="H22" s="24"/>
      <c r="I22" s="24"/>
      <c r="J22" s="24"/>
      <c r="K22" s="24"/>
      <c r="L22" s="24"/>
      <c r="M22" s="24"/>
      <c r="N22" s="24"/>
      <c r="O22" s="24"/>
      <c r="P22" s="24"/>
      <c r="Q22" s="24"/>
      <c r="R22" s="25"/>
      <c r="S22" s="24"/>
      <c r="T22" s="24"/>
      <c r="U22" s="24"/>
    </row>
    <row r="23" spans="1:21" ht="14.4" thickBot="1" x14ac:dyDescent="0.3">
      <c r="A23" s="714"/>
      <c r="B23" s="4"/>
      <c r="C23" s="24"/>
      <c r="D23" s="24"/>
      <c r="E23" s="24"/>
      <c r="F23" s="24"/>
      <c r="G23" s="24"/>
      <c r="H23" s="24"/>
      <c r="I23" s="24"/>
      <c r="J23" s="24"/>
      <c r="K23" s="24"/>
      <c r="L23" s="24"/>
      <c r="M23" s="24"/>
      <c r="N23" s="24"/>
      <c r="O23" s="24"/>
      <c r="P23" s="24"/>
      <c r="Q23" s="24"/>
      <c r="R23" s="25"/>
      <c r="S23" s="24"/>
      <c r="T23" s="24"/>
      <c r="U23" s="24"/>
    </row>
    <row r="24" spans="1:21" ht="13.8" thickTop="1" x14ac:dyDescent="0.25">
      <c r="A24" s="718"/>
      <c r="B24" s="349"/>
      <c r="C24" s="350"/>
      <c r="D24" s="351"/>
      <c r="E24" s="350"/>
      <c r="F24" s="23"/>
      <c r="G24" s="23"/>
      <c r="H24" s="23"/>
      <c r="O24" s="352" t="s">
        <v>255</v>
      </c>
      <c r="P24" s="353" t="s">
        <v>716</v>
      </c>
      <c r="Q24" s="354" t="s">
        <v>730</v>
      </c>
      <c r="R24" s="353" t="s">
        <v>731</v>
      </c>
      <c r="S24" s="355"/>
      <c r="T24" s="550"/>
      <c r="U24" s="354"/>
    </row>
    <row r="25" spans="1:21" ht="13.8" thickBot="1" x14ac:dyDescent="0.3">
      <c r="A25" s="719"/>
      <c r="B25" s="428"/>
      <c r="C25" s="429"/>
      <c r="D25" s="429"/>
      <c r="E25" s="415"/>
      <c r="F25" s="23"/>
      <c r="G25" s="23"/>
      <c r="H25" s="23"/>
      <c r="O25" s="359" t="s">
        <v>469</v>
      </c>
      <c r="P25" s="359" t="s">
        <v>1345</v>
      </c>
      <c r="Q25" s="415" t="s">
        <v>732</v>
      </c>
      <c r="R25" s="417" t="s">
        <v>732</v>
      </c>
      <c r="S25" s="361" t="s">
        <v>733</v>
      </c>
      <c r="T25" s="551"/>
      <c r="U25" s="359"/>
    </row>
    <row r="26" spans="1:21" ht="13.8" thickTop="1" x14ac:dyDescent="0.25">
      <c r="A26" s="723"/>
      <c r="B26" s="430"/>
      <c r="C26" s="421"/>
      <c r="D26" s="420"/>
      <c r="E26" s="420"/>
      <c r="F26" s="23"/>
      <c r="G26" s="23"/>
      <c r="H26" s="23"/>
      <c r="O26" s="420"/>
      <c r="P26" s="420"/>
      <c r="Q26" s="431"/>
      <c r="R26" s="421"/>
      <c r="S26" s="426"/>
      <c r="T26" s="919"/>
      <c r="U26" s="427"/>
    </row>
    <row r="27" spans="1:21" x14ac:dyDescent="0.25">
      <c r="A27" s="724">
        <v>5171</v>
      </c>
      <c r="B27" s="397" t="s">
        <v>1425</v>
      </c>
      <c r="C27" s="373"/>
      <c r="D27" s="373"/>
      <c r="E27" s="373"/>
      <c r="F27" s="23"/>
      <c r="G27" s="23"/>
      <c r="H27" s="23"/>
      <c r="O27" s="372">
        <f>+Q9</f>
        <v>23203</v>
      </c>
      <c r="P27" s="393">
        <f>+S9</f>
        <v>30879</v>
      </c>
      <c r="Q27" s="372">
        <f t="shared" ref="Q27:Q31" si="5">+P27-O27</f>
        <v>7676</v>
      </c>
      <c r="R27" s="374">
        <f t="shared" ref="R27:R31" si="6">IF(O27+P27&lt;&gt;0,IF(O27&lt;&gt;0,IF(Q27&lt;&gt;0,ROUND((+Q27/O27),4),""),1),"")</f>
        <v>0.33079999999999998</v>
      </c>
      <c r="S27" s="367"/>
      <c r="T27" s="553"/>
      <c r="U27" s="368"/>
    </row>
    <row r="28" spans="1:21" x14ac:dyDescent="0.25">
      <c r="A28" s="724">
        <v>5172</v>
      </c>
      <c r="B28" s="397" t="s">
        <v>1426</v>
      </c>
      <c r="C28" s="373"/>
      <c r="D28" s="373"/>
      <c r="E28" s="373"/>
      <c r="F28" s="23"/>
      <c r="G28" s="23"/>
      <c r="H28" s="23"/>
      <c r="O28" s="372">
        <f>+Q10</f>
        <v>0</v>
      </c>
      <c r="P28" s="393">
        <f>+S10</f>
        <v>0</v>
      </c>
      <c r="Q28" s="372">
        <f t="shared" si="5"/>
        <v>0</v>
      </c>
      <c r="R28" s="374" t="str">
        <f t="shared" si="6"/>
        <v/>
      </c>
      <c r="S28" s="367"/>
      <c r="T28" s="920"/>
      <c r="U28" s="396"/>
    </row>
    <row r="29" spans="1:21" x14ac:dyDescent="0.25">
      <c r="A29" s="724">
        <v>5174</v>
      </c>
      <c r="B29" s="397" t="s">
        <v>1428</v>
      </c>
      <c r="C29" s="373"/>
      <c r="D29" s="373"/>
      <c r="E29" s="373"/>
      <c r="F29" s="23"/>
      <c r="G29" s="23"/>
      <c r="H29" s="23"/>
      <c r="O29" s="372">
        <f>+Q11</f>
        <v>15000</v>
      </c>
      <c r="P29" s="393">
        <f>+S11</f>
        <v>28500</v>
      </c>
      <c r="Q29" s="372">
        <f t="shared" si="5"/>
        <v>13500</v>
      </c>
      <c r="R29" s="374">
        <f t="shared" si="6"/>
        <v>0.9</v>
      </c>
      <c r="S29" s="367" t="s">
        <v>2325</v>
      </c>
      <c r="T29" s="553"/>
      <c r="U29" s="368"/>
    </row>
    <row r="30" spans="1:21" x14ac:dyDescent="0.25">
      <c r="A30" s="724">
        <v>5175</v>
      </c>
      <c r="B30" s="397" t="s">
        <v>1429</v>
      </c>
      <c r="C30" s="373"/>
      <c r="D30" s="373"/>
      <c r="E30" s="373"/>
      <c r="F30" s="23"/>
      <c r="G30" s="23"/>
      <c r="H30" s="23"/>
      <c r="O30" s="372">
        <f>+Q12</f>
        <v>310</v>
      </c>
      <c r="P30" s="393">
        <f>+S12</f>
        <v>310</v>
      </c>
      <c r="Q30" s="372">
        <f t="shared" si="5"/>
        <v>0</v>
      </c>
      <c r="R30" s="374" t="str">
        <f t="shared" si="6"/>
        <v/>
      </c>
      <c r="S30" s="367"/>
      <c r="T30" s="553"/>
      <c r="U30" s="368"/>
    </row>
    <row r="31" spans="1:21" x14ac:dyDescent="0.25">
      <c r="A31" s="724">
        <v>5176</v>
      </c>
      <c r="B31" s="397" t="s">
        <v>1430</v>
      </c>
      <c r="C31" s="373"/>
      <c r="D31" s="373"/>
      <c r="E31" s="373"/>
      <c r="F31" s="23"/>
      <c r="G31" s="23"/>
      <c r="H31" s="23"/>
      <c r="O31" s="372">
        <f>+Q13</f>
        <v>2002</v>
      </c>
      <c r="P31" s="393">
        <f>+S13</f>
        <v>1975</v>
      </c>
      <c r="Q31" s="372">
        <f t="shared" si="5"/>
        <v>-27</v>
      </c>
      <c r="R31" s="374">
        <f t="shared" si="6"/>
        <v>-1.35E-2</v>
      </c>
      <c r="S31" s="367"/>
      <c r="T31" s="553"/>
      <c r="U31" s="368"/>
    </row>
    <row r="32" spans="1:21" x14ac:dyDescent="0.25">
      <c r="A32" s="724"/>
      <c r="B32" s="397"/>
      <c r="C32" s="373"/>
      <c r="D32" s="373"/>
      <c r="E32" s="373"/>
      <c r="F32" s="23"/>
      <c r="G32" s="23"/>
      <c r="H32" s="23"/>
      <c r="O32" s="372"/>
      <c r="P32" s="393"/>
      <c r="Q32" s="372"/>
      <c r="R32" s="373"/>
      <c r="S32" s="367"/>
      <c r="T32" s="553"/>
      <c r="U32" s="368"/>
    </row>
    <row r="33" spans="1:21" x14ac:dyDescent="0.25">
      <c r="A33" s="703"/>
      <c r="B33" s="4"/>
      <c r="C33" s="23"/>
      <c r="D33" s="23"/>
      <c r="E33" s="23"/>
      <c r="F33" s="23"/>
      <c r="G33" s="23"/>
      <c r="H33" s="23"/>
      <c r="O33" s="23"/>
      <c r="P33" s="23"/>
      <c r="Q33" s="23"/>
      <c r="R33" s="25"/>
      <c r="S33" s="23"/>
      <c r="T33" s="23"/>
      <c r="U33" s="23"/>
    </row>
    <row r="34" spans="1:21" x14ac:dyDescent="0.25">
      <c r="A34" s="703"/>
      <c r="B34" s="4" t="s">
        <v>735</v>
      </c>
      <c r="C34" s="23"/>
      <c r="D34" s="23"/>
      <c r="E34" s="23"/>
      <c r="F34" s="23"/>
      <c r="G34" s="23"/>
      <c r="H34" s="23"/>
      <c r="O34" s="597">
        <f>SUM(O27:O33)</f>
        <v>40515</v>
      </c>
      <c r="P34" s="597">
        <f>SUM(P27:P33)</f>
        <v>61664</v>
      </c>
      <c r="Q34" s="25">
        <f>+P34-O34</f>
        <v>21149</v>
      </c>
      <c r="R34" s="598">
        <f>IF(O34+P34&lt;&gt;0,IF(O34&lt;&gt;0,IF(Q34&lt;&gt;0,ROUND((+Q34/O34),4),""),1),"")</f>
        <v>0.52200000000000002</v>
      </c>
      <c r="S34" s="23"/>
      <c r="T34" s="23"/>
      <c r="U34" s="23"/>
    </row>
  </sheetData>
  <hyperlinks>
    <hyperlink ref="A1" location="'Working Budget with funding det'!A1" display="Main " xr:uid="{00000000-0004-0000-3800-000000000000}"/>
    <hyperlink ref="B1" location="'Table of Contents'!A1" display="TOC" xr:uid="{00000000-0004-0000-3800-000001000000}"/>
  </hyperlink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50"/>
  </sheetPr>
  <dimension ref="A1:AC148"/>
  <sheetViews>
    <sheetView zoomScaleNormal="100" workbookViewId="0">
      <pane ySplit="7" topLeftCell="A56" activePane="bottomLeft" state="frozen"/>
      <selection activeCell="S36" sqref="S36"/>
      <selection pane="bottomLeft" activeCell="A76" sqref="A76:R89"/>
    </sheetView>
  </sheetViews>
  <sheetFormatPr defaultRowHeight="13.2" x14ac:dyDescent="0.25"/>
  <cols>
    <col min="1" max="1" width="12.44140625" style="712" customWidth="1"/>
    <col min="2" max="2" width="36.6640625" customWidth="1"/>
    <col min="3" max="3" width="15.77734375" style="1" hidden="1" customWidth="1"/>
    <col min="4" max="14" width="15.44140625" style="105" hidden="1" customWidth="1"/>
    <col min="15" max="17" width="15.44140625" style="105" customWidth="1"/>
    <col min="18" max="18" width="14.44140625" customWidth="1"/>
    <col min="19" max="21" width="14.44140625" style="1" customWidth="1"/>
    <col min="22" max="22" width="23" style="1" customWidth="1"/>
    <col min="23" max="23" width="7.77734375" customWidth="1"/>
    <col min="24" max="24" width="15.44140625" style="4" customWidth="1"/>
    <col min="25" max="25" width="20.77734375" style="4" customWidth="1"/>
    <col min="26" max="26" width="4.33203125" style="4" customWidth="1"/>
    <col min="27" max="27" width="14.44140625" style="4" customWidth="1"/>
    <col min="28" max="29" width="9.33203125" style="4"/>
  </cols>
  <sheetData>
    <row r="1" spans="1:22" x14ac:dyDescent="0.25">
      <c r="A1" s="701" t="s">
        <v>736</v>
      </c>
      <c r="B1" s="290" t="s">
        <v>194</v>
      </c>
      <c r="D1" s="194"/>
      <c r="E1" s="194"/>
      <c r="F1" s="194"/>
      <c r="G1" s="194"/>
      <c r="H1" s="194"/>
      <c r="I1" s="194"/>
      <c r="J1" s="194"/>
      <c r="K1" s="194"/>
      <c r="L1" s="194"/>
      <c r="M1" s="194"/>
      <c r="N1" s="194"/>
      <c r="O1" s="194"/>
      <c r="P1" s="194"/>
      <c r="Q1" s="194"/>
      <c r="V1"/>
    </row>
    <row r="2" spans="1:22" ht="13.8" x14ac:dyDescent="0.25">
      <c r="A2" s="702" t="s">
        <v>2072</v>
      </c>
      <c r="B2" s="43"/>
      <c r="D2" s="194"/>
      <c r="E2" s="125"/>
      <c r="F2" s="194"/>
      <c r="G2" s="194"/>
      <c r="H2" s="194"/>
      <c r="I2" s="125" t="s">
        <v>706</v>
      </c>
      <c r="J2" s="125"/>
      <c r="K2" s="125"/>
      <c r="L2" s="125"/>
      <c r="M2" s="125"/>
      <c r="N2" s="125"/>
      <c r="O2" s="125"/>
      <c r="P2" s="125"/>
      <c r="Q2" s="125"/>
      <c r="R2" s="58" t="s">
        <v>2001</v>
      </c>
      <c r="S2" s="44" t="s">
        <v>1488</v>
      </c>
      <c r="T2" s="44"/>
    </row>
    <row r="3" spans="1:22" ht="13.8" thickBot="1" x14ac:dyDescent="0.3">
      <c r="A3" s="703"/>
      <c r="B3" s="4"/>
      <c r="C3" s="23"/>
      <c r="D3" s="23"/>
      <c r="E3" s="23"/>
      <c r="F3" s="23"/>
      <c r="G3" s="23"/>
      <c r="H3" s="23"/>
      <c r="I3" s="23"/>
      <c r="J3" s="23"/>
      <c r="K3" s="23"/>
      <c r="L3" s="23"/>
      <c r="M3" s="23"/>
      <c r="N3" s="23"/>
      <c r="O3" s="23"/>
      <c r="P3" s="23"/>
      <c r="Q3" s="23"/>
      <c r="R3" s="4"/>
      <c r="S3" s="23"/>
      <c r="T3" s="23"/>
      <c r="U3" s="4"/>
      <c r="V3" s="4"/>
    </row>
    <row r="4" spans="1:22"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2" ht="13.8" x14ac:dyDescent="0.25">
      <c r="A5" s="705"/>
      <c r="B5" s="184"/>
      <c r="C5" s="112"/>
      <c r="D5" s="82"/>
      <c r="E5" s="104"/>
      <c r="F5" s="82"/>
      <c r="G5" s="82"/>
      <c r="H5" s="104"/>
      <c r="I5" s="229"/>
      <c r="J5" s="229"/>
      <c r="K5" s="229"/>
      <c r="L5" s="229"/>
      <c r="M5" s="229"/>
      <c r="N5" s="229"/>
      <c r="O5" s="229"/>
      <c r="P5" s="229"/>
      <c r="Q5" s="229"/>
      <c r="R5" s="104" t="s">
        <v>709</v>
      </c>
      <c r="S5" s="58"/>
      <c r="T5" s="83" t="s">
        <v>711</v>
      </c>
      <c r="U5" s="178" t="s">
        <v>712</v>
      </c>
    </row>
    <row r="6" spans="1:22" x14ac:dyDescent="0.25">
      <c r="A6" s="705"/>
      <c r="B6" s="184"/>
      <c r="C6" s="102"/>
      <c r="D6" s="112"/>
      <c r="E6" s="112"/>
      <c r="F6" s="112"/>
      <c r="G6" s="112"/>
      <c r="H6" s="112"/>
      <c r="I6" s="83"/>
      <c r="J6" s="83"/>
      <c r="K6" s="83"/>
      <c r="L6" s="83"/>
      <c r="M6" s="83"/>
      <c r="N6" s="83"/>
      <c r="O6" s="83"/>
      <c r="P6" s="83"/>
      <c r="Q6" s="83"/>
      <c r="R6" s="82"/>
      <c r="S6" s="83"/>
      <c r="T6" s="83" t="s">
        <v>481</v>
      </c>
      <c r="U6" s="45" t="s">
        <v>714</v>
      </c>
    </row>
    <row r="7" spans="1:22" ht="13.8" thickBot="1" x14ac:dyDescent="0.3">
      <c r="A7" s="706" t="s">
        <v>715</v>
      </c>
      <c r="B7" s="78"/>
      <c r="C7" s="243" t="s">
        <v>243</v>
      </c>
      <c r="D7" s="243" t="s">
        <v>244</v>
      </c>
      <c r="E7" s="77" t="s">
        <v>245</v>
      </c>
      <c r="F7" s="77" t="s">
        <v>464</v>
      </c>
      <c r="G7" s="77" t="s">
        <v>465</v>
      </c>
      <c r="H7" s="77" t="s">
        <v>248</v>
      </c>
      <c r="I7" s="77" t="s">
        <v>249</v>
      </c>
      <c r="J7" s="77" t="s">
        <v>468</v>
      </c>
      <c r="K7" s="77" t="s">
        <v>251</v>
      </c>
      <c r="L7" s="77" t="s">
        <v>251</v>
      </c>
      <c r="M7" s="77" t="s">
        <v>252</v>
      </c>
      <c r="N7" s="77" t="s">
        <v>252</v>
      </c>
      <c r="O7" s="77" t="s">
        <v>253</v>
      </c>
      <c r="P7" s="77" t="s">
        <v>253</v>
      </c>
      <c r="Q7" s="9" t="s">
        <v>469</v>
      </c>
      <c r="R7" s="121">
        <v>45291</v>
      </c>
      <c r="S7" s="77" t="s">
        <v>1489</v>
      </c>
      <c r="T7" s="77"/>
      <c r="U7" s="9" t="s">
        <v>481</v>
      </c>
    </row>
    <row r="8" spans="1:22" ht="13.8" thickTop="1" x14ac:dyDescent="0.25">
      <c r="A8" s="707"/>
      <c r="B8" s="156"/>
      <c r="C8" s="114"/>
      <c r="D8" s="250"/>
      <c r="E8" s="250"/>
      <c r="F8" s="250"/>
      <c r="G8" s="250"/>
      <c r="H8" s="250"/>
      <c r="I8" s="195"/>
      <c r="J8" s="195"/>
      <c r="K8" s="195"/>
      <c r="L8" s="195"/>
      <c r="M8" s="195"/>
      <c r="N8" s="195"/>
      <c r="O8" s="195"/>
      <c r="P8" s="195"/>
      <c r="Q8" s="195"/>
      <c r="R8" s="59"/>
      <c r="S8" s="33"/>
      <c r="T8" s="33"/>
      <c r="U8" s="33"/>
    </row>
    <row r="9" spans="1:22" x14ac:dyDescent="0.25">
      <c r="A9" s="708">
        <v>5110</v>
      </c>
      <c r="B9" s="101" t="s">
        <v>1490</v>
      </c>
      <c r="C9" s="115">
        <v>296676.09999999998</v>
      </c>
      <c r="D9" s="13">
        <v>317703.17</v>
      </c>
      <c r="E9" s="13">
        <f>9155+388922.89</f>
        <v>398077.89</v>
      </c>
      <c r="F9" s="13">
        <f>11469+373319.32</f>
        <v>384788.32</v>
      </c>
      <c r="G9" s="13">
        <v>344810.16</v>
      </c>
      <c r="H9" s="13">
        <v>364652.43</v>
      </c>
      <c r="I9" s="127">
        <f>85.6+362920.23</f>
        <v>363005.82999999996</v>
      </c>
      <c r="J9" s="127">
        <v>374517.52</v>
      </c>
      <c r="K9" s="14">
        <v>402257</v>
      </c>
      <c r="L9" s="127">
        <v>368084.88</v>
      </c>
      <c r="M9" s="14">
        <v>432332</v>
      </c>
      <c r="N9" s="127">
        <v>395398.33</v>
      </c>
      <c r="O9" s="14">
        <f>692+2682+481993</f>
        <v>485367</v>
      </c>
      <c r="P9" s="13">
        <f>425783.55+294.4</f>
        <v>426077.95</v>
      </c>
      <c r="Q9" s="14">
        <v>506684</v>
      </c>
      <c r="R9" s="127">
        <v>244144.64000000001</v>
      </c>
      <c r="S9" s="14">
        <f>ROUND((+SUM(R78:R87)),0)+63</f>
        <v>531233</v>
      </c>
      <c r="T9" s="14"/>
      <c r="U9" s="14"/>
    </row>
    <row r="10" spans="1:22" x14ac:dyDescent="0.25">
      <c r="A10" s="708">
        <v>5124</v>
      </c>
      <c r="B10" s="101" t="s">
        <v>2073</v>
      </c>
      <c r="C10" s="115"/>
      <c r="D10" s="13"/>
      <c r="E10" s="13"/>
      <c r="F10" s="13"/>
      <c r="G10" s="13"/>
      <c r="H10" s="13"/>
      <c r="I10" s="127"/>
      <c r="J10" s="127"/>
      <c r="K10" s="14"/>
      <c r="L10" s="127"/>
      <c r="M10" s="14"/>
      <c r="N10" s="127"/>
      <c r="O10" s="14"/>
      <c r="P10" s="13">
        <v>3861.75</v>
      </c>
      <c r="Q10" s="14"/>
      <c r="R10" s="127">
        <v>3142.5</v>
      </c>
      <c r="S10" s="14"/>
      <c r="T10" s="14"/>
      <c r="U10" s="14"/>
    </row>
    <row r="11" spans="1:22" x14ac:dyDescent="0.25">
      <c r="A11" s="708">
        <v>5132</v>
      </c>
      <c r="B11" s="60" t="s">
        <v>917</v>
      </c>
      <c r="C11" s="115">
        <v>40622.949999999997</v>
      </c>
      <c r="D11" s="13">
        <v>47734.400000000001</v>
      </c>
      <c r="E11" s="13">
        <v>53816.19</v>
      </c>
      <c r="F11" s="13">
        <v>49287.91</v>
      </c>
      <c r="G11" s="13">
        <v>41580.33</v>
      </c>
      <c r="H11" s="13">
        <v>37781.25</v>
      </c>
      <c r="I11" s="13">
        <v>37235.25</v>
      </c>
      <c r="J11" s="13">
        <v>30286.33</v>
      </c>
      <c r="K11" s="14">
        <v>45000</v>
      </c>
      <c r="L11" s="13">
        <v>43743.199999999997</v>
      </c>
      <c r="M11" s="14">
        <v>45000</v>
      </c>
      <c r="N11" s="13">
        <v>46700.07</v>
      </c>
      <c r="O11" s="14">
        <f>1401+45000</f>
        <v>46401</v>
      </c>
      <c r="P11" s="13">
        <v>36131.93</v>
      </c>
      <c r="Q11" s="14">
        <v>46401</v>
      </c>
      <c r="R11" s="13">
        <v>20141.189999999999</v>
      </c>
      <c r="S11" s="14">
        <v>46000</v>
      </c>
      <c r="T11" s="14"/>
      <c r="U11" s="14"/>
    </row>
    <row r="12" spans="1:22" x14ac:dyDescent="0.25">
      <c r="A12" s="708">
        <v>5140</v>
      </c>
      <c r="B12" s="60" t="s">
        <v>1491</v>
      </c>
      <c r="C12" s="574">
        <v>8578.26</v>
      </c>
      <c r="D12" s="93">
        <v>7749.24</v>
      </c>
      <c r="E12" s="326">
        <f>-2212.7+8969.83</f>
        <v>6757.13</v>
      </c>
      <c r="F12" s="93">
        <f>-1514.61+8288.9</f>
        <v>6774.29</v>
      </c>
      <c r="G12" s="93">
        <v>11218.94</v>
      </c>
      <c r="H12" s="93">
        <v>11132.47</v>
      </c>
      <c r="I12" s="93">
        <f>4.3+10974.32</f>
        <v>10978.619999999999</v>
      </c>
      <c r="J12" s="93">
        <v>11145.71</v>
      </c>
      <c r="K12" s="57">
        <v>14000</v>
      </c>
      <c r="L12" s="93">
        <f>8785.81+1701+15+200</f>
        <v>10701.81</v>
      </c>
      <c r="M12" s="57">
        <v>14000</v>
      </c>
      <c r="N12" s="93">
        <f>891+9090.82</f>
        <v>9981.82</v>
      </c>
      <c r="O12" s="57">
        <v>14000</v>
      </c>
      <c r="P12" s="93">
        <v>23575.71</v>
      </c>
      <c r="Q12" s="57">
        <v>14000</v>
      </c>
      <c r="R12" s="93">
        <v>12116.98</v>
      </c>
      <c r="S12" s="57">
        <v>14000</v>
      </c>
      <c r="T12" s="57"/>
      <c r="U12" s="57"/>
    </row>
    <row r="13" spans="1:22" x14ac:dyDescent="0.25">
      <c r="A13" s="708">
        <v>5144</v>
      </c>
      <c r="B13" s="60" t="s">
        <v>27</v>
      </c>
      <c r="C13" s="574"/>
      <c r="D13" s="93"/>
      <c r="E13" s="326"/>
      <c r="F13" s="93"/>
      <c r="G13" s="93"/>
      <c r="H13" s="93"/>
      <c r="I13" s="93"/>
      <c r="J13" s="93"/>
      <c r="K13" s="57"/>
      <c r="L13" s="93"/>
      <c r="M13" s="57"/>
      <c r="N13" s="93"/>
      <c r="O13" s="57"/>
      <c r="P13" s="93">
        <v>500</v>
      </c>
      <c r="Q13" s="57"/>
      <c r="R13" s="93"/>
      <c r="S13" s="57">
        <f>SUM(T78:T86)</f>
        <v>1400</v>
      </c>
      <c r="T13" s="57"/>
      <c r="U13" s="57"/>
    </row>
    <row r="14" spans="1:22" x14ac:dyDescent="0.25">
      <c r="A14" s="708">
        <v>5193</v>
      </c>
      <c r="B14" s="60" t="s">
        <v>819</v>
      </c>
      <c r="C14" s="574"/>
      <c r="D14" s="93"/>
      <c r="E14" s="93"/>
      <c r="F14" s="93">
        <v>8903.26</v>
      </c>
      <c r="G14" s="93">
        <v>6177.6</v>
      </c>
      <c r="H14" s="93">
        <v>3999.44</v>
      </c>
      <c r="I14" s="93">
        <v>0</v>
      </c>
      <c r="J14" s="93">
        <v>1022.8</v>
      </c>
      <c r="K14" s="57"/>
      <c r="L14" s="807">
        <v>2878.39</v>
      </c>
      <c r="M14" s="57"/>
      <c r="N14" s="807">
        <v>573.55999999999995</v>
      </c>
      <c r="O14" s="57"/>
      <c r="P14" s="93"/>
      <c r="Q14" s="57"/>
      <c r="R14" s="93"/>
      <c r="S14" s="57"/>
      <c r="T14" s="57"/>
      <c r="U14" s="57"/>
    </row>
    <row r="15" spans="1:22" ht="13.8" thickBot="1" x14ac:dyDescent="0.3">
      <c r="A15" s="708">
        <v>5194</v>
      </c>
      <c r="B15" s="60" t="s">
        <v>820</v>
      </c>
      <c r="C15" s="575"/>
      <c r="D15" s="285"/>
      <c r="E15" s="285"/>
      <c r="F15" s="285">
        <v>3500</v>
      </c>
      <c r="G15" s="285">
        <v>1167.19</v>
      </c>
      <c r="H15" s="285"/>
      <c r="I15" s="285">
        <v>0</v>
      </c>
      <c r="J15" s="285">
        <v>3500</v>
      </c>
      <c r="K15" s="286"/>
      <c r="L15" s="808"/>
      <c r="M15" s="286"/>
      <c r="N15" s="808"/>
      <c r="O15" s="286"/>
      <c r="P15" s="285"/>
      <c r="Q15" s="286"/>
      <c r="R15" s="285"/>
      <c r="S15" s="286"/>
      <c r="T15" s="286"/>
      <c r="U15" s="286"/>
    </row>
    <row r="16" spans="1:22" x14ac:dyDescent="0.25">
      <c r="A16" s="708"/>
      <c r="B16" s="61" t="s">
        <v>718</v>
      </c>
      <c r="C16" s="117">
        <f t="shared" ref="C16:R16" si="0">SUM(C9:C15)</f>
        <v>345877.31</v>
      </c>
      <c r="D16" s="18">
        <f t="shared" si="0"/>
        <v>373186.81</v>
      </c>
      <c r="E16" s="18">
        <f t="shared" si="0"/>
        <v>458651.21</v>
      </c>
      <c r="F16" s="18">
        <f t="shared" si="0"/>
        <v>453253.77999999997</v>
      </c>
      <c r="G16" s="18">
        <f t="shared" si="0"/>
        <v>404954.22</v>
      </c>
      <c r="H16" s="18">
        <f t="shared" si="0"/>
        <v>417565.58999999997</v>
      </c>
      <c r="I16" s="18">
        <f t="shared" si="0"/>
        <v>411219.69999999995</v>
      </c>
      <c r="J16" s="18">
        <f t="shared" si="0"/>
        <v>420472.36000000004</v>
      </c>
      <c r="K16" s="34">
        <f t="shared" ref="K16:P16" si="1">SUM(K9:K15)</f>
        <v>461257</v>
      </c>
      <c r="L16" s="18">
        <f t="shared" si="1"/>
        <v>425408.28</v>
      </c>
      <c r="M16" s="34">
        <f t="shared" si="1"/>
        <v>491332</v>
      </c>
      <c r="N16" s="18">
        <f t="shared" si="1"/>
        <v>452653.78</v>
      </c>
      <c r="O16" s="34">
        <f t="shared" si="1"/>
        <v>545768</v>
      </c>
      <c r="P16" s="18">
        <f t="shared" si="1"/>
        <v>490147.34</v>
      </c>
      <c r="Q16" s="34">
        <f>SUM(Q9:Q15)</f>
        <v>567085</v>
      </c>
      <c r="R16" s="18">
        <f t="shared" si="0"/>
        <v>279545.31</v>
      </c>
      <c r="S16" s="34">
        <f>SUM(S9:S15)</f>
        <v>592633</v>
      </c>
      <c r="T16" s="34">
        <f>+S16</f>
        <v>592633</v>
      </c>
      <c r="U16" s="34">
        <f>+S16</f>
        <v>592633</v>
      </c>
    </row>
    <row r="17" spans="1:23" x14ac:dyDescent="0.25">
      <c r="A17" s="708"/>
      <c r="B17" s="60"/>
      <c r="C17" s="115"/>
      <c r="D17" s="13"/>
      <c r="E17" s="13"/>
      <c r="F17" s="13"/>
      <c r="G17" s="13"/>
      <c r="H17" s="13"/>
      <c r="I17" s="13"/>
      <c r="J17" s="13"/>
      <c r="K17" s="14"/>
      <c r="L17" s="13"/>
      <c r="M17" s="14"/>
      <c r="N17" s="13"/>
      <c r="O17" s="14"/>
      <c r="P17" s="13"/>
      <c r="Q17" s="14"/>
      <c r="R17" s="13"/>
      <c r="S17" s="14"/>
      <c r="T17" s="14"/>
      <c r="U17" s="14"/>
      <c r="V17" s="194"/>
    </row>
    <row r="18" spans="1:23" x14ac:dyDescent="0.25">
      <c r="A18" s="708">
        <v>5211</v>
      </c>
      <c r="B18" s="60" t="s">
        <v>1492</v>
      </c>
      <c r="C18" s="115">
        <v>137014.16</v>
      </c>
      <c r="D18" s="13">
        <v>153979.65</v>
      </c>
      <c r="E18" s="13">
        <v>158236.51</v>
      </c>
      <c r="F18" s="13">
        <v>202830.2</v>
      </c>
      <c r="G18" s="13">
        <v>177304.13</v>
      </c>
      <c r="H18" s="13">
        <v>148421.29</v>
      </c>
      <c r="I18" s="13">
        <v>131404.39000000001</v>
      </c>
      <c r="J18" s="13">
        <v>117881.62</v>
      </c>
      <c r="K18" s="14">
        <v>140000</v>
      </c>
      <c r="L18" s="13">
        <v>116458.19</v>
      </c>
      <c r="M18" s="14">
        <v>140000</v>
      </c>
      <c r="N18" s="13">
        <v>116573.4</v>
      </c>
      <c r="O18" s="14">
        <f>50000+140000</f>
        <v>190000</v>
      </c>
      <c r="P18" s="13">
        <v>134516.16</v>
      </c>
      <c r="Q18" s="14">
        <v>173000</v>
      </c>
      <c r="R18" s="13">
        <v>79575.75</v>
      </c>
      <c r="S18" s="14">
        <v>173000</v>
      </c>
      <c r="T18" s="14"/>
      <c r="U18" s="14"/>
      <c r="V18" s="1">
        <f>+S18-O18</f>
        <v>-17000</v>
      </c>
      <c r="W18" s="2"/>
    </row>
    <row r="19" spans="1:23" x14ac:dyDescent="0.25">
      <c r="A19" s="708">
        <v>5211.1000000000004</v>
      </c>
      <c r="B19" s="60" t="s">
        <v>1493</v>
      </c>
      <c r="C19" s="115">
        <v>18658.89</v>
      </c>
      <c r="D19" s="13">
        <v>22524.48</v>
      </c>
      <c r="E19" s="13">
        <v>20914.47</v>
      </c>
      <c r="F19" s="13">
        <v>19466.740000000002</v>
      </c>
      <c r="G19" s="13">
        <v>17307.36</v>
      </c>
      <c r="H19" s="13">
        <v>20107.810000000001</v>
      </c>
      <c r="I19" s="13">
        <v>22051.08</v>
      </c>
      <c r="J19" s="13">
        <v>20843.27</v>
      </c>
      <c r="K19" s="14">
        <v>23000</v>
      </c>
      <c r="L19" s="13">
        <v>19545.88</v>
      </c>
      <c r="M19" s="14">
        <v>23000</v>
      </c>
      <c r="N19" s="13">
        <v>21960.23</v>
      </c>
      <c r="O19" s="14">
        <f>5000+23000</f>
        <v>28000</v>
      </c>
      <c r="P19" s="13">
        <v>26339.919999999998</v>
      </c>
      <c r="Q19" s="14">
        <v>31000</v>
      </c>
      <c r="R19" s="13">
        <v>13555.62</v>
      </c>
      <c r="S19" s="14">
        <v>31000</v>
      </c>
      <c r="T19" s="14"/>
      <c r="U19" s="14"/>
    </row>
    <row r="20" spans="1:23" x14ac:dyDescent="0.25">
      <c r="A20" s="708">
        <v>5213</v>
      </c>
      <c r="B20" s="60" t="s">
        <v>1494</v>
      </c>
      <c r="C20" s="115">
        <v>6649.98</v>
      </c>
      <c r="D20" s="13">
        <v>21358.57</v>
      </c>
      <c r="E20" s="13">
        <v>11430.85</v>
      </c>
      <c r="F20" s="13">
        <v>12732.56</v>
      </c>
      <c r="G20" s="13">
        <v>9500</v>
      </c>
      <c r="H20" s="13">
        <v>14721.35</v>
      </c>
      <c r="I20" s="13">
        <v>16367.06</v>
      </c>
      <c r="J20" s="13">
        <v>16335.31</v>
      </c>
      <c r="K20" s="14">
        <v>16000</v>
      </c>
      <c r="L20" s="127">
        <v>20823.25</v>
      </c>
      <c r="M20" s="14">
        <v>16500</v>
      </c>
      <c r="N20" s="127">
        <v>14686.13</v>
      </c>
      <c r="O20" s="14">
        <v>16500</v>
      </c>
      <c r="P20" s="13">
        <v>34494.68</v>
      </c>
      <c r="Q20" s="14">
        <v>35700</v>
      </c>
      <c r="R20" s="13">
        <v>3320.45</v>
      </c>
      <c r="S20" s="14">
        <v>35700</v>
      </c>
      <c r="T20" s="14"/>
      <c r="U20" s="14"/>
      <c r="W20" s="2"/>
    </row>
    <row r="21" spans="1:23" x14ac:dyDescent="0.25">
      <c r="A21" s="708">
        <v>5280</v>
      </c>
      <c r="B21" s="12" t="s">
        <v>1495</v>
      </c>
      <c r="C21" s="13">
        <v>134216.60999999999</v>
      </c>
      <c r="D21" s="13">
        <v>17243.32</v>
      </c>
      <c r="E21" s="13">
        <v>23212.07</v>
      </c>
      <c r="F21" s="13">
        <v>19009.61</v>
      </c>
      <c r="G21" s="13">
        <v>116440.22</v>
      </c>
      <c r="H21" s="13">
        <v>347935.71</v>
      </c>
      <c r="I21" s="13">
        <v>245056.56</v>
      </c>
      <c r="J21" s="13">
        <v>211337.24</v>
      </c>
      <c r="K21" s="14">
        <v>170000</v>
      </c>
      <c r="L21" s="127">
        <v>200533.18</v>
      </c>
      <c r="M21" s="14">
        <v>170000</v>
      </c>
      <c r="N21" s="127">
        <v>169428.66</v>
      </c>
      <c r="O21" s="14">
        <v>321000</v>
      </c>
      <c r="P21" s="13">
        <v>267881.74</v>
      </c>
      <c r="Q21" s="14">
        <v>318000</v>
      </c>
      <c r="R21" s="13">
        <v>116788.53</v>
      </c>
      <c r="S21" s="14">
        <v>326000</v>
      </c>
      <c r="T21" s="14"/>
      <c r="U21" s="14"/>
      <c r="W21" s="2"/>
    </row>
    <row r="22" spans="1:23" x14ac:dyDescent="0.25">
      <c r="A22" s="708">
        <v>5300</v>
      </c>
      <c r="B22" s="12" t="s">
        <v>1496</v>
      </c>
      <c r="C22" s="13">
        <v>35721.64</v>
      </c>
      <c r="D22" s="13">
        <v>47452.11</v>
      </c>
      <c r="E22" s="13">
        <v>53067.38</v>
      </c>
      <c r="F22" s="13">
        <v>67725.37</v>
      </c>
      <c r="G22" s="13">
        <v>127093.29</v>
      </c>
      <c r="H22" s="13">
        <v>72531.63</v>
      </c>
      <c r="I22" s="13">
        <f>668.5+247.93+118988.1</f>
        <v>119904.53</v>
      </c>
      <c r="J22" s="13">
        <v>84086.18</v>
      </c>
      <c r="K22" s="14">
        <v>80000</v>
      </c>
      <c r="L22" s="127">
        <v>66549.98</v>
      </c>
      <c r="M22" s="14">
        <v>74000</v>
      </c>
      <c r="N22" s="127">
        <v>37011.85</v>
      </c>
      <c r="O22" s="14">
        <v>44000</v>
      </c>
      <c r="P22" s="13">
        <v>29901.59</v>
      </c>
      <c r="Q22" s="14">
        <v>44000</v>
      </c>
      <c r="R22" s="13">
        <v>41370.15</v>
      </c>
      <c r="S22" s="14">
        <v>54000</v>
      </c>
      <c r="T22" s="14"/>
      <c r="U22" s="14"/>
      <c r="W22" s="2"/>
    </row>
    <row r="23" spans="1:23" x14ac:dyDescent="0.25">
      <c r="A23" s="708">
        <v>5301</v>
      </c>
      <c r="B23" s="12" t="s">
        <v>1497</v>
      </c>
      <c r="C23" s="13"/>
      <c r="D23" s="13"/>
      <c r="E23" s="13"/>
      <c r="F23" s="13"/>
      <c r="G23" s="13"/>
      <c r="H23" s="13"/>
      <c r="I23" s="13"/>
      <c r="J23" s="13"/>
      <c r="K23" s="14"/>
      <c r="L23" s="127">
        <v>5455.82</v>
      </c>
      <c r="M23" s="14">
        <v>6000</v>
      </c>
      <c r="N23" s="127">
        <v>19994.330000000002</v>
      </c>
      <c r="O23" s="14">
        <v>7200</v>
      </c>
      <c r="P23" s="13">
        <v>16644.2</v>
      </c>
      <c r="Q23" s="14">
        <v>7200</v>
      </c>
      <c r="R23" s="13">
        <v>5348.05</v>
      </c>
      <c r="S23" s="14">
        <v>7200</v>
      </c>
      <c r="T23" s="14"/>
      <c r="U23" s="14"/>
      <c r="W23" s="2"/>
    </row>
    <row r="24" spans="1:23" x14ac:dyDescent="0.25">
      <c r="A24" s="708">
        <v>5304</v>
      </c>
      <c r="B24" s="12" t="s">
        <v>1498</v>
      </c>
      <c r="C24" s="13"/>
      <c r="D24" s="13"/>
      <c r="E24" s="13"/>
      <c r="F24" s="13"/>
      <c r="G24" s="13"/>
      <c r="H24" s="13"/>
      <c r="I24" s="13"/>
      <c r="J24" s="13"/>
      <c r="K24" s="14"/>
      <c r="L24" s="127">
        <v>212.54</v>
      </c>
      <c r="M24" s="14"/>
      <c r="N24" s="127">
        <v>33.61</v>
      </c>
      <c r="O24" s="14">
        <v>500</v>
      </c>
      <c r="P24" s="13">
        <v>211.65</v>
      </c>
      <c r="Q24" s="14">
        <v>500</v>
      </c>
      <c r="R24" s="13"/>
      <c r="S24" s="14">
        <v>500</v>
      </c>
      <c r="T24" s="14"/>
      <c r="U24" s="14"/>
      <c r="W24" s="2"/>
    </row>
    <row r="25" spans="1:23" x14ac:dyDescent="0.25">
      <c r="A25" s="708">
        <v>5305</v>
      </c>
      <c r="B25" s="12" t="s">
        <v>2088</v>
      </c>
      <c r="C25" s="13"/>
      <c r="D25" s="13"/>
      <c r="E25" s="13"/>
      <c r="F25" s="13"/>
      <c r="G25" s="13"/>
      <c r="H25" s="13"/>
      <c r="I25" s="13"/>
      <c r="J25" s="13"/>
      <c r="K25" s="14"/>
      <c r="L25" s="127">
        <v>30602.77</v>
      </c>
      <c r="M25" s="14"/>
      <c r="N25" s="127">
        <v>49669.85</v>
      </c>
      <c r="O25" s="14">
        <v>35000</v>
      </c>
      <c r="P25" s="13">
        <v>23196.07</v>
      </c>
      <c r="Q25" s="14">
        <v>45000</v>
      </c>
      <c r="R25" s="13">
        <v>15795.25</v>
      </c>
      <c r="S25" s="14">
        <v>45000</v>
      </c>
      <c r="T25" s="14"/>
      <c r="U25" s="14"/>
      <c r="W25" s="2"/>
    </row>
    <row r="26" spans="1:23" x14ac:dyDescent="0.25">
      <c r="A26" s="708">
        <v>5310</v>
      </c>
      <c r="B26" s="12" t="s">
        <v>2089</v>
      </c>
      <c r="C26" s="13">
        <v>12172.69</v>
      </c>
      <c r="D26" s="13">
        <v>14914.04</v>
      </c>
      <c r="E26" s="13">
        <v>14098.49</v>
      </c>
      <c r="F26" s="13">
        <v>21070.639999999999</v>
      </c>
      <c r="G26" s="13">
        <v>5527.94</v>
      </c>
      <c r="H26" s="13">
        <v>6258.04</v>
      </c>
      <c r="I26" s="13">
        <v>7562.31</v>
      </c>
      <c r="J26" s="13">
        <v>3632.98</v>
      </c>
      <c r="K26" s="14">
        <v>6000</v>
      </c>
      <c r="L26" s="13">
        <v>14806.16</v>
      </c>
      <c r="M26" s="14">
        <v>6000</v>
      </c>
      <c r="N26" s="13">
        <v>25182.74</v>
      </c>
      <c r="O26" s="14">
        <v>6000</v>
      </c>
      <c r="P26" s="13">
        <v>23403.85</v>
      </c>
      <c r="Q26" s="14">
        <v>6000</v>
      </c>
      <c r="R26" s="13">
        <v>7863.7</v>
      </c>
      <c r="S26" s="14">
        <v>6000</v>
      </c>
      <c r="T26" s="14"/>
      <c r="U26" s="14"/>
      <c r="W26" s="2"/>
    </row>
    <row r="27" spans="1:23" x14ac:dyDescent="0.25">
      <c r="A27" s="708">
        <v>5319</v>
      </c>
      <c r="B27" s="12" t="s">
        <v>2074</v>
      </c>
      <c r="C27" s="13"/>
      <c r="D27" s="13"/>
      <c r="E27" s="13"/>
      <c r="F27" s="13"/>
      <c r="G27" s="13"/>
      <c r="H27" s="13"/>
      <c r="I27" s="13"/>
      <c r="J27" s="13"/>
      <c r="K27" s="14"/>
      <c r="L27" s="13"/>
      <c r="M27" s="14"/>
      <c r="N27" s="13"/>
      <c r="O27" s="14"/>
      <c r="P27" s="13">
        <v>214.91</v>
      </c>
      <c r="Q27" s="14"/>
      <c r="R27" s="13"/>
      <c r="S27" s="14">
        <v>10000</v>
      </c>
      <c r="T27" s="14"/>
      <c r="U27" s="14"/>
      <c r="W27" s="2"/>
    </row>
    <row r="28" spans="1:23" x14ac:dyDescent="0.25">
      <c r="A28" s="708">
        <v>5320</v>
      </c>
      <c r="B28" s="12" t="s">
        <v>1499</v>
      </c>
      <c r="C28" s="13">
        <v>4819.55</v>
      </c>
      <c r="D28" s="13">
        <v>3932.01</v>
      </c>
      <c r="E28" s="13">
        <v>3421.26</v>
      </c>
      <c r="F28" s="13">
        <v>4986.45</v>
      </c>
      <c r="G28" s="13">
        <v>370</v>
      </c>
      <c r="H28" s="13">
        <v>2304.7600000000002</v>
      </c>
      <c r="I28" s="13">
        <v>3057.15</v>
      </c>
      <c r="J28" s="13">
        <v>8948.39</v>
      </c>
      <c r="K28" s="14">
        <v>5000</v>
      </c>
      <c r="L28" s="13">
        <v>10328.93</v>
      </c>
      <c r="M28" s="14">
        <v>5000</v>
      </c>
      <c r="N28" s="13">
        <v>8719.49</v>
      </c>
      <c r="O28" s="14">
        <v>5000</v>
      </c>
      <c r="P28" s="13">
        <v>4562.58</v>
      </c>
      <c r="Q28" s="14">
        <v>5000</v>
      </c>
      <c r="R28" s="13">
        <v>3686.28</v>
      </c>
      <c r="S28" s="14">
        <v>5000</v>
      </c>
      <c r="T28" s="14"/>
      <c r="U28" s="14"/>
      <c r="W28" s="2"/>
    </row>
    <row r="29" spans="1:23" x14ac:dyDescent="0.25">
      <c r="A29" s="708">
        <v>5340</v>
      </c>
      <c r="B29" s="12" t="s">
        <v>2090</v>
      </c>
      <c r="C29" s="13">
        <v>4512.16</v>
      </c>
      <c r="D29" s="13">
        <v>5927.79</v>
      </c>
      <c r="E29" s="13">
        <v>4900.01</v>
      </c>
      <c r="F29" s="13">
        <v>6659.89</v>
      </c>
      <c r="G29" s="13">
        <v>10068.68</v>
      </c>
      <c r="H29" s="13">
        <v>6947.79</v>
      </c>
      <c r="I29" s="13">
        <v>5122.66</v>
      </c>
      <c r="J29" s="13">
        <v>7895.55</v>
      </c>
      <c r="K29" s="14">
        <v>5500</v>
      </c>
      <c r="L29" s="13">
        <v>12827.09</v>
      </c>
      <c r="M29" s="14">
        <v>6500</v>
      </c>
      <c r="N29" s="13">
        <v>3870.16</v>
      </c>
      <c r="O29" s="14">
        <v>6500</v>
      </c>
      <c r="P29" s="13">
        <v>4459.41</v>
      </c>
      <c r="Q29" s="14">
        <v>6500</v>
      </c>
      <c r="R29" s="13">
        <v>3701.81</v>
      </c>
      <c r="S29" s="14">
        <v>6500</v>
      </c>
      <c r="T29" s="14"/>
      <c r="U29" s="14"/>
      <c r="W29" s="2"/>
    </row>
    <row r="30" spans="1:23" x14ac:dyDescent="0.25">
      <c r="A30" s="708">
        <v>5341</v>
      </c>
      <c r="B30" s="12" t="s">
        <v>2546</v>
      </c>
      <c r="C30" s="13"/>
      <c r="D30" s="13"/>
      <c r="E30" s="13"/>
      <c r="F30" s="13"/>
      <c r="G30" s="13"/>
      <c r="H30" s="13"/>
      <c r="I30" s="13"/>
      <c r="J30" s="13"/>
      <c r="K30" s="14"/>
      <c r="L30" s="13"/>
      <c r="M30" s="14"/>
      <c r="N30" s="13"/>
      <c r="O30" s="14"/>
      <c r="P30" s="13"/>
      <c r="Q30" s="14"/>
      <c r="R30" s="13"/>
      <c r="S30" s="14">
        <v>3500</v>
      </c>
      <c r="T30" s="14"/>
      <c r="U30" s="14"/>
      <c r="W30" s="2"/>
    </row>
    <row r="31" spans="1:23" x14ac:dyDescent="0.25">
      <c r="A31" s="708">
        <v>5360</v>
      </c>
      <c r="B31" s="12" t="s">
        <v>1500</v>
      </c>
      <c r="C31" s="13">
        <v>9859.64</v>
      </c>
      <c r="D31" s="13">
        <v>5291.42</v>
      </c>
      <c r="E31" s="13">
        <v>8758.2900000000009</v>
      </c>
      <c r="F31" s="13">
        <v>2497.3200000000002</v>
      </c>
      <c r="G31" s="13">
        <v>438.84</v>
      </c>
      <c r="H31" s="13">
        <v>833.51</v>
      </c>
      <c r="I31" s="13">
        <v>2535.92</v>
      </c>
      <c r="J31" s="13">
        <v>370.47</v>
      </c>
      <c r="K31" s="14">
        <v>4000</v>
      </c>
      <c r="L31" s="13">
        <v>3472.83</v>
      </c>
      <c r="M31" s="14">
        <v>2500</v>
      </c>
      <c r="N31" s="13">
        <v>8530.2999999999993</v>
      </c>
      <c r="O31" s="14">
        <v>2500</v>
      </c>
      <c r="P31" s="13">
        <v>16317.23</v>
      </c>
      <c r="Q31" s="14">
        <v>5000</v>
      </c>
      <c r="R31" s="13">
        <v>11151.18</v>
      </c>
      <c r="S31" s="14">
        <v>5000</v>
      </c>
      <c r="T31" s="14"/>
      <c r="U31" s="14"/>
      <c r="W31" s="2"/>
    </row>
    <row r="32" spans="1:23" x14ac:dyDescent="0.25">
      <c r="A32" s="708">
        <v>5370</v>
      </c>
      <c r="B32" s="12" t="s">
        <v>1501</v>
      </c>
      <c r="C32" s="13">
        <v>39750.15</v>
      </c>
      <c r="D32" s="13">
        <v>52934.559999999998</v>
      </c>
      <c r="E32" s="13">
        <v>37319.800000000003</v>
      </c>
      <c r="F32" s="13">
        <v>33062.550000000003</v>
      </c>
      <c r="G32" s="13">
        <v>20465.38</v>
      </c>
      <c r="H32" s="13">
        <v>11041.44</v>
      </c>
      <c r="I32" s="13">
        <v>3300.07</v>
      </c>
      <c r="J32" s="13">
        <v>6677.25</v>
      </c>
      <c r="K32" s="14">
        <v>18000</v>
      </c>
      <c r="L32" s="13">
        <f>742.19+14873.95</f>
        <v>15616.140000000001</v>
      </c>
      <c r="M32" s="14">
        <v>13500</v>
      </c>
      <c r="N32" s="13">
        <v>17069.759999999998</v>
      </c>
      <c r="O32" s="14">
        <v>16000</v>
      </c>
      <c r="P32" s="13">
        <v>23178.82</v>
      </c>
      <c r="Q32" s="14">
        <v>16000</v>
      </c>
      <c r="R32" s="13">
        <v>9733.07</v>
      </c>
      <c r="S32" s="14">
        <v>16000</v>
      </c>
      <c r="T32" s="14"/>
      <c r="U32" s="14"/>
      <c r="W32" s="2"/>
    </row>
    <row r="33" spans="1:23" x14ac:dyDescent="0.25">
      <c r="A33" s="708">
        <v>5371</v>
      </c>
      <c r="B33" s="12" t="s">
        <v>1502</v>
      </c>
      <c r="C33" s="13"/>
      <c r="D33" s="13"/>
      <c r="E33" s="13"/>
      <c r="F33" s="13"/>
      <c r="G33" s="13"/>
      <c r="H33" s="13"/>
      <c r="I33" s="13"/>
      <c r="J33" s="13"/>
      <c r="K33" s="14"/>
      <c r="L33" s="13">
        <v>7829.94</v>
      </c>
      <c r="M33" s="14">
        <v>6000</v>
      </c>
      <c r="N33" s="13">
        <v>10988.28</v>
      </c>
      <c r="O33" s="14">
        <v>6000</v>
      </c>
      <c r="P33" s="13">
        <v>72.94</v>
      </c>
      <c r="Q33" s="14">
        <v>6000</v>
      </c>
      <c r="R33" s="13">
        <v>5310.02</v>
      </c>
      <c r="S33" s="14">
        <v>6000</v>
      </c>
      <c r="T33" s="14"/>
      <c r="U33" s="14"/>
      <c r="W33" s="2"/>
    </row>
    <row r="34" spans="1:23" x14ac:dyDescent="0.25">
      <c r="A34" s="708">
        <v>5400</v>
      </c>
      <c r="B34" s="12" t="s">
        <v>2091</v>
      </c>
      <c r="C34" s="13">
        <v>126571.34</v>
      </c>
      <c r="D34" s="13">
        <v>194414.73</v>
      </c>
      <c r="E34" s="13">
        <v>187781.86</v>
      </c>
      <c r="F34" s="13">
        <v>161595.32999999999</v>
      </c>
      <c r="G34" s="13">
        <v>145944.88</v>
      </c>
      <c r="H34" s="13">
        <v>83636.39</v>
      </c>
      <c r="I34" s="13">
        <v>108153.09</v>
      </c>
      <c r="J34" s="13">
        <v>130627.74</v>
      </c>
      <c r="K34" s="14">
        <v>120000</v>
      </c>
      <c r="L34" s="13">
        <v>25710.06</v>
      </c>
      <c r="M34" s="14">
        <v>116000</v>
      </c>
      <c r="N34" s="13">
        <v>7827.55</v>
      </c>
      <c r="O34" s="14">
        <v>72500</v>
      </c>
      <c r="P34" s="13">
        <v>27296.54</v>
      </c>
      <c r="Q34" s="14">
        <v>60000</v>
      </c>
      <c r="R34" s="13">
        <v>21125.72</v>
      </c>
      <c r="S34" s="14">
        <v>50000</v>
      </c>
      <c r="T34" s="14"/>
      <c r="U34" s="14"/>
      <c r="W34" s="2"/>
    </row>
    <row r="35" spans="1:23" x14ac:dyDescent="0.25">
      <c r="A35" s="708">
        <v>5401</v>
      </c>
      <c r="B35" s="12" t="s">
        <v>2092</v>
      </c>
      <c r="C35" s="13"/>
      <c r="D35" s="13"/>
      <c r="E35" s="13"/>
      <c r="F35" s="13"/>
      <c r="G35" s="13"/>
      <c r="H35" s="13"/>
      <c r="I35" s="13"/>
      <c r="J35" s="13"/>
      <c r="K35" s="14"/>
      <c r="L35" s="13">
        <v>3312.65</v>
      </c>
      <c r="M35" s="14"/>
      <c r="N35" s="13">
        <v>22014.17</v>
      </c>
      <c r="O35" s="14">
        <v>5000</v>
      </c>
      <c r="P35" s="13">
        <v>96.42</v>
      </c>
      <c r="Q35" s="14"/>
      <c r="R35" s="13"/>
      <c r="S35" s="14"/>
      <c r="T35" s="14"/>
      <c r="U35" s="14"/>
      <c r="W35" s="2"/>
    </row>
    <row r="36" spans="1:23" x14ac:dyDescent="0.25">
      <c r="A36" s="708">
        <v>5402</v>
      </c>
      <c r="B36" s="12" t="s">
        <v>2093</v>
      </c>
      <c r="C36" s="13"/>
      <c r="D36" s="13"/>
      <c r="E36" s="13"/>
      <c r="F36" s="13"/>
      <c r="G36" s="13"/>
      <c r="H36" s="13"/>
      <c r="I36" s="13"/>
      <c r="J36" s="13"/>
      <c r="K36" s="14"/>
      <c r="L36" s="13">
        <v>27708.65</v>
      </c>
      <c r="M36" s="14"/>
      <c r="N36" s="13">
        <v>19379.96</v>
      </c>
      <c r="O36" s="14">
        <v>30000</v>
      </c>
      <c r="P36" s="13">
        <v>4349.41</v>
      </c>
      <c r="Q36" s="14">
        <v>28000</v>
      </c>
      <c r="R36" s="13">
        <v>17119.740000000002</v>
      </c>
      <c r="S36" s="14">
        <v>28000</v>
      </c>
      <c r="T36" s="14"/>
      <c r="U36" s="14"/>
      <c r="W36" s="2"/>
    </row>
    <row r="37" spans="1:23" x14ac:dyDescent="0.25">
      <c r="A37" s="708">
        <v>5403</v>
      </c>
      <c r="B37" s="12" t="s">
        <v>2094</v>
      </c>
      <c r="C37" s="13"/>
      <c r="D37" s="13"/>
      <c r="E37" s="13"/>
      <c r="F37" s="13"/>
      <c r="G37" s="13"/>
      <c r="H37" s="13"/>
      <c r="I37" s="13"/>
      <c r="J37" s="13"/>
      <c r="K37" s="14"/>
      <c r="L37" s="13">
        <v>6345.81</v>
      </c>
      <c r="M37" s="14"/>
      <c r="N37" s="13">
        <v>7318.88</v>
      </c>
      <c r="O37" s="14">
        <v>7000</v>
      </c>
      <c r="P37" s="13">
        <v>4584.26</v>
      </c>
      <c r="Q37" s="14">
        <v>7000</v>
      </c>
      <c r="R37" s="13">
        <v>3476.92</v>
      </c>
      <c r="S37" s="14">
        <v>7000</v>
      </c>
      <c r="T37" s="14"/>
      <c r="U37" s="14"/>
      <c r="W37" s="2"/>
    </row>
    <row r="38" spans="1:23" hidden="1" x14ac:dyDescent="0.25">
      <c r="A38" s="708">
        <v>5401</v>
      </c>
      <c r="B38" s="12" t="s">
        <v>1503</v>
      </c>
      <c r="C38" s="13"/>
      <c r="D38" s="13"/>
      <c r="E38" s="13"/>
      <c r="F38" s="13"/>
      <c r="G38" s="13"/>
      <c r="H38" s="13"/>
      <c r="I38" s="13"/>
      <c r="J38" s="13"/>
      <c r="K38" s="14"/>
      <c r="L38" s="13"/>
      <c r="M38" s="14">
        <f t="shared" ref="M38:M49" si="2">ROUND((+I38*1.01),0)</f>
        <v>0</v>
      </c>
      <c r="N38" s="13"/>
      <c r="O38" s="14">
        <f>ROUND((+I38*1.01),0)</f>
        <v>0</v>
      </c>
      <c r="P38" s="13"/>
      <c r="Q38" s="14">
        <f>ROUND((+I38*1.01),0)</f>
        <v>0</v>
      </c>
      <c r="R38" s="13"/>
      <c r="S38" s="14">
        <f>ROUND((+K38*1.01),0)</f>
        <v>0</v>
      </c>
      <c r="T38" s="14"/>
      <c r="U38" s="14"/>
      <c r="W38" s="2"/>
    </row>
    <row r="39" spans="1:23" hidden="1" x14ac:dyDescent="0.25">
      <c r="A39" s="708">
        <v>5402</v>
      </c>
      <c r="B39" s="12" t="s">
        <v>1505</v>
      </c>
      <c r="C39" s="13"/>
      <c r="D39" s="13"/>
      <c r="E39" s="13"/>
      <c r="F39" s="13"/>
      <c r="G39" s="13"/>
      <c r="H39" s="13"/>
      <c r="I39" s="13"/>
      <c r="J39" s="13"/>
      <c r="K39" s="14"/>
      <c r="L39" s="13"/>
      <c r="M39" s="14">
        <f t="shared" si="2"/>
        <v>0</v>
      </c>
      <c r="N39" s="13"/>
      <c r="O39" s="14">
        <f>ROUND((+I39*1.01),0)</f>
        <v>0</v>
      </c>
      <c r="P39" s="13"/>
      <c r="Q39" s="14">
        <f>ROUND((+I39*1.01),0)</f>
        <v>0</v>
      </c>
      <c r="R39" s="13"/>
      <c r="S39" s="14">
        <f>ROUND((+K39*1.01),0)</f>
        <v>0</v>
      </c>
      <c r="T39" s="14"/>
      <c r="U39" s="14"/>
      <c r="W39" s="2"/>
    </row>
    <row r="40" spans="1:23" hidden="1" x14ac:dyDescent="0.25">
      <c r="A40" s="708">
        <v>5403</v>
      </c>
      <c r="B40" s="12" t="s">
        <v>1504</v>
      </c>
      <c r="C40" s="13"/>
      <c r="D40" s="13"/>
      <c r="E40" s="13"/>
      <c r="F40" s="13"/>
      <c r="G40" s="13"/>
      <c r="H40" s="13"/>
      <c r="I40" s="13"/>
      <c r="J40" s="13"/>
      <c r="K40" s="14"/>
      <c r="L40" s="13"/>
      <c r="M40" s="14">
        <f t="shared" si="2"/>
        <v>0</v>
      </c>
      <c r="N40" s="13"/>
      <c r="O40" s="14">
        <f>ROUND((+I40*1.01),0)</f>
        <v>0</v>
      </c>
      <c r="P40" s="13"/>
      <c r="Q40" s="14">
        <f>ROUND((+I40*1.01),0)</f>
        <v>0</v>
      </c>
      <c r="R40" s="13"/>
      <c r="S40" s="14">
        <f>ROUND((+K40*1.01),0)</f>
        <v>0</v>
      </c>
      <c r="T40" s="14"/>
      <c r="U40" s="14"/>
      <c r="W40" s="2"/>
    </row>
    <row r="41" spans="1:23" x14ac:dyDescent="0.25">
      <c r="A41" s="708">
        <v>5404</v>
      </c>
      <c r="B41" s="12" t="s">
        <v>2095</v>
      </c>
      <c r="C41" s="13">
        <v>32931.160000000003</v>
      </c>
      <c r="D41" s="13">
        <v>34304.69</v>
      </c>
      <c r="E41" s="13">
        <v>88858.54</v>
      </c>
      <c r="F41" s="13">
        <v>47817.16</v>
      </c>
      <c r="G41" s="13">
        <v>23258.93</v>
      </c>
      <c r="H41" s="13">
        <v>10008.66</v>
      </c>
      <c r="I41" s="13">
        <v>2276.17</v>
      </c>
      <c r="J41" s="13">
        <v>61810.96</v>
      </c>
      <c r="K41" s="14">
        <v>20000</v>
      </c>
      <c r="L41" s="13">
        <v>7122.36</v>
      </c>
      <c r="M41" s="14">
        <v>20000</v>
      </c>
      <c r="N41" s="13">
        <v>32650.69</v>
      </c>
      <c r="O41" s="14">
        <v>20000</v>
      </c>
      <c r="P41" s="13">
        <v>8399.6200000000008</v>
      </c>
      <c r="Q41" s="14">
        <v>21000</v>
      </c>
      <c r="R41" s="13">
        <v>13101.89</v>
      </c>
      <c r="S41" s="14">
        <v>21000</v>
      </c>
      <c r="T41" s="14"/>
      <c r="U41" s="14"/>
      <c r="W41" s="2"/>
    </row>
    <row r="42" spans="1:23" x14ac:dyDescent="0.25">
      <c r="A42" s="708">
        <v>5406</v>
      </c>
      <c r="B42" s="12" t="s">
        <v>1284</v>
      </c>
      <c r="C42" s="13"/>
      <c r="D42" s="13"/>
      <c r="E42" s="13"/>
      <c r="F42" s="13"/>
      <c r="G42" s="13"/>
      <c r="H42" s="13"/>
      <c r="I42" s="13"/>
      <c r="J42" s="13"/>
      <c r="K42" s="14"/>
      <c r="L42" s="13">
        <v>1528.49</v>
      </c>
      <c r="M42" s="14">
        <v>3000</v>
      </c>
      <c r="N42" s="13">
        <v>6049.43</v>
      </c>
      <c r="O42" s="14">
        <v>3000</v>
      </c>
      <c r="P42" s="13">
        <v>14926.02</v>
      </c>
      <c r="Q42" s="14">
        <v>10000</v>
      </c>
      <c r="R42" s="13">
        <v>13335.32</v>
      </c>
      <c r="S42" s="14">
        <v>15000</v>
      </c>
      <c r="T42" s="14"/>
      <c r="U42" s="14"/>
      <c r="W42" s="2"/>
    </row>
    <row r="43" spans="1:23" x14ac:dyDescent="0.25">
      <c r="A43" s="708">
        <v>5407</v>
      </c>
      <c r="B43" s="12" t="s">
        <v>2096</v>
      </c>
      <c r="C43" s="13"/>
      <c r="D43" s="13"/>
      <c r="E43" s="13"/>
      <c r="F43" s="13"/>
      <c r="G43" s="13"/>
      <c r="H43" s="13"/>
      <c r="I43" s="13"/>
      <c r="J43" s="13"/>
      <c r="K43" s="14"/>
      <c r="L43" s="13">
        <v>1187.33</v>
      </c>
      <c r="M43" s="14">
        <f t="shared" si="2"/>
        <v>0</v>
      </c>
      <c r="N43" s="13">
        <v>8708.18</v>
      </c>
      <c r="O43" s="14">
        <v>1500</v>
      </c>
      <c r="P43" s="13">
        <v>1717.46</v>
      </c>
      <c r="Q43" s="14">
        <v>1500</v>
      </c>
      <c r="R43" s="13"/>
      <c r="S43" s="14">
        <v>1500</v>
      </c>
      <c r="T43" s="14"/>
      <c r="U43" s="14"/>
      <c r="W43" s="2"/>
    </row>
    <row r="44" spans="1:23" x14ac:dyDescent="0.25">
      <c r="A44" s="708">
        <v>5408</v>
      </c>
      <c r="B44" s="12" t="s">
        <v>1506</v>
      </c>
      <c r="C44" s="13"/>
      <c r="D44" s="13"/>
      <c r="E44" s="13"/>
      <c r="F44" s="13"/>
      <c r="G44" s="13"/>
      <c r="H44" s="13"/>
      <c r="I44" s="13"/>
      <c r="J44" s="13"/>
      <c r="K44" s="14"/>
      <c r="L44" s="13">
        <v>304.92</v>
      </c>
      <c r="M44" s="14">
        <v>1000</v>
      </c>
      <c r="N44" s="13">
        <v>495.23</v>
      </c>
      <c r="O44" s="14">
        <v>1000</v>
      </c>
      <c r="P44" s="13">
        <v>500</v>
      </c>
      <c r="Q44" s="14"/>
      <c r="R44" s="13"/>
      <c r="S44" s="14"/>
      <c r="T44" s="14"/>
      <c r="U44" s="14"/>
      <c r="W44" s="2"/>
    </row>
    <row r="45" spans="1:23" x14ac:dyDescent="0.25">
      <c r="A45" s="708">
        <v>5409</v>
      </c>
      <c r="B45" s="12" t="s">
        <v>1507</v>
      </c>
      <c r="C45" s="13"/>
      <c r="D45" s="13"/>
      <c r="E45" s="13"/>
      <c r="F45" s="13"/>
      <c r="G45" s="13"/>
      <c r="H45" s="13"/>
      <c r="I45" s="13"/>
      <c r="J45" s="13"/>
      <c r="K45" s="14"/>
      <c r="L45" s="13">
        <v>10685.36</v>
      </c>
      <c r="M45" s="14"/>
      <c r="N45" s="13">
        <v>3015.93</v>
      </c>
      <c r="O45" s="14">
        <v>10000</v>
      </c>
      <c r="P45" s="13">
        <v>1355.6</v>
      </c>
      <c r="Q45" s="14">
        <v>10000</v>
      </c>
      <c r="R45" s="13">
        <v>1092.57</v>
      </c>
      <c r="S45" s="14">
        <v>10000</v>
      </c>
      <c r="T45" s="14"/>
      <c r="U45" s="14"/>
      <c r="W45" s="2"/>
    </row>
    <row r="46" spans="1:23" x14ac:dyDescent="0.25">
      <c r="A46" s="708">
        <v>5410</v>
      </c>
      <c r="B46" s="12" t="s">
        <v>2097</v>
      </c>
      <c r="C46" s="13">
        <v>21656.47</v>
      </c>
      <c r="D46" s="13">
        <v>25981.439999999999</v>
      </c>
      <c r="E46" s="13">
        <v>46877.97</v>
      </c>
      <c r="F46" s="13">
        <v>12200.02</v>
      </c>
      <c r="G46" s="13">
        <v>8605.7999999999993</v>
      </c>
      <c r="H46" s="13">
        <v>19472.38</v>
      </c>
      <c r="I46" s="13">
        <v>31174.57</v>
      </c>
      <c r="J46" s="13">
        <v>57417.25</v>
      </c>
      <c r="K46" s="14">
        <v>30000</v>
      </c>
      <c r="L46" s="13">
        <v>26884.77</v>
      </c>
      <c r="M46" s="14">
        <v>30000</v>
      </c>
      <c r="N46" s="13">
        <v>57237.17</v>
      </c>
      <c r="O46" s="14">
        <v>30000</v>
      </c>
      <c r="P46" s="13">
        <v>33244.58</v>
      </c>
      <c r="Q46" s="14">
        <v>40000</v>
      </c>
      <c r="R46" s="13">
        <v>953.75</v>
      </c>
      <c r="S46" s="14">
        <v>40000</v>
      </c>
      <c r="T46" s="14"/>
      <c r="U46" s="14"/>
      <c r="W46" s="2"/>
    </row>
    <row r="47" spans="1:23" x14ac:dyDescent="0.25">
      <c r="A47" s="708">
        <v>5411</v>
      </c>
      <c r="B47" s="12" t="s">
        <v>1508</v>
      </c>
      <c r="C47" s="13"/>
      <c r="D47" s="13"/>
      <c r="E47" s="13"/>
      <c r="F47" s="13"/>
      <c r="G47" s="13"/>
      <c r="H47" s="13"/>
      <c r="I47" s="13"/>
      <c r="J47" s="13"/>
      <c r="K47" s="14">
        <v>10000</v>
      </c>
      <c r="L47" s="13">
        <v>30782.02</v>
      </c>
      <c r="M47" s="14">
        <v>10000</v>
      </c>
      <c r="N47" s="13">
        <v>23308.19</v>
      </c>
      <c r="O47" s="14">
        <v>10000</v>
      </c>
      <c r="P47" s="13">
        <v>6118.53</v>
      </c>
      <c r="Q47" s="14"/>
      <c r="R47" s="13"/>
      <c r="S47" s="14"/>
      <c r="T47" s="14"/>
      <c r="U47" s="14"/>
      <c r="W47" s="2"/>
    </row>
    <row r="48" spans="1:23" x14ac:dyDescent="0.25">
      <c r="A48" s="708">
        <v>5415</v>
      </c>
      <c r="B48" s="12" t="s">
        <v>1163</v>
      </c>
      <c r="C48" s="13"/>
      <c r="D48" s="13"/>
      <c r="E48" s="13"/>
      <c r="F48" s="13"/>
      <c r="G48" s="13"/>
      <c r="H48" s="13"/>
      <c r="I48" s="13"/>
      <c r="J48" s="13"/>
      <c r="K48" s="14"/>
      <c r="L48" s="13">
        <v>2565.2399999999998</v>
      </c>
      <c r="M48" s="14">
        <f t="shared" si="2"/>
        <v>0</v>
      </c>
      <c r="N48" s="13">
        <v>1965.51</v>
      </c>
      <c r="O48" s="14">
        <v>4000</v>
      </c>
      <c r="P48" s="13"/>
      <c r="Q48" s="14">
        <v>4000</v>
      </c>
      <c r="R48" s="13"/>
      <c r="S48" s="14">
        <v>4000</v>
      </c>
      <c r="T48" s="14"/>
      <c r="U48" s="14"/>
      <c r="W48" s="2"/>
    </row>
    <row r="49" spans="1:23" x14ac:dyDescent="0.25">
      <c r="A49" s="708">
        <v>5418</v>
      </c>
      <c r="B49" s="12" t="s">
        <v>1509</v>
      </c>
      <c r="C49" s="13"/>
      <c r="D49" s="13"/>
      <c r="E49" s="13"/>
      <c r="F49" s="13"/>
      <c r="G49" s="13"/>
      <c r="H49" s="13"/>
      <c r="I49" s="13"/>
      <c r="J49" s="13"/>
      <c r="K49" s="14"/>
      <c r="L49" s="13">
        <v>10413.18</v>
      </c>
      <c r="M49" s="14">
        <f t="shared" si="2"/>
        <v>0</v>
      </c>
      <c r="N49" s="13">
        <v>13567.16</v>
      </c>
      <c r="O49" s="14">
        <v>20000</v>
      </c>
      <c r="P49" s="13">
        <v>24609.57</v>
      </c>
      <c r="Q49" s="14">
        <f>3360+20000</f>
        <v>23360</v>
      </c>
      <c r="R49" s="13">
        <v>5491.17</v>
      </c>
      <c r="S49" s="14">
        <v>23000</v>
      </c>
      <c r="T49" s="14"/>
      <c r="U49" s="14"/>
      <c r="W49" s="2"/>
    </row>
    <row r="50" spans="1:23" x14ac:dyDescent="0.25">
      <c r="A50" s="708">
        <v>5430</v>
      </c>
      <c r="B50" s="12" t="s">
        <v>1510</v>
      </c>
      <c r="C50" s="13">
        <v>16058.02</v>
      </c>
      <c r="D50" s="13">
        <v>23466.39</v>
      </c>
      <c r="E50" s="13">
        <v>24610.799999999999</v>
      </c>
      <c r="F50" s="13">
        <v>55782.86</v>
      </c>
      <c r="G50" s="13">
        <v>16029</v>
      </c>
      <c r="H50" s="13">
        <v>705</v>
      </c>
      <c r="I50" s="13">
        <v>2195.85</v>
      </c>
      <c r="J50" s="13">
        <v>16468.03</v>
      </c>
      <c r="K50" s="14">
        <v>20000</v>
      </c>
      <c r="L50" s="13">
        <v>15671.5</v>
      </c>
      <c r="M50" s="14">
        <v>20000</v>
      </c>
      <c r="N50" s="13">
        <v>16053</v>
      </c>
      <c r="O50" s="14">
        <v>20000</v>
      </c>
      <c r="P50" s="13">
        <v>20572</v>
      </c>
      <c r="Q50" s="14"/>
      <c r="R50" s="127"/>
      <c r="S50" s="14"/>
      <c r="T50" s="14"/>
      <c r="U50" s="14"/>
      <c r="W50" s="2"/>
    </row>
    <row r="51" spans="1:23" x14ac:dyDescent="0.25">
      <c r="A51" s="708">
        <v>5440</v>
      </c>
      <c r="B51" s="12" t="s">
        <v>1511</v>
      </c>
      <c r="C51" s="13">
        <v>46269.23</v>
      </c>
      <c r="D51" s="13">
        <v>31458.29</v>
      </c>
      <c r="E51" s="13">
        <v>19023.48</v>
      </c>
      <c r="F51" s="13">
        <v>30718.17</v>
      </c>
      <c r="G51" s="13">
        <v>67408.289999999994</v>
      </c>
      <c r="H51" s="13">
        <v>26522.48</v>
      </c>
      <c r="I51" s="13">
        <f>140+218+130.08+47257.64</f>
        <v>47745.72</v>
      </c>
      <c r="J51" s="13">
        <v>31422.400000000001</v>
      </c>
      <c r="K51" s="14">
        <v>35000</v>
      </c>
      <c r="L51" s="13">
        <v>7344.51</v>
      </c>
      <c r="M51" s="14">
        <v>29000</v>
      </c>
      <c r="N51" s="13">
        <v>32143.93</v>
      </c>
      <c r="O51" s="14">
        <v>19000</v>
      </c>
      <c r="P51" s="13">
        <v>33362.32</v>
      </c>
      <c r="Q51" s="14">
        <v>19000</v>
      </c>
      <c r="R51" s="127">
        <v>13309.57</v>
      </c>
      <c r="S51" s="14">
        <v>19000</v>
      </c>
      <c r="T51" s="14"/>
      <c r="U51" s="14"/>
      <c r="W51" s="2"/>
    </row>
    <row r="52" spans="1:23" x14ac:dyDescent="0.25">
      <c r="A52" s="708">
        <v>5446</v>
      </c>
      <c r="B52" s="12" t="s">
        <v>2098</v>
      </c>
      <c r="C52" s="13"/>
      <c r="D52" s="13"/>
      <c r="E52" s="13"/>
      <c r="F52" s="13"/>
      <c r="G52" s="13"/>
      <c r="H52" s="13"/>
      <c r="I52" s="13"/>
      <c r="J52" s="13"/>
      <c r="K52" s="14"/>
      <c r="L52" s="13">
        <v>8951.2199999999993</v>
      </c>
      <c r="M52" s="14">
        <v>6000</v>
      </c>
      <c r="N52" s="13">
        <v>21430.98</v>
      </c>
      <c r="O52" s="14">
        <v>12000</v>
      </c>
      <c r="P52" s="13">
        <v>14614.37</v>
      </c>
      <c r="Q52" s="14">
        <v>12000</v>
      </c>
      <c r="R52" s="127">
        <v>7078.96</v>
      </c>
      <c r="S52" s="14">
        <v>12000</v>
      </c>
      <c r="T52" s="14"/>
      <c r="U52" s="14"/>
      <c r="W52" s="2"/>
    </row>
    <row r="53" spans="1:23" x14ac:dyDescent="0.25">
      <c r="A53" s="708">
        <v>5470</v>
      </c>
      <c r="B53" s="12" t="s">
        <v>1512</v>
      </c>
      <c r="C53" s="13"/>
      <c r="D53" s="13"/>
      <c r="E53" s="13"/>
      <c r="F53" s="13"/>
      <c r="G53" s="13"/>
      <c r="H53" s="13"/>
      <c r="I53" s="13">
        <v>29042</v>
      </c>
      <c r="J53" s="13">
        <v>52923.28</v>
      </c>
      <c r="K53" s="14">
        <v>60000</v>
      </c>
      <c r="L53" s="13">
        <v>42409.71</v>
      </c>
      <c r="M53" s="14">
        <v>60000</v>
      </c>
      <c r="N53" s="13">
        <v>40929.5</v>
      </c>
      <c r="O53" s="14">
        <v>30000</v>
      </c>
      <c r="P53" s="13">
        <v>62603.71</v>
      </c>
      <c r="Q53" s="14">
        <f>-3360+30000</f>
        <v>26640</v>
      </c>
      <c r="R53" s="127">
        <v>16690.580000000002</v>
      </c>
      <c r="S53" s="14">
        <f>-3360+30000</f>
        <v>26640</v>
      </c>
      <c r="T53" s="14"/>
      <c r="U53" s="14"/>
      <c r="W53" s="2"/>
    </row>
    <row r="54" spans="1:23" x14ac:dyDescent="0.25">
      <c r="A54" s="708">
        <v>5480</v>
      </c>
      <c r="B54" s="12" t="s">
        <v>2099</v>
      </c>
      <c r="C54" s="13">
        <v>11760.01</v>
      </c>
      <c r="D54" s="13">
        <v>11814.95</v>
      </c>
      <c r="E54" s="13">
        <v>9174.5300000000007</v>
      </c>
      <c r="F54" s="13">
        <v>8255.25</v>
      </c>
      <c r="G54" s="13">
        <v>2520.9499999999998</v>
      </c>
      <c r="H54" s="13">
        <v>3482.22</v>
      </c>
      <c r="I54" s="13">
        <v>2718.38</v>
      </c>
      <c r="J54" s="13">
        <v>4500.5600000000004</v>
      </c>
      <c r="K54" s="14">
        <v>6000</v>
      </c>
      <c r="L54" s="13">
        <v>4664.33</v>
      </c>
      <c r="M54" s="14">
        <v>6000</v>
      </c>
      <c r="N54" s="13">
        <v>3434.3</v>
      </c>
      <c r="O54" s="14">
        <v>6000</v>
      </c>
      <c r="P54" s="13">
        <v>7785.21</v>
      </c>
      <c r="Q54" s="14">
        <v>3000</v>
      </c>
      <c r="R54" s="127">
        <v>1073.78</v>
      </c>
      <c r="S54" s="14">
        <v>3000</v>
      </c>
      <c r="T54" s="14"/>
      <c r="U54" s="14"/>
      <c r="W54" s="2"/>
    </row>
    <row r="55" spans="1:23" x14ac:dyDescent="0.25">
      <c r="A55" s="708">
        <v>5481</v>
      </c>
      <c r="B55" s="12" t="s">
        <v>2075</v>
      </c>
      <c r="C55" s="13"/>
      <c r="D55" s="13"/>
      <c r="E55" s="13"/>
      <c r="F55" s="13"/>
      <c r="G55" s="13"/>
      <c r="H55" s="13"/>
      <c r="I55" s="13"/>
      <c r="J55" s="13"/>
      <c r="K55" s="14"/>
      <c r="L55" s="13"/>
      <c r="M55" s="14"/>
      <c r="N55" s="13"/>
      <c r="O55" s="14"/>
      <c r="P55" s="13">
        <v>110.24</v>
      </c>
      <c r="Q55" s="14">
        <v>3000</v>
      </c>
      <c r="R55" s="127">
        <v>894.73</v>
      </c>
      <c r="S55" s="14">
        <v>3000</v>
      </c>
      <c r="T55" s="14"/>
      <c r="U55" s="14"/>
      <c r="W55" s="2"/>
    </row>
    <row r="56" spans="1:23" x14ac:dyDescent="0.25">
      <c r="A56" s="708">
        <v>5582</v>
      </c>
      <c r="B56" s="12" t="s">
        <v>1040</v>
      </c>
      <c r="C56" s="13"/>
      <c r="D56" s="13"/>
      <c r="E56" s="126">
        <v>2212.6999999999998</v>
      </c>
      <c r="F56" s="13">
        <v>1514.61</v>
      </c>
      <c r="G56" s="13">
        <v>379.24</v>
      </c>
      <c r="H56" s="13">
        <v>1023.51</v>
      </c>
      <c r="I56" s="13">
        <v>220.23</v>
      </c>
      <c r="J56" s="13">
        <v>952.64</v>
      </c>
      <c r="K56" s="14">
        <v>4000</v>
      </c>
      <c r="L56" s="13">
        <v>3322.24</v>
      </c>
      <c r="M56" s="14">
        <v>4200</v>
      </c>
      <c r="N56" s="13">
        <v>4486.79</v>
      </c>
      <c r="O56" s="14">
        <f>500+4200</f>
        <v>4700</v>
      </c>
      <c r="P56" s="13">
        <v>6925.98</v>
      </c>
      <c r="Q56" s="14">
        <v>9000</v>
      </c>
      <c r="R56" s="127">
        <v>6143.01</v>
      </c>
      <c r="S56" s="14">
        <v>12600</v>
      </c>
      <c r="T56" s="14"/>
      <c r="U56" s="14"/>
      <c r="W56" s="2"/>
    </row>
    <row r="57" spans="1:23" x14ac:dyDescent="0.25">
      <c r="A57" s="708">
        <v>5740</v>
      </c>
      <c r="B57" s="12" t="s">
        <v>1435</v>
      </c>
      <c r="C57" s="13">
        <v>6951.15</v>
      </c>
      <c r="D57" s="13">
        <v>6305.91</v>
      </c>
      <c r="E57" s="13">
        <v>7591.82</v>
      </c>
      <c r="F57" s="13">
        <v>7971.28</v>
      </c>
      <c r="G57" s="13">
        <v>10517.6</v>
      </c>
      <c r="H57" s="13">
        <v>10436</v>
      </c>
      <c r="I57" s="13">
        <v>17776</v>
      </c>
      <c r="J57" s="13">
        <v>18246.73</v>
      </c>
      <c r="K57" s="14">
        <v>20000</v>
      </c>
      <c r="L57" s="13">
        <v>21834</v>
      </c>
      <c r="M57" s="14">
        <v>25000</v>
      </c>
      <c r="N57" s="13">
        <v>24037.65</v>
      </c>
      <c r="O57" s="14">
        <v>25000</v>
      </c>
      <c r="P57" s="13">
        <v>22707</v>
      </c>
      <c r="Q57" s="14">
        <v>25000</v>
      </c>
      <c r="R57" s="127">
        <v>22894</v>
      </c>
      <c r="S57" s="14">
        <v>25000</v>
      </c>
      <c r="T57" s="14"/>
      <c r="U57" s="14"/>
      <c r="W57" s="2"/>
    </row>
    <row r="58" spans="1:23" x14ac:dyDescent="0.25">
      <c r="A58" s="708">
        <v>5790</v>
      </c>
      <c r="B58" s="12" t="s">
        <v>1468</v>
      </c>
      <c r="C58" s="13">
        <v>38596</v>
      </c>
      <c r="D58" s="13">
        <v>39392</v>
      </c>
      <c r="E58" s="13">
        <v>41414</v>
      </c>
      <c r="F58" s="13">
        <v>42591</v>
      </c>
      <c r="G58" s="13">
        <v>43023</v>
      </c>
      <c r="H58" s="13">
        <v>46615</v>
      </c>
      <c r="I58" s="127">
        <v>48296</v>
      </c>
      <c r="J58" s="127">
        <v>48712</v>
      </c>
      <c r="K58" s="14">
        <v>51506</v>
      </c>
      <c r="L58" s="127">
        <v>51506</v>
      </c>
      <c r="M58" s="14">
        <v>54087</v>
      </c>
      <c r="N58" s="127">
        <v>54087</v>
      </c>
      <c r="O58" s="14">
        <v>49590</v>
      </c>
      <c r="P58" s="13">
        <v>49590</v>
      </c>
      <c r="Q58" s="14">
        <v>52512</v>
      </c>
      <c r="R58" s="127">
        <v>52512</v>
      </c>
      <c r="S58" s="14">
        <f>+Overhead!D12</f>
        <v>50511</v>
      </c>
      <c r="T58" s="14"/>
      <c r="U58" s="14"/>
      <c r="W58" s="2"/>
    </row>
    <row r="59" spans="1:23" x14ac:dyDescent="0.25">
      <c r="A59" s="708">
        <v>5791</v>
      </c>
      <c r="B59" s="60" t="s">
        <v>2076</v>
      </c>
      <c r="C59" s="13">
        <v>3000</v>
      </c>
      <c r="D59" s="13">
        <v>4000</v>
      </c>
      <c r="E59" s="13">
        <v>5000</v>
      </c>
      <c r="F59" s="13">
        <v>5500</v>
      </c>
      <c r="G59" s="13">
        <v>5500</v>
      </c>
      <c r="H59" s="13">
        <v>5500</v>
      </c>
      <c r="I59" s="13">
        <v>5500</v>
      </c>
      <c r="J59" s="13">
        <v>11000</v>
      </c>
      <c r="K59" s="14">
        <v>5500</v>
      </c>
      <c r="L59" s="13"/>
      <c r="M59" s="14">
        <v>5500</v>
      </c>
      <c r="N59" s="13">
        <v>5500</v>
      </c>
      <c r="O59" s="14">
        <v>5500</v>
      </c>
      <c r="P59" s="13">
        <v>5500</v>
      </c>
      <c r="Q59" s="14">
        <v>5500</v>
      </c>
      <c r="R59" s="13">
        <v>5500</v>
      </c>
      <c r="S59" s="14">
        <v>7500</v>
      </c>
      <c r="T59" s="14"/>
      <c r="U59" s="14"/>
      <c r="W59" s="2"/>
    </row>
    <row r="60" spans="1:23" x14ac:dyDescent="0.25">
      <c r="A60" s="708">
        <v>5795</v>
      </c>
      <c r="B60" s="12" t="s">
        <v>1513</v>
      </c>
      <c r="C60" s="13">
        <v>179806</v>
      </c>
      <c r="D60" s="13">
        <v>184545</v>
      </c>
      <c r="E60" s="13">
        <v>189158.6</v>
      </c>
      <c r="F60" s="13">
        <v>193887.56</v>
      </c>
      <c r="G60" s="13">
        <v>198743.77</v>
      </c>
      <c r="H60" s="13">
        <v>203703.14</v>
      </c>
      <c r="I60" s="13">
        <f>52198.93+52198.93+52198.93+104069.34-I61</f>
        <v>208795.72</v>
      </c>
      <c r="J60" s="13">
        <v>214015</v>
      </c>
      <c r="K60" s="14">
        <v>220000</v>
      </c>
      <c r="L60" s="13">
        <v>219365.4</v>
      </c>
      <c r="M60" s="14">
        <v>220000</v>
      </c>
      <c r="N60" s="13">
        <v>224849</v>
      </c>
      <c r="O60" s="14">
        <v>220000</v>
      </c>
      <c r="P60" s="13">
        <v>230470</v>
      </c>
      <c r="Q60" s="14">
        <v>236232</v>
      </c>
      <c r="R60" s="13">
        <v>59058</v>
      </c>
      <c r="S60" s="14">
        <v>242138</v>
      </c>
      <c r="T60" s="14"/>
      <c r="U60" s="14"/>
      <c r="W60" s="2"/>
    </row>
    <row r="61" spans="1:23" x14ac:dyDescent="0.25">
      <c r="A61" s="727">
        <v>5796</v>
      </c>
      <c r="B61" s="60" t="s">
        <v>1514</v>
      </c>
      <c r="C61" s="13"/>
      <c r="D61" s="13"/>
      <c r="E61" s="13"/>
      <c r="F61" s="13"/>
      <c r="G61" s="13"/>
      <c r="H61" s="13"/>
      <c r="I61" s="13">
        <v>51870.41</v>
      </c>
      <c r="J61" s="13"/>
      <c r="K61" s="14">
        <v>55000</v>
      </c>
      <c r="L61" s="13"/>
      <c r="M61" s="14">
        <v>55000</v>
      </c>
      <c r="N61" s="13">
        <v>39507.51</v>
      </c>
      <c r="O61" s="14">
        <v>0</v>
      </c>
      <c r="P61" s="13"/>
      <c r="Q61" s="14">
        <v>55000</v>
      </c>
      <c r="R61" s="13"/>
      <c r="S61" s="1336">
        <v>94668</v>
      </c>
      <c r="T61" s="14"/>
      <c r="U61" s="14"/>
      <c r="W61" s="2"/>
    </row>
    <row r="62" spans="1:23" hidden="1" x14ac:dyDescent="0.25">
      <c r="A62" s="727"/>
      <c r="B62" s="60" t="s">
        <v>1515</v>
      </c>
      <c r="C62" s="13"/>
      <c r="D62" s="13">
        <v>57682.44</v>
      </c>
      <c r="E62" s="13"/>
      <c r="F62" s="13"/>
      <c r="G62" s="13"/>
      <c r="H62" s="13"/>
      <c r="I62" s="13"/>
      <c r="J62" s="13"/>
      <c r="K62" s="14"/>
      <c r="L62" s="13"/>
      <c r="M62" s="14"/>
      <c r="N62" s="13"/>
      <c r="O62" s="14"/>
      <c r="P62" s="13"/>
      <c r="Q62" s="14"/>
      <c r="R62" s="13"/>
      <c r="S62" s="14"/>
      <c r="T62" s="14"/>
      <c r="U62" s="14"/>
      <c r="W62" s="2"/>
    </row>
    <row r="63" spans="1:23" ht="13.8" thickBot="1" x14ac:dyDescent="0.3">
      <c r="A63" s="727">
        <v>5780</v>
      </c>
      <c r="B63" s="60" t="s">
        <v>1516</v>
      </c>
      <c r="C63" s="127"/>
      <c r="D63" s="127"/>
      <c r="E63" s="127"/>
      <c r="F63" s="127"/>
      <c r="G63" s="127"/>
      <c r="H63" s="127"/>
      <c r="I63" s="252"/>
      <c r="J63" s="252"/>
      <c r="K63" s="16"/>
      <c r="L63" s="252"/>
      <c r="M63" s="16">
        <v>68172</v>
      </c>
      <c r="N63" s="252"/>
      <c r="O63" s="16">
        <v>68172</v>
      </c>
      <c r="P63" s="15"/>
      <c r="Q63" s="16">
        <v>98000</v>
      </c>
      <c r="R63" s="252"/>
      <c r="S63" s="16">
        <v>98000</v>
      </c>
      <c r="T63" s="16"/>
      <c r="U63" s="16"/>
      <c r="V63" s="589" t="s">
        <v>1517</v>
      </c>
      <c r="W63" s="2"/>
    </row>
    <row r="64" spans="1:23" x14ac:dyDescent="0.25">
      <c r="A64" s="728"/>
      <c r="B64" s="661" t="s">
        <v>728</v>
      </c>
      <c r="C64" s="28">
        <f t="shared" ref="C64:H64" si="3">SUM(C18:C62)</f>
        <v>886974.85000000009</v>
      </c>
      <c r="D64" s="28">
        <f t="shared" si="3"/>
        <v>958923.7899999998</v>
      </c>
      <c r="E64" s="28">
        <f t="shared" si="3"/>
        <v>957063.42999999993</v>
      </c>
      <c r="F64" s="28">
        <f t="shared" si="3"/>
        <v>957874.57000000007</v>
      </c>
      <c r="G64" s="28">
        <f t="shared" si="3"/>
        <v>1006447.3</v>
      </c>
      <c r="H64" s="28">
        <f t="shared" si="3"/>
        <v>1042208.1100000001</v>
      </c>
      <c r="I64" s="28">
        <f>SUM(I18:I63)</f>
        <v>1112125.8699999999</v>
      </c>
      <c r="J64" s="28">
        <f>SUM(J18:J63)</f>
        <v>1126104.8500000001</v>
      </c>
      <c r="K64" s="798">
        <f>SUM(K18:K63)</f>
        <v>1124506</v>
      </c>
      <c r="L64" s="28">
        <f>SUM(L18:L62)</f>
        <v>1054682.45</v>
      </c>
      <c r="M64" s="798">
        <f>SUM(M18:M63)</f>
        <v>1201959</v>
      </c>
      <c r="N64" s="28">
        <f>SUM(N18:N62)</f>
        <v>1173716.5000000002</v>
      </c>
      <c r="O64" s="798">
        <f>SUM(O18:O63)</f>
        <v>1358162</v>
      </c>
      <c r="P64" s="28">
        <f>SUM(P18:P63)</f>
        <v>1186834.5899999999</v>
      </c>
      <c r="Q64" s="798">
        <f>SUM(Q18:Q63)</f>
        <v>1448644</v>
      </c>
      <c r="R64" s="28">
        <f>SUM(R18:R63)</f>
        <v>578051.57000000007</v>
      </c>
      <c r="S64" s="798">
        <f>SUM(S18:S63)</f>
        <v>1523957</v>
      </c>
      <c r="T64" s="798">
        <f>+S64</f>
        <v>1523957</v>
      </c>
      <c r="U64" s="29">
        <f>+S64</f>
        <v>1523957</v>
      </c>
      <c r="W64" s="2"/>
    </row>
    <row r="65" spans="1:25" x14ac:dyDescent="0.25">
      <c r="A65" s="727"/>
      <c r="B65" s="61"/>
      <c r="C65" s="13"/>
      <c r="D65" s="13"/>
      <c r="E65" s="13"/>
      <c r="F65" s="13"/>
      <c r="G65" s="13"/>
      <c r="H65" s="13"/>
      <c r="I65" s="13"/>
      <c r="J65" s="13"/>
      <c r="K65" s="14"/>
      <c r="L65" s="13"/>
      <c r="M65" s="14"/>
      <c r="N65" s="13"/>
      <c r="O65" s="14"/>
      <c r="P65" s="13"/>
      <c r="Q65" s="14"/>
      <c r="R65" s="13"/>
      <c r="S65" s="14"/>
      <c r="T65" s="14"/>
      <c r="U65" s="14"/>
      <c r="W65" s="2"/>
    </row>
    <row r="66" spans="1:25" x14ac:dyDescent="0.25">
      <c r="A66" s="727">
        <v>5800</v>
      </c>
      <c r="B66" s="60" t="s">
        <v>1518</v>
      </c>
      <c r="C66" s="13"/>
      <c r="D66" s="13"/>
      <c r="E66" s="13"/>
      <c r="F66" s="13"/>
      <c r="G66" s="13"/>
      <c r="H66" s="13"/>
      <c r="I66" s="13"/>
      <c r="J66" s="13"/>
      <c r="K66" s="14"/>
      <c r="L66" s="13"/>
      <c r="M66" s="14">
        <v>58500</v>
      </c>
      <c r="N66" s="13">
        <v>36282.39</v>
      </c>
      <c r="O66" s="14">
        <v>58500</v>
      </c>
      <c r="P66" s="13">
        <v>48376.52</v>
      </c>
      <c r="Q66" s="14">
        <v>58500</v>
      </c>
      <c r="R66" s="13">
        <v>36282.39</v>
      </c>
      <c r="S66" s="14">
        <v>58500</v>
      </c>
      <c r="T66" s="14">
        <f>+S66</f>
        <v>58500</v>
      </c>
      <c r="U66" s="14">
        <f>+S66</f>
        <v>58500</v>
      </c>
      <c r="W66" s="2"/>
    </row>
    <row r="67" spans="1:25" x14ac:dyDescent="0.25">
      <c r="A67" s="729"/>
      <c r="B67" s="17" t="s">
        <v>829</v>
      </c>
      <c r="C67" s="35"/>
      <c r="D67" s="35"/>
      <c r="E67" s="35"/>
      <c r="F67" s="35"/>
      <c r="G67" s="35"/>
      <c r="H67" s="35"/>
      <c r="I67" s="35"/>
      <c r="J67" s="35"/>
      <c r="K67" s="36"/>
      <c r="L67" s="35"/>
      <c r="M67" s="36"/>
      <c r="N67" s="35"/>
      <c r="O67" s="36"/>
      <c r="P67" s="35"/>
      <c r="Q67" s="36"/>
      <c r="R67" s="35"/>
      <c r="S67" s="36"/>
      <c r="T67" s="36"/>
      <c r="U67" s="36"/>
      <c r="W67" s="2"/>
    </row>
    <row r="68" spans="1:25" ht="13.8" thickBot="1" x14ac:dyDescent="0.3">
      <c r="A68" s="708"/>
      <c r="B68" s="12"/>
      <c r="C68" s="35"/>
      <c r="D68" s="35"/>
      <c r="E68" s="35"/>
      <c r="F68" s="35"/>
      <c r="G68" s="35"/>
      <c r="H68" s="35"/>
      <c r="I68" s="15"/>
      <c r="J68" s="15"/>
      <c r="K68" s="16"/>
      <c r="L68" s="15"/>
      <c r="M68" s="16"/>
      <c r="N68" s="15"/>
      <c r="O68" s="16"/>
      <c r="P68" s="15"/>
      <c r="Q68" s="16"/>
      <c r="R68" s="15"/>
      <c r="S68" s="16"/>
      <c r="T68" s="16"/>
      <c r="U68" s="16"/>
    </row>
    <row r="69" spans="1:25" ht="13.8" thickBot="1" x14ac:dyDescent="0.3">
      <c r="A69" s="709"/>
      <c r="B69" s="20" t="s">
        <v>569</v>
      </c>
      <c r="C69" s="21">
        <f t="shared" ref="C69:H69" si="4">+C64+C16</f>
        <v>1232852.1600000001</v>
      </c>
      <c r="D69" s="21">
        <f t="shared" si="4"/>
        <v>1332110.5999999999</v>
      </c>
      <c r="E69" s="21">
        <f t="shared" si="4"/>
        <v>1415714.64</v>
      </c>
      <c r="F69" s="21">
        <f t="shared" si="4"/>
        <v>1411128.35</v>
      </c>
      <c r="G69" s="21">
        <f t="shared" si="4"/>
        <v>1411401.52</v>
      </c>
      <c r="H69" s="21">
        <f t="shared" si="4"/>
        <v>1459773.7000000002</v>
      </c>
      <c r="I69" s="662">
        <f t="shared" ref="I69:U69" si="5">+I64+I16+I66</f>
        <v>1523345.5699999998</v>
      </c>
      <c r="J69" s="662">
        <f t="shared" si="5"/>
        <v>1546577.2100000002</v>
      </c>
      <c r="K69" s="663">
        <f t="shared" si="5"/>
        <v>1585763</v>
      </c>
      <c r="L69" s="662">
        <f t="shared" si="5"/>
        <v>1480090.73</v>
      </c>
      <c r="M69" s="663">
        <f t="shared" si="5"/>
        <v>1751791</v>
      </c>
      <c r="N69" s="662">
        <f t="shared" si="5"/>
        <v>1662652.6700000002</v>
      </c>
      <c r="O69" s="663">
        <f t="shared" si="5"/>
        <v>1962430</v>
      </c>
      <c r="P69" s="662">
        <f t="shared" si="5"/>
        <v>1725358.45</v>
      </c>
      <c r="Q69" s="663">
        <f t="shared" si="5"/>
        <v>2074229</v>
      </c>
      <c r="R69" s="662">
        <f t="shared" si="5"/>
        <v>893879.27000000014</v>
      </c>
      <c r="S69" s="663">
        <f t="shared" si="5"/>
        <v>2175090</v>
      </c>
      <c r="T69" s="663">
        <f t="shared" si="5"/>
        <v>2175090</v>
      </c>
      <c r="U69" s="663">
        <f t="shared" si="5"/>
        <v>2175090</v>
      </c>
    </row>
    <row r="70" spans="1:25" ht="16.2" thickTop="1" x14ac:dyDescent="0.3">
      <c r="A70" s="160">
        <v>45300</v>
      </c>
      <c r="B70" s="4" t="s">
        <v>2535</v>
      </c>
      <c r="C70" s="23"/>
      <c r="D70" s="23"/>
      <c r="E70" s="23"/>
      <c r="F70" s="23"/>
      <c r="G70" s="23"/>
      <c r="H70" s="23"/>
      <c r="I70" s="23"/>
      <c r="J70" s="23"/>
      <c r="K70" s="23"/>
      <c r="L70" s="23"/>
      <c r="M70" s="23"/>
      <c r="N70" s="23"/>
      <c r="O70" s="23"/>
      <c r="P70" s="23"/>
      <c r="Q70" s="23"/>
      <c r="R70" s="181" t="s">
        <v>732</v>
      </c>
      <c r="S70" s="1001">
        <f>+S69-Q69</f>
        <v>100861</v>
      </c>
      <c r="T70" s="1002">
        <f>ROUND((+S70/Q69),4)</f>
        <v>4.8599999999999997E-2</v>
      </c>
      <c r="U70" s="671">
        <f>+R86/S69</f>
        <v>2.33558335517151E-2</v>
      </c>
      <c r="V70" s="23"/>
      <c r="W70" s="4"/>
      <c r="X70" s="183"/>
    </row>
    <row r="71" spans="1:25" ht="15.6" x14ac:dyDescent="0.3">
      <c r="A71" s="160">
        <v>45335</v>
      </c>
      <c r="B71" s="4" t="s">
        <v>2598</v>
      </c>
      <c r="C71" s="23"/>
      <c r="D71" s="23"/>
      <c r="E71" s="23"/>
      <c r="F71" s="23"/>
      <c r="G71" s="23"/>
      <c r="H71" s="23"/>
      <c r="I71" s="23"/>
      <c r="J71" s="23"/>
      <c r="K71" s="23"/>
      <c r="L71" s="23"/>
      <c r="M71" s="23"/>
      <c r="N71" s="23"/>
      <c r="O71" s="23"/>
      <c r="P71" s="23"/>
      <c r="Q71" s="23"/>
      <c r="R71" s="4"/>
      <c r="S71" s="23"/>
      <c r="T71" s="23"/>
      <c r="U71" s="671"/>
      <c r="V71" s="23"/>
      <c r="W71" s="4"/>
      <c r="X71" s="183"/>
    </row>
    <row r="72" spans="1:25" ht="15.6" x14ac:dyDescent="0.3">
      <c r="A72" s="160"/>
      <c r="B72" s="4"/>
      <c r="C72" s="23"/>
      <c r="D72" s="23"/>
      <c r="E72" s="23"/>
      <c r="F72" s="23"/>
      <c r="G72" s="23"/>
      <c r="H72" s="23"/>
      <c r="I72" s="23"/>
      <c r="J72" s="23"/>
      <c r="K72" s="23"/>
      <c r="L72" s="23"/>
      <c r="M72" s="23"/>
      <c r="N72" s="23"/>
      <c r="O72" s="23"/>
      <c r="P72" s="23"/>
      <c r="Q72" s="23"/>
      <c r="R72" s="4"/>
      <c r="S72" s="23"/>
      <c r="T72" s="23"/>
      <c r="U72" s="671"/>
      <c r="V72" s="23"/>
      <c r="W72" s="4"/>
      <c r="X72" s="183"/>
    </row>
    <row r="73" spans="1:25" x14ac:dyDescent="0.25">
      <c r="A73" s="703" t="s">
        <v>793</v>
      </c>
      <c r="B73" s="4"/>
      <c r="D73" s="194"/>
      <c r="E73" s="194"/>
      <c r="F73" s="194"/>
      <c r="G73" s="194"/>
      <c r="H73" s="194"/>
      <c r="I73" s="194"/>
      <c r="J73" s="194"/>
      <c r="K73" s="194"/>
      <c r="L73" s="194"/>
      <c r="M73" s="194"/>
      <c r="N73" s="194"/>
      <c r="O73" s="194"/>
      <c r="P73" s="194"/>
      <c r="Q73" s="194"/>
      <c r="S73" s="289"/>
      <c r="T73" s="289"/>
    </row>
    <row r="74" spans="1:25" x14ac:dyDescent="0.25">
      <c r="A74" s="703"/>
      <c r="B74" s="4"/>
      <c r="D74" s="194"/>
      <c r="E74" s="194"/>
      <c r="F74" s="194"/>
      <c r="G74" s="194"/>
      <c r="H74" s="194"/>
      <c r="I74" s="194"/>
      <c r="J74" s="194"/>
      <c r="K74" s="194"/>
      <c r="L74" s="194"/>
      <c r="M74" s="194"/>
      <c r="N74" s="194"/>
      <c r="O74" s="194"/>
      <c r="P74" s="194"/>
      <c r="Q74" s="194"/>
      <c r="S74" s="870"/>
      <c r="T74" s="870"/>
      <c r="U74" s="289"/>
    </row>
    <row r="75" spans="1:25" ht="13.8" thickBot="1" x14ac:dyDescent="0.3">
      <c r="A75" s="703"/>
      <c r="B75" s="202" t="s">
        <v>1519</v>
      </c>
      <c r="D75" s="1"/>
      <c r="E75" s="1"/>
      <c r="F75" s="1"/>
      <c r="G75" s="1"/>
      <c r="H75" s="1"/>
      <c r="I75"/>
      <c r="J75"/>
      <c r="K75"/>
      <c r="L75"/>
      <c r="M75"/>
      <c r="N75"/>
      <c r="O75"/>
      <c r="P75"/>
      <c r="Q75"/>
      <c r="S75" s="869"/>
      <c r="T75" s="869"/>
      <c r="U75"/>
      <c r="V75" s="300"/>
      <c r="W75" s="4"/>
    </row>
    <row r="76" spans="1:25" ht="13.8" thickTop="1" x14ac:dyDescent="0.25">
      <c r="A76" s="710" t="s">
        <v>760</v>
      </c>
      <c r="B76" s="1084" t="s">
        <v>1732</v>
      </c>
      <c r="D76" s="194"/>
      <c r="E76" s="194"/>
      <c r="F76" s="194"/>
      <c r="G76" s="194"/>
      <c r="H76" s="194"/>
      <c r="I76" s="194"/>
      <c r="J76" s="194"/>
      <c r="K76" s="194"/>
      <c r="L76" s="194"/>
      <c r="O76" s="251" t="s">
        <v>761</v>
      </c>
      <c r="P76" s="137" t="s">
        <v>1520</v>
      </c>
      <c r="Q76" s="149" t="s">
        <v>1076</v>
      </c>
      <c r="R76" s="149" t="s">
        <v>763</v>
      </c>
      <c r="S76" s="202" t="s">
        <v>2140</v>
      </c>
      <c r="T76" s="712" t="s">
        <v>27</v>
      </c>
      <c r="V76" s="4"/>
    </row>
    <row r="77" spans="1:25" ht="13.8" thickBot="1" x14ac:dyDescent="0.3">
      <c r="A77" s="711" t="s">
        <v>765</v>
      </c>
      <c r="B77" s="99" t="s">
        <v>766</v>
      </c>
      <c r="D77" s="194"/>
      <c r="E77" s="194"/>
      <c r="F77" s="194"/>
      <c r="G77" s="194"/>
      <c r="H77" s="194"/>
      <c r="I77" s="194"/>
      <c r="J77" s="194"/>
      <c r="K77" s="194"/>
      <c r="L77" s="194"/>
      <c r="O77" s="269">
        <v>45474</v>
      </c>
      <c r="P77" s="340" t="s">
        <v>767</v>
      </c>
      <c r="Q77" s="141" t="s">
        <v>1521</v>
      </c>
      <c r="R77" s="145" t="s">
        <v>769</v>
      </c>
      <c r="S77" s="712"/>
      <c r="T77" s="712"/>
      <c r="V77"/>
    </row>
    <row r="78" spans="1:25" ht="13.8" thickTop="1" x14ac:dyDescent="0.25">
      <c r="A78" s="54">
        <v>43906</v>
      </c>
      <c r="B78" s="965" t="s">
        <v>1522</v>
      </c>
      <c r="D78" s="194"/>
      <c r="E78" s="194"/>
      <c r="F78" s="194"/>
      <c r="G78" s="194"/>
      <c r="H78" s="194"/>
      <c r="I78" s="194"/>
      <c r="J78" s="194"/>
      <c r="K78" s="194"/>
      <c r="L78" s="194"/>
      <c r="O78" s="339" t="s">
        <v>1175</v>
      </c>
      <c r="P78" s="127"/>
      <c r="Q78" s="14"/>
      <c r="R78" s="136">
        <f>+'NAGE &amp; Non-Union Wages'!L12</f>
        <v>105239</v>
      </c>
      <c r="S78" s="712">
        <v>5</v>
      </c>
      <c r="T78" s="712">
        <v>300</v>
      </c>
      <c r="V78" s="4"/>
      <c r="W78" s="610"/>
      <c r="X78" s="148"/>
    </row>
    <row r="79" spans="1:25" x14ac:dyDescent="0.25">
      <c r="A79" s="54">
        <v>44354</v>
      </c>
      <c r="B79" s="61" t="s">
        <v>2138</v>
      </c>
      <c r="D79" s="194"/>
      <c r="E79" s="194"/>
      <c r="F79" s="194"/>
      <c r="G79" s="194"/>
      <c r="H79" s="194"/>
      <c r="I79" s="194"/>
      <c r="J79" s="194"/>
      <c r="K79" s="194"/>
      <c r="L79" s="194"/>
      <c r="O79" s="341" t="s">
        <v>834</v>
      </c>
      <c r="P79" s="659">
        <f>+'NAGE &amp; Non-Union Wages'!G5</f>
        <v>21.8</v>
      </c>
      <c r="Q79" s="208">
        <v>2088</v>
      </c>
      <c r="R79" s="136">
        <f t="shared" ref="R79:R86" si="6">ROUND((+Q79*P79),2)</f>
        <v>45518.400000000001</v>
      </c>
      <c r="S79" s="712">
        <v>4</v>
      </c>
      <c r="T79" s="712"/>
      <c r="V79" s="4"/>
      <c r="W79" s="611"/>
      <c r="X79" s="148"/>
      <c r="Y79" s="74"/>
    </row>
    <row r="80" spans="1:25" x14ac:dyDescent="0.25">
      <c r="A80" s="54">
        <v>43360</v>
      </c>
      <c r="B80" s="61" t="s">
        <v>1523</v>
      </c>
      <c r="C80" s="265"/>
      <c r="D80" s="327"/>
      <c r="E80" s="327"/>
      <c r="F80" s="327"/>
      <c r="G80" s="327"/>
      <c r="H80" s="327"/>
      <c r="I80" s="327"/>
      <c r="J80" s="327"/>
      <c r="K80" s="194"/>
      <c r="L80" s="194"/>
      <c r="O80" s="341" t="s">
        <v>2134</v>
      </c>
      <c r="P80" s="659">
        <f>+'NAGE &amp; Non-Union Wages'!G20</f>
        <v>33.44</v>
      </c>
      <c r="Q80" s="208">
        <v>2088</v>
      </c>
      <c r="R80" s="136">
        <f t="shared" si="6"/>
        <v>69822.720000000001</v>
      </c>
      <c r="S80" s="712">
        <v>5</v>
      </c>
      <c r="T80" s="712">
        <v>300</v>
      </c>
      <c r="V80" s="4"/>
      <c r="W80" s="610"/>
      <c r="X80" s="148"/>
    </row>
    <row r="81" spans="1:27" x14ac:dyDescent="0.25">
      <c r="A81" s="758">
        <v>43711</v>
      </c>
      <c r="B81" s="60" t="s">
        <v>1524</v>
      </c>
      <c r="D81" s="194"/>
      <c r="E81" s="194"/>
      <c r="F81" s="194"/>
      <c r="G81" s="194"/>
      <c r="H81" s="194"/>
      <c r="I81" s="194"/>
      <c r="J81" s="194"/>
      <c r="K81" s="194"/>
      <c r="L81" s="194"/>
      <c r="O81" s="341" t="s">
        <v>2133</v>
      </c>
      <c r="P81" s="659">
        <f>+'UE Wages'!E10</f>
        <v>26.41</v>
      </c>
      <c r="Q81" s="208">
        <v>2088</v>
      </c>
      <c r="R81" s="136">
        <f t="shared" si="6"/>
        <v>55144.08</v>
      </c>
      <c r="S81" s="712">
        <v>5</v>
      </c>
      <c r="T81" s="712">
        <v>300</v>
      </c>
      <c r="V81" s="4"/>
      <c r="W81" s="610"/>
      <c r="X81" s="148"/>
    </row>
    <row r="82" spans="1:27" x14ac:dyDescent="0.25">
      <c r="A82" s="54">
        <v>41010</v>
      </c>
      <c r="B82" s="60" t="s">
        <v>2137</v>
      </c>
      <c r="D82" s="194"/>
      <c r="E82" s="194"/>
      <c r="F82" s="194"/>
      <c r="G82" s="194"/>
      <c r="H82" s="194"/>
      <c r="I82" s="194"/>
      <c r="J82" s="194"/>
      <c r="K82" s="194"/>
      <c r="L82" s="194"/>
      <c r="O82" s="341" t="s">
        <v>774</v>
      </c>
      <c r="P82" s="659">
        <f>+'UE Wages'!L10</f>
        <v>30.79</v>
      </c>
      <c r="Q82" s="208">
        <v>2088</v>
      </c>
      <c r="R82" s="136">
        <f t="shared" si="6"/>
        <v>64289.52</v>
      </c>
      <c r="S82" s="712">
        <v>13</v>
      </c>
      <c r="T82" s="712">
        <v>500</v>
      </c>
      <c r="V82" s="4"/>
      <c r="W82" s="610"/>
      <c r="X82" s="148"/>
    </row>
    <row r="83" spans="1:27" x14ac:dyDescent="0.25">
      <c r="A83" s="54">
        <v>44095</v>
      </c>
      <c r="B83" s="471" t="s">
        <v>2136</v>
      </c>
      <c r="C83" s="265"/>
      <c r="D83" s="327"/>
      <c r="E83" s="194"/>
      <c r="F83" s="194"/>
      <c r="G83" s="194"/>
      <c r="H83" s="194"/>
      <c r="I83" s="194"/>
      <c r="J83" s="194"/>
      <c r="K83" s="194"/>
      <c r="L83" s="194"/>
      <c r="O83" s="609" t="s">
        <v>1081</v>
      </c>
      <c r="P83" s="659">
        <f>+'UE Wages'!E9</f>
        <v>24.45</v>
      </c>
      <c r="Q83" s="208">
        <v>2088</v>
      </c>
      <c r="R83" s="136">
        <f t="shared" si="6"/>
        <v>51051.6</v>
      </c>
      <c r="S83" s="712">
        <v>4</v>
      </c>
      <c r="T83" s="712"/>
      <c r="V83" s="4"/>
      <c r="W83" s="612"/>
      <c r="X83" s="148"/>
    </row>
    <row r="84" spans="1:27" x14ac:dyDescent="0.25">
      <c r="A84" s="758">
        <v>45112</v>
      </c>
      <c r="B84" s="471" t="s">
        <v>2139</v>
      </c>
      <c r="C84" s="223"/>
      <c r="D84" s="992"/>
      <c r="E84" s="992"/>
      <c r="F84" s="992"/>
      <c r="G84" s="992"/>
      <c r="H84" s="327"/>
      <c r="I84" s="327"/>
      <c r="J84" s="327"/>
      <c r="K84" s="327"/>
      <c r="L84" s="327"/>
      <c r="O84" s="339" t="s">
        <v>1928</v>
      </c>
      <c r="P84" s="659">
        <f>+'UE Wages'!E7</f>
        <v>20.86</v>
      </c>
      <c r="Q84" s="208">
        <v>2088</v>
      </c>
      <c r="R84" s="136">
        <f t="shared" si="6"/>
        <v>43555.68</v>
      </c>
      <c r="S84" s="712">
        <v>2</v>
      </c>
      <c r="T84" s="712"/>
      <c r="V84" s="4"/>
      <c r="W84" s="610"/>
      <c r="X84" s="148"/>
    </row>
    <row r="85" spans="1:27" x14ac:dyDescent="0.25">
      <c r="A85" s="758">
        <v>44949</v>
      </c>
      <c r="B85" s="60" t="s">
        <v>2135</v>
      </c>
      <c r="C85" s="223"/>
      <c r="D85" s="992"/>
      <c r="E85" s="992"/>
      <c r="F85" s="992"/>
      <c r="G85" s="992"/>
      <c r="H85" s="327"/>
      <c r="I85" s="327"/>
      <c r="J85" s="327"/>
      <c r="K85" s="327"/>
      <c r="L85" s="327"/>
      <c r="O85" s="339" t="s">
        <v>834</v>
      </c>
      <c r="P85" s="659">
        <f>+'UE Wages'!G7</f>
        <v>21.91</v>
      </c>
      <c r="Q85" s="208">
        <v>2088</v>
      </c>
      <c r="R85" s="136">
        <f t="shared" si="6"/>
        <v>45748.08</v>
      </c>
      <c r="S85" s="712">
        <v>3</v>
      </c>
      <c r="T85" s="712"/>
      <c r="V85" s="4"/>
      <c r="W85" s="610"/>
      <c r="X85" s="148"/>
    </row>
    <row r="86" spans="1:27" x14ac:dyDescent="0.25">
      <c r="A86" s="758">
        <v>44508</v>
      </c>
      <c r="B86" s="61" t="s">
        <v>1525</v>
      </c>
      <c r="C86" s="223"/>
      <c r="D86" s="992"/>
      <c r="E86" s="992"/>
      <c r="F86" s="992"/>
      <c r="G86" s="992"/>
      <c r="H86" s="327"/>
      <c r="I86" s="194"/>
      <c r="J86" s="194"/>
      <c r="K86" s="194"/>
      <c r="L86" s="194"/>
      <c r="O86" s="339" t="s">
        <v>1081</v>
      </c>
      <c r="P86" s="659">
        <f>+'NAGE &amp; Non-Union Wages'!E7</f>
        <v>24.33</v>
      </c>
      <c r="Q86" s="208">
        <v>2088</v>
      </c>
      <c r="R86" s="136">
        <f t="shared" si="6"/>
        <v>50801.04</v>
      </c>
      <c r="S86"/>
      <c r="T86" s="712"/>
      <c r="V86" s="4"/>
      <c r="W86" s="610"/>
      <c r="X86" s="148"/>
    </row>
    <row r="87" spans="1:27" x14ac:dyDescent="0.25">
      <c r="A87" s="703"/>
      <c r="B87" s="4" t="s">
        <v>818</v>
      </c>
      <c r="D87" s="1"/>
      <c r="E87" s="1"/>
      <c r="F87" s="194"/>
      <c r="G87" s="194"/>
      <c r="H87" s="194"/>
      <c r="I87" s="265"/>
      <c r="J87" s="265"/>
      <c r="K87"/>
      <c r="L87"/>
      <c r="O87"/>
      <c r="P87"/>
      <c r="Q87"/>
      <c r="S87"/>
      <c r="T87"/>
      <c r="U87"/>
      <c r="V87"/>
      <c r="Y87" s="74"/>
    </row>
    <row r="88" spans="1:27" x14ac:dyDescent="0.25">
      <c r="A88" s="703"/>
      <c r="B88" s="4"/>
      <c r="D88" s="1"/>
      <c r="E88" s="1"/>
      <c r="F88" s="194"/>
      <c r="G88" s="194"/>
      <c r="H88" s="194"/>
      <c r="I88" s="265"/>
      <c r="J88" s="265"/>
      <c r="K88"/>
      <c r="L88"/>
      <c r="O88"/>
      <c r="P88"/>
      <c r="Q88"/>
      <c r="S88"/>
      <c r="T88"/>
      <c r="U88"/>
      <c r="V88"/>
      <c r="Y88" s="74"/>
    </row>
    <row r="89" spans="1:27" x14ac:dyDescent="0.25">
      <c r="A89" s="1022" t="s">
        <v>2014</v>
      </c>
      <c r="B89" s="1023"/>
      <c r="C89" s="194"/>
      <c r="D89" s="194"/>
      <c r="E89" s="194"/>
      <c r="F89" s="194"/>
      <c r="G89" s="194"/>
      <c r="H89" s="194"/>
      <c r="I89" s="194"/>
      <c r="J89" s="194"/>
      <c r="K89" s="194"/>
      <c r="L89" s="194"/>
      <c r="O89" s="194"/>
      <c r="P89" s="194"/>
      <c r="Q89" s="194"/>
      <c r="R89" s="860">
        <f>SUM(R78:R87)</f>
        <v>531170.12</v>
      </c>
      <c r="V89" s="119"/>
      <c r="Y89" s="74"/>
    </row>
    <row r="90" spans="1:27" x14ac:dyDescent="0.25">
      <c r="B90" s="4"/>
      <c r="C90" s="194"/>
      <c r="D90" s="194"/>
      <c r="E90" s="194"/>
      <c r="F90" s="194"/>
      <c r="G90" s="194"/>
      <c r="H90" s="194"/>
      <c r="I90" s="194"/>
      <c r="J90" s="194"/>
      <c r="K90" s="194"/>
      <c r="L90" s="194"/>
      <c r="O90" s="194"/>
      <c r="P90" s="194"/>
      <c r="Q90" s="194"/>
      <c r="V90" s="24"/>
      <c r="X90" s="148"/>
    </row>
    <row r="91" spans="1:27" ht="13.8" thickBot="1" x14ac:dyDescent="0.3">
      <c r="A91" s="703" t="s">
        <v>1526</v>
      </c>
      <c r="B91" s="4"/>
      <c r="C91" s="194"/>
      <c r="D91" s="194"/>
      <c r="E91" s="194"/>
      <c r="F91" s="194"/>
      <c r="G91" s="194"/>
      <c r="H91" s="194"/>
      <c r="I91" s="194"/>
      <c r="J91" s="194"/>
      <c r="K91" s="194"/>
      <c r="L91" s="194"/>
      <c r="O91" s="194"/>
      <c r="P91" s="194"/>
      <c r="Q91" s="194"/>
      <c r="V91" s="119"/>
      <c r="AA91" s="148"/>
    </row>
    <row r="92" spans="1:27" ht="13.8" thickTop="1" x14ac:dyDescent="0.25">
      <c r="A92" s="718"/>
      <c r="B92" s="349"/>
      <c r="C92" s="350" t="s">
        <v>256</v>
      </c>
      <c r="D92" s="351" t="s">
        <v>256</v>
      </c>
      <c r="E92" s="351" t="s">
        <v>256</v>
      </c>
      <c r="F92" s="194"/>
      <c r="G92" s="194"/>
      <c r="H92" s="194"/>
      <c r="I92" s="194"/>
      <c r="J92" s="194"/>
      <c r="K92" s="194"/>
      <c r="L92" s="194"/>
      <c r="O92" s="352" t="s">
        <v>255</v>
      </c>
      <c r="P92" s="353" t="s">
        <v>716</v>
      </c>
      <c r="Q92" s="354" t="s">
        <v>730</v>
      </c>
      <c r="R92" s="353" t="s">
        <v>731</v>
      </c>
      <c r="S92" s="355"/>
      <c r="T92" s="550"/>
      <c r="U92" s="354"/>
    </row>
    <row r="93" spans="1:27" ht="13.8" thickBot="1" x14ac:dyDescent="0.3">
      <c r="A93" s="719" t="s">
        <v>715</v>
      </c>
      <c r="B93" s="356"/>
      <c r="C93" s="403" t="s">
        <v>243</v>
      </c>
      <c r="D93" s="403" t="s">
        <v>244</v>
      </c>
      <c r="E93" s="359" t="s">
        <v>245</v>
      </c>
      <c r="F93" s="194"/>
      <c r="G93" s="194"/>
      <c r="H93" s="194"/>
      <c r="I93" s="194"/>
      <c r="J93" s="194"/>
      <c r="K93" s="194"/>
      <c r="L93" s="194"/>
      <c r="O93" s="359" t="s">
        <v>469</v>
      </c>
      <c r="P93" s="359" t="s">
        <v>1345</v>
      </c>
      <c r="Q93" s="416" t="s">
        <v>732</v>
      </c>
      <c r="R93" s="417" t="s">
        <v>732</v>
      </c>
      <c r="S93" s="418" t="s">
        <v>733</v>
      </c>
      <c r="T93" s="922"/>
      <c r="U93" s="415"/>
    </row>
    <row r="94" spans="1:27" ht="13.8" thickTop="1" x14ac:dyDescent="0.25">
      <c r="A94" s="723"/>
      <c r="B94" s="383"/>
      <c r="C94" s="384"/>
      <c r="D94" s="385"/>
      <c r="E94" s="385"/>
      <c r="F94" s="194"/>
      <c r="G94" s="194"/>
      <c r="H94" s="194"/>
      <c r="I94" s="194"/>
      <c r="J94" s="194"/>
      <c r="K94" s="194"/>
      <c r="L94" s="194"/>
      <c r="O94" s="419"/>
      <c r="P94" s="420"/>
      <c r="Q94" s="419"/>
      <c r="R94" s="421"/>
      <c r="S94" s="1276"/>
      <c r="T94" s="1277"/>
      <c r="U94" s="1278"/>
    </row>
    <row r="95" spans="1:27" x14ac:dyDescent="0.25">
      <c r="A95" s="724">
        <v>5110</v>
      </c>
      <c r="B95" s="400" t="s">
        <v>1490</v>
      </c>
      <c r="C95" s="373">
        <v>296676.09999999998</v>
      </c>
      <c r="D95" s="373">
        <v>317703.17</v>
      </c>
      <c r="E95" s="373">
        <f>9155+388922.89</f>
        <v>398077.89</v>
      </c>
      <c r="F95" s="194"/>
      <c r="G95" s="194"/>
      <c r="H95" s="194"/>
      <c r="I95" s="194"/>
      <c r="J95" s="194"/>
      <c r="K95" s="194"/>
      <c r="L95" s="194"/>
      <c r="O95" s="372">
        <f t="shared" ref="O95:O101" si="7">+Q9</f>
        <v>506684</v>
      </c>
      <c r="P95" s="539">
        <f t="shared" ref="P95:P101" si="8">+S9</f>
        <v>531233</v>
      </c>
      <c r="Q95" s="372">
        <f t="shared" ref="Q95:Q143" si="9">+P95-O95</f>
        <v>24549</v>
      </c>
      <c r="R95" s="1013">
        <f t="shared" ref="R95:R143" si="10">IF(O95+P95&lt;&gt;0,IF(O95&lt;&gt;0,IF(Q95&lt;&gt;0,ROUND((+Q95/O95),4),""),1),"")</f>
        <v>4.8500000000000001E-2</v>
      </c>
      <c r="S95" s="1014" t="s">
        <v>2421</v>
      </c>
      <c r="T95" s="1015"/>
      <c r="U95" s="1016"/>
    </row>
    <row r="96" spans="1:27" x14ac:dyDescent="0.25">
      <c r="A96" s="724">
        <v>5124</v>
      </c>
      <c r="B96" s="400" t="s">
        <v>2073</v>
      </c>
      <c r="C96" s="373"/>
      <c r="D96" s="373"/>
      <c r="E96" s="373"/>
      <c r="F96" s="194"/>
      <c r="G96" s="194"/>
      <c r="H96" s="194"/>
      <c r="I96" s="194"/>
      <c r="J96" s="194"/>
      <c r="K96" s="194"/>
      <c r="L96" s="194"/>
      <c r="O96" s="372">
        <f t="shared" si="7"/>
        <v>0</v>
      </c>
      <c r="P96" s="539">
        <f t="shared" si="8"/>
        <v>0</v>
      </c>
      <c r="Q96" s="372">
        <f t="shared" ref="Q96" si="11">+P96-O96</f>
        <v>0</v>
      </c>
      <c r="R96" s="1013" t="str">
        <f t="shared" ref="R96" si="12">IF(O96+P96&lt;&gt;0,IF(O96&lt;&gt;0,IF(Q96&lt;&gt;0,ROUND((+Q96/O96),4),""),1),"")</f>
        <v/>
      </c>
      <c r="S96" s="1014"/>
      <c r="T96" s="1015"/>
      <c r="U96" s="1016"/>
    </row>
    <row r="97" spans="1:21" x14ac:dyDescent="0.25">
      <c r="A97" s="724">
        <v>5132</v>
      </c>
      <c r="B97" s="369" t="s">
        <v>917</v>
      </c>
      <c r="C97" s="373">
        <v>40622.949999999997</v>
      </c>
      <c r="D97" s="373">
        <v>47734.400000000001</v>
      </c>
      <c r="E97" s="373">
        <v>53816.19</v>
      </c>
      <c r="F97" s="194"/>
      <c r="G97" s="194"/>
      <c r="H97" s="194"/>
      <c r="I97" s="194"/>
      <c r="J97" s="194"/>
      <c r="K97" s="194"/>
      <c r="L97" s="194"/>
      <c r="O97" s="372">
        <f t="shared" si="7"/>
        <v>46401</v>
      </c>
      <c r="P97" s="393">
        <f t="shared" si="8"/>
        <v>46000</v>
      </c>
      <c r="Q97" s="372">
        <f t="shared" si="9"/>
        <v>-401</v>
      </c>
      <c r="R97" s="1013">
        <f t="shared" si="10"/>
        <v>-8.6E-3</v>
      </c>
      <c r="S97" s="1014"/>
      <c r="T97" s="1015"/>
      <c r="U97" s="1016"/>
    </row>
    <row r="98" spans="1:21" x14ac:dyDescent="0.25">
      <c r="A98" s="724">
        <v>5140</v>
      </c>
      <c r="B98" s="369" t="s">
        <v>1491</v>
      </c>
      <c r="C98" s="422">
        <v>8578.26</v>
      </c>
      <c r="D98" s="422">
        <v>7749.24</v>
      </c>
      <c r="E98" s="423">
        <f>-2212.7+8969.83</f>
        <v>6757.13</v>
      </c>
      <c r="F98" s="194"/>
      <c r="G98" s="194"/>
      <c r="H98" s="194"/>
      <c r="I98" s="194"/>
      <c r="J98" s="194"/>
      <c r="K98" s="194"/>
      <c r="L98" s="194"/>
      <c r="O98" s="372">
        <f t="shared" si="7"/>
        <v>14000</v>
      </c>
      <c r="P98" s="393">
        <f t="shared" si="8"/>
        <v>14000</v>
      </c>
      <c r="Q98" s="372">
        <f t="shared" si="9"/>
        <v>0</v>
      </c>
      <c r="R98" s="1013" t="str">
        <f t="shared" si="10"/>
        <v/>
      </c>
      <c r="S98" s="1014"/>
      <c r="T98" s="1015"/>
      <c r="U98" s="1016"/>
    </row>
    <row r="99" spans="1:21" x14ac:dyDescent="0.25">
      <c r="A99" s="724">
        <v>5144</v>
      </c>
      <c r="B99" s="369" t="s">
        <v>27</v>
      </c>
      <c r="C99" s="422"/>
      <c r="D99" s="422"/>
      <c r="E99" s="423"/>
      <c r="F99" s="194"/>
      <c r="G99" s="194"/>
      <c r="H99" s="194"/>
      <c r="I99" s="194"/>
      <c r="J99" s="194"/>
      <c r="K99" s="194"/>
      <c r="L99" s="194"/>
      <c r="O99" s="372">
        <f t="shared" si="7"/>
        <v>0</v>
      </c>
      <c r="P99" s="539">
        <f t="shared" si="8"/>
        <v>1400</v>
      </c>
      <c r="Q99" s="372">
        <f t="shared" ref="Q99" si="13">+P99-O99</f>
        <v>1400</v>
      </c>
      <c r="R99" s="1013">
        <f t="shared" ref="R99" si="14">IF(O99+P99&lt;&gt;0,IF(O99&lt;&gt;0,IF(Q99&lt;&gt;0,ROUND((+Q99/O99),4),""),1),"")</f>
        <v>1</v>
      </c>
      <c r="S99" s="1014"/>
      <c r="T99" s="1015"/>
      <c r="U99" s="1016"/>
    </row>
    <row r="100" spans="1:21" x14ac:dyDescent="0.25">
      <c r="A100" s="724">
        <v>5193</v>
      </c>
      <c r="B100" s="369" t="s">
        <v>819</v>
      </c>
      <c r="C100" s="422"/>
      <c r="D100" s="422"/>
      <c r="E100" s="422"/>
      <c r="F100" s="194"/>
      <c r="G100" s="194"/>
      <c r="H100" s="194"/>
      <c r="I100" s="194"/>
      <c r="J100" s="194"/>
      <c r="K100" s="194"/>
      <c r="L100" s="194"/>
      <c r="O100" s="372">
        <f t="shared" si="7"/>
        <v>0</v>
      </c>
      <c r="P100" s="393">
        <f t="shared" si="8"/>
        <v>0</v>
      </c>
      <c r="Q100" s="372">
        <f t="shared" si="9"/>
        <v>0</v>
      </c>
      <c r="R100" s="1013" t="str">
        <f t="shared" si="10"/>
        <v/>
      </c>
      <c r="S100" s="1014"/>
      <c r="T100" s="1015"/>
      <c r="U100" s="1016"/>
    </row>
    <row r="101" spans="1:21" ht="13.8" thickBot="1" x14ac:dyDescent="0.3">
      <c r="A101" s="724">
        <v>5194</v>
      </c>
      <c r="B101" s="369" t="s">
        <v>820</v>
      </c>
      <c r="C101" s="425"/>
      <c r="D101" s="425"/>
      <c r="E101" s="425"/>
      <c r="F101" s="194"/>
      <c r="G101" s="194"/>
      <c r="H101" s="194"/>
      <c r="I101" s="194"/>
      <c r="J101" s="194"/>
      <c r="K101" s="194"/>
      <c r="L101" s="194"/>
      <c r="O101" s="372">
        <f t="shared" si="7"/>
        <v>0</v>
      </c>
      <c r="P101" s="393">
        <f t="shared" si="8"/>
        <v>0</v>
      </c>
      <c r="Q101" s="372">
        <f t="shared" si="9"/>
        <v>0</v>
      </c>
      <c r="R101" s="374" t="str">
        <f t="shared" si="10"/>
        <v/>
      </c>
      <c r="S101" s="1014"/>
      <c r="T101" s="1015"/>
      <c r="U101" s="1016"/>
    </row>
    <row r="102" spans="1:21" x14ac:dyDescent="0.25">
      <c r="A102" s="724">
        <f t="shared" ref="A102:B110" si="15">+A18</f>
        <v>5211</v>
      </c>
      <c r="B102" s="724" t="str">
        <f t="shared" si="15"/>
        <v>Electricity TP</v>
      </c>
      <c r="C102" s="660"/>
      <c r="D102" s="660"/>
      <c r="E102" s="660"/>
      <c r="F102" s="194"/>
      <c r="G102" s="194"/>
      <c r="H102" s="194"/>
      <c r="I102" s="194"/>
      <c r="J102" s="194"/>
      <c r="K102" s="194"/>
      <c r="L102" s="194"/>
      <c r="O102" s="372">
        <f t="shared" ref="O102:O121" si="16">+Q18</f>
        <v>173000</v>
      </c>
      <c r="P102" s="393">
        <f t="shared" ref="P102:P121" si="17">+S18</f>
        <v>173000</v>
      </c>
      <c r="Q102" s="372">
        <f t="shared" si="9"/>
        <v>0</v>
      </c>
      <c r="R102" s="374" t="str">
        <f t="shared" si="10"/>
        <v/>
      </c>
      <c r="S102" s="476"/>
      <c r="T102" s="924"/>
      <c r="U102" s="424"/>
    </row>
    <row r="103" spans="1:21" x14ac:dyDescent="0.25">
      <c r="A103" s="724">
        <f t="shared" si="15"/>
        <v>5211.1000000000004</v>
      </c>
      <c r="B103" s="724" t="str">
        <f t="shared" si="15"/>
        <v>Electricity PS</v>
      </c>
      <c r="C103" s="660"/>
      <c r="D103" s="660"/>
      <c r="E103" s="660"/>
      <c r="F103" s="194"/>
      <c r="G103" s="194"/>
      <c r="H103" s="194"/>
      <c r="I103" s="194"/>
      <c r="J103" s="194"/>
      <c r="K103" s="194"/>
      <c r="L103" s="194"/>
      <c r="O103" s="372">
        <f t="shared" si="16"/>
        <v>31000</v>
      </c>
      <c r="P103" s="393">
        <f t="shared" si="17"/>
        <v>31000</v>
      </c>
      <c r="Q103" s="372">
        <f t="shared" si="9"/>
        <v>0</v>
      </c>
      <c r="R103" s="374" t="str">
        <f t="shared" si="10"/>
        <v/>
      </c>
      <c r="S103" s="476"/>
      <c r="T103" s="924"/>
      <c r="U103" s="424"/>
    </row>
    <row r="104" spans="1:21" x14ac:dyDescent="0.25">
      <c r="A104" s="724">
        <f t="shared" si="15"/>
        <v>5213</v>
      </c>
      <c r="B104" s="724" t="str">
        <f t="shared" si="15"/>
        <v xml:space="preserve">Heating Oil </v>
      </c>
      <c r="C104" s="660"/>
      <c r="D104" s="660"/>
      <c r="E104" s="660"/>
      <c r="F104" s="194"/>
      <c r="G104" s="194"/>
      <c r="H104" s="194"/>
      <c r="I104" s="194"/>
      <c r="J104" s="194"/>
      <c r="K104" s="194"/>
      <c r="L104" s="194"/>
      <c r="O104" s="372">
        <f t="shared" si="16"/>
        <v>35700</v>
      </c>
      <c r="P104" s="393">
        <f t="shared" si="17"/>
        <v>35700</v>
      </c>
      <c r="Q104" s="372">
        <f t="shared" si="9"/>
        <v>0</v>
      </c>
      <c r="R104" s="374" t="str">
        <f t="shared" si="10"/>
        <v/>
      </c>
      <c r="S104" s="476"/>
      <c r="T104" s="924"/>
      <c r="U104" s="424"/>
    </row>
    <row r="105" spans="1:21" x14ac:dyDescent="0.25">
      <c r="A105" s="724">
        <f t="shared" si="15"/>
        <v>5280</v>
      </c>
      <c r="B105" s="724" t="str">
        <f t="shared" si="15"/>
        <v>Solid Waste Disposal</v>
      </c>
      <c r="C105" s="660"/>
      <c r="D105" s="660"/>
      <c r="E105" s="660"/>
      <c r="F105" s="194"/>
      <c r="G105" s="194"/>
      <c r="H105" s="194"/>
      <c r="I105" s="194"/>
      <c r="J105" s="194"/>
      <c r="K105" s="194"/>
      <c r="L105" s="194"/>
      <c r="O105" s="372">
        <f t="shared" si="16"/>
        <v>318000</v>
      </c>
      <c r="P105" s="393">
        <f t="shared" si="17"/>
        <v>326000</v>
      </c>
      <c r="Q105" s="372">
        <f t="shared" si="9"/>
        <v>8000</v>
      </c>
      <c r="R105" s="374">
        <f t="shared" si="10"/>
        <v>2.52E-2</v>
      </c>
      <c r="S105" s="476" t="s">
        <v>2422</v>
      </c>
      <c r="T105" s="924"/>
      <c r="U105" s="424"/>
    </row>
    <row r="106" spans="1:21" x14ac:dyDescent="0.25">
      <c r="A106" s="724">
        <f t="shared" si="15"/>
        <v>5300</v>
      </c>
      <c r="B106" s="724" t="str">
        <f t="shared" si="15"/>
        <v>Professional Services</v>
      </c>
      <c r="C106" s="660"/>
      <c r="D106" s="660"/>
      <c r="E106" s="660"/>
      <c r="F106" s="194"/>
      <c r="G106" s="194"/>
      <c r="H106" s="194"/>
      <c r="I106" s="194"/>
      <c r="J106" s="194"/>
      <c r="K106" s="194"/>
      <c r="L106" s="194"/>
      <c r="O106" s="372">
        <f t="shared" si="16"/>
        <v>44000</v>
      </c>
      <c r="P106" s="393">
        <f t="shared" si="17"/>
        <v>54000</v>
      </c>
      <c r="Q106" s="372">
        <f t="shared" si="9"/>
        <v>10000</v>
      </c>
      <c r="R106" s="374">
        <f t="shared" si="10"/>
        <v>0.2273</v>
      </c>
      <c r="S106" s="476" t="s">
        <v>2423</v>
      </c>
      <c r="T106" s="924"/>
      <c r="U106" s="424"/>
    </row>
    <row r="107" spans="1:21" x14ac:dyDescent="0.25">
      <c r="A107" s="724">
        <f t="shared" si="15"/>
        <v>5301</v>
      </c>
      <c r="B107" s="724" t="str">
        <f t="shared" si="15"/>
        <v>Contracted Lab</v>
      </c>
      <c r="C107" s="660"/>
      <c r="D107" s="660"/>
      <c r="E107" s="660"/>
      <c r="F107" s="194"/>
      <c r="G107" s="194"/>
      <c r="H107" s="194"/>
      <c r="I107" s="194"/>
      <c r="J107" s="194"/>
      <c r="K107" s="194"/>
      <c r="L107" s="194"/>
      <c r="O107" s="372">
        <f t="shared" si="16"/>
        <v>7200</v>
      </c>
      <c r="P107" s="393">
        <f t="shared" si="17"/>
        <v>7200</v>
      </c>
      <c r="Q107" s="372">
        <f t="shared" si="9"/>
        <v>0</v>
      </c>
      <c r="R107" s="374" t="str">
        <f t="shared" si="10"/>
        <v/>
      </c>
      <c r="S107" s="476"/>
      <c r="T107" s="924"/>
      <c r="U107" s="424"/>
    </row>
    <row r="108" spans="1:21" x14ac:dyDescent="0.25">
      <c r="A108" s="724">
        <f t="shared" si="15"/>
        <v>5304</v>
      </c>
      <c r="B108" s="724" t="str">
        <f t="shared" si="15"/>
        <v>Industrial Pretreatment</v>
      </c>
      <c r="C108" s="660"/>
      <c r="D108" s="660"/>
      <c r="E108" s="660"/>
      <c r="F108" s="194"/>
      <c r="G108" s="194"/>
      <c r="H108" s="194"/>
      <c r="I108" s="194"/>
      <c r="J108" s="194"/>
      <c r="K108" s="194"/>
      <c r="L108" s="194"/>
      <c r="O108" s="372">
        <f t="shared" si="16"/>
        <v>500</v>
      </c>
      <c r="P108" s="393">
        <f t="shared" si="17"/>
        <v>500</v>
      </c>
      <c r="Q108" s="372">
        <f t="shared" si="9"/>
        <v>0</v>
      </c>
      <c r="R108" s="374" t="str">
        <f t="shared" si="10"/>
        <v/>
      </c>
      <c r="S108" s="476"/>
      <c r="T108" s="924"/>
      <c r="U108" s="424"/>
    </row>
    <row r="109" spans="1:21" x14ac:dyDescent="0.25">
      <c r="A109" s="724">
        <f t="shared" si="15"/>
        <v>5305</v>
      </c>
      <c r="B109" s="724" t="str">
        <f t="shared" si="15"/>
        <v>SCADA Controls/Comms</v>
      </c>
      <c r="C109" s="660"/>
      <c r="D109" s="660"/>
      <c r="E109" s="660"/>
      <c r="F109" s="194"/>
      <c r="G109" s="194"/>
      <c r="H109" s="194"/>
      <c r="I109" s="194"/>
      <c r="J109" s="194"/>
      <c r="K109" s="194"/>
      <c r="L109" s="194"/>
      <c r="O109" s="372">
        <f t="shared" si="16"/>
        <v>45000</v>
      </c>
      <c r="P109" s="393">
        <f t="shared" si="17"/>
        <v>45000</v>
      </c>
      <c r="Q109" s="372">
        <f t="shared" si="9"/>
        <v>0</v>
      </c>
      <c r="R109" s="374" t="str">
        <f t="shared" si="10"/>
        <v/>
      </c>
      <c r="S109" s="476"/>
      <c r="T109" s="924"/>
      <c r="U109" s="424"/>
    </row>
    <row r="110" spans="1:21" x14ac:dyDescent="0.25">
      <c r="A110" s="724">
        <f t="shared" si="15"/>
        <v>5310</v>
      </c>
      <c r="B110" s="724" t="str">
        <f t="shared" si="15"/>
        <v>Safety Equipment &amp; Expenses</v>
      </c>
      <c r="C110" s="660"/>
      <c r="D110" s="660"/>
      <c r="E110" s="660"/>
      <c r="F110" s="194"/>
      <c r="G110" s="194"/>
      <c r="H110" s="194"/>
      <c r="I110" s="194"/>
      <c r="J110" s="194"/>
      <c r="K110" s="194"/>
      <c r="L110" s="194"/>
      <c r="O110" s="372">
        <f t="shared" si="16"/>
        <v>6000</v>
      </c>
      <c r="P110" s="393">
        <f t="shared" si="17"/>
        <v>6000</v>
      </c>
      <c r="Q110" s="372">
        <f t="shared" si="9"/>
        <v>0</v>
      </c>
      <c r="R110" s="374" t="str">
        <f t="shared" si="10"/>
        <v/>
      </c>
      <c r="S110" s="476"/>
      <c r="T110" s="924"/>
      <c r="U110" s="424"/>
    </row>
    <row r="111" spans="1:21" x14ac:dyDescent="0.25">
      <c r="A111" s="724">
        <v>5319</v>
      </c>
      <c r="B111" s="724" t="s">
        <v>2074</v>
      </c>
      <c r="C111" s="660"/>
      <c r="D111" s="660"/>
      <c r="E111" s="660"/>
      <c r="F111" s="194"/>
      <c r="G111" s="194"/>
      <c r="H111" s="194"/>
      <c r="I111" s="194"/>
      <c r="J111" s="194"/>
      <c r="K111" s="194"/>
      <c r="L111" s="194"/>
      <c r="O111" s="372">
        <f t="shared" si="16"/>
        <v>0</v>
      </c>
      <c r="P111" s="393">
        <f t="shared" si="17"/>
        <v>10000</v>
      </c>
      <c r="Q111" s="372">
        <f t="shared" ref="Q111" si="18">+P111-O111</f>
        <v>10000</v>
      </c>
      <c r="R111" s="374">
        <f t="shared" ref="R111" si="19">IF(O111+P111&lt;&gt;0,IF(O111&lt;&gt;0,IF(Q111&lt;&gt;0,ROUND((+Q111/O111),4),""),1),"")</f>
        <v>1</v>
      </c>
      <c r="S111" s="476" t="s">
        <v>2424</v>
      </c>
      <c r="T111" s="924"/>
      <c r="U111" s="424"/>
    </row>
    <row r="112" spans="1:21" x14ac:dyDescent="0.25">
      <c r="A112" s="724">
        <f>+A28</f>
        <v>5320</v>
      </c>
      <c r="B112" s="724" t="str">
        <f>+B28</f>
        <v>Professional Development</v>
      </c>
      <c r="C112" s="660"/>
      <c r="D112" s="660"/>
      <c r="E112" s="660"/>
      <c r="F112" s="194"/>
      <c r="G112" s="194"/>
      <c r="H112" s="194"/>
      <c r="I112" s="194"/>
      <c r="J112" s="194"/>
      <c r="K112" s="194"/>
      <c r="L112" s="194"/>
      <c r="O112" s="372">
        <f t="shared" si="16"/>
        <v>5000</v>
      </c>
      <c r="P112" s="393">
        <f t="shared" si="17"/>
        <v>5000</v>
      </c>
      <c r="Q112" s="372">
        <f t="shared" si="9"/>
        <v>0</v>
      </c>
      <c r="R112" s="374" t="str">
        <f t="shared" si="10"/>
        <v/>
      </c>
      <c r="S112" s="476"/>
      <c r="T112" s="924"/>
      <c r="U112" s="424"/>
    </row>
    <row r="113" spans="1:21" x14ac:dyDescent="0.25">
      <c r="A113" s="724">
        <f>+A29</f>
        <v>5340</v>
      </c>
      <c r="B113" s="724" t="str">
        <f>+B29</f>
        <v>Office Expenses</v>
      </c>
      <c r="C113" s="660"/>
      <c r="D113" s="660"/>
      <c r="E113" s="660"/>
      <c r="F113" s="194"/>
      <c r="G113" s="194"/>
      <c r="H113" s="194"/>
      <c r="I113" s="194"/>
      <c r="J113" s="194"/>
      <c r="K113" s="194"/>
      <c r="L113" s="194"/>
      <c r="O113" s="372">
        <f t="shared" si="16"/>
        <v>6500</v>
      </c>
      <c r="P113" s="393">
        <f t="shared" si="17"/>
        <v>6500</v>
      </c>
      <c r="Q113" s="372">
        <f t="shared" si="9"/>
        <v>0</v>
      </c>
      <c r="R113" s="374" t="str">
        <f t="shared" si="10"/>
        <v/>
      </c>
      <c r="S113" s="476"/>
      <c r="T113" s="924"/>
      <c r="U113" s="424"/>
    </row>
    <row r="114" spans="1:21" x14ac:dyDescent="0.25">
      <c r="A114" s="724">
        <v>5341</v>
      </c>
      <c r="B114" s="369" t="s">
        <v>2546</v>
      </c>
      <c r="C114" s="660"/>
      <c r="D114" s="660"/>
      <c r="E114" s="660"/>
      <c r="F114" s="194"/>
      <c r="G114" s="194"/>
      <c r="H114" s="194"/>
      <c r="I114" s="194"/>
      <c r="J114" s="194"/>
      <c r="K114" s="194"/>
      <c r="L114" s="194"/>
      <c r="O114" s="372">
        <f t="shared" si="16"/>
        <v>0</v>
      </c>
      <c r="P114" s="393">
        <f t="shared" si="17"/>
        <v>3500</v>
      </c>
      <c r="Q114" s="372">
        <f t="shared" ref="Q114" si="20">+P114-O114</f>
        <v>3500</v>
      </c>
      <c r="R114" s="374">
        <f t="shared" si="10"/>
        <v>1</v>
      </c>
      <c r="S114" s="476" t="s">
        <v>2547</v>
      </c>
      <c r="T114" s="924"/>
      <c r="U114" s="424"/>
    </row>
    <row r="115" spans="1:21" x14ac:dyDescent="0.25">
      <c r="A115" s="724">
        <f t="shared" ref="A115:B121" si="21">+A31</f>
        <v>5360</v>
      </c>
      <c r="B115" s="724" t="str">
        <f t="shared" si="21"/>
        <v xml:space="preserve">Grounds </v>
      </c>
      <c r="C115" s="660"/>
      <c r="D115" s="660"/>
      <c r="E115" s="660"/>
      <c r="F115" s="194"/>
      <c r="G115" s="194"/>
      <c r="H115" s="194"/>
      <c r="I115" s="194"/>
      <c r="J115" s="194"/>
      <c r="K115" s="194"/>
      <c r="L115" s="194"/>
      <c r="O115" s="372">
        <f t="shared" si="16"/>
        <v>5000</v>
      </c>
      <c r="P115" s="393">
        <f t="shared" si="17"/>
        <v>5000</v>
      </c>
      <c r="Q115" s="372">
        <f t="shared" si="9"/>
        <v>0</v>
      </c>
      <c r="R115" s="374" t="str">
        <f t="shared" si="10"/>
        <v/>
      </c>
      <c r="S115" s="476"/>
      <c r="T115" s="924"/>
      <c r="U115" s="424"/>
    </row>
    <row r="116" spans="1:21" x14ac:dyDescent="0.25">
      <c r="A116" s="724">
        <f t="shared" si="21"/>
        <v>5370</v>
      </c>
      <c r="B116" s="724" t="str">
        <f t="shared" si="21"/>
        <v xml:space="preserve">Buildings </v>
      </c>
      <c r="C116" s="660"/>
      <c r="D116" s="660"/>
      <c r="E116" s="660"/>
      <c r="F116" s="194"/>
      <c r="G116" s="194"/>
      <c r="H116" s="194"/>
      <c r="I116" s="194"/>
      <c r="J116" s="194"/>
      <c r="K116" s="194"/>
      <c r="L116" s="194"/>
      <c r="O116" s="372">
        <f t="shared" si="16"/>
        <v>16000</v>
      </c>
      <c r="P116" s="393">
        <f t="shared" si="17"/>
        <v>16000</v>
      </c>
      <c r="Q116" s="372">
        <f t="shared" si="9"/>
        <v>0</v>
      </c>
      <c r="R116" s="374" t="str">
        <f t="shared" si="10"/>
        <v/>
      </c>
      <c r="S116" s="476"/>
      <c r="T116" s="924"/>
      <c r="U116" s="424"/>
    </row>
    <row r="117" spans="1:21" x14ac:dyDescent="0.25">
      <c r="A117" s="724">
        <f t="shared" si="21"/>
        <v>5371</v>
      </c>
      <c r="B117" s="724" t="str">
        <f t="shared" si="21"/>
        <v>HVAC</v>
      </c>
      <c r="C117" s="660"/>
      <c r="D117" s="660"/>
      <c r="E117" s="660"/>
      <c r="F117" s="194"/>
      <c r="G117" s="194"/>
      <c r="H117" s="194"/>
      <c r="I117" s="194"/>
      <c r="J117" s="194"/>
      <c r="K117" s="194"/>
      <c r="L117" s="194"/>
      <c r="O117" s="372">
        <f t="shared" si="16"/>
        <v>6000</v>
      </c>
      <c r="P117" s="393">
        <f t="shared" si="17"/>
        <v>6000</v>
      </c>
      <c r="Q117" s="372">
        <f t="shared" si="9"/>
        <v>0</v>
      </c>
      <c r="R117" s="374" t="str">
        <f t="shared" si="10"/>
        <v/>
      </c>
      <c r="S117" s="476"/>
      <c r="T117" s="924"/>
      <c r="U117" s="424"/>
    </row>
    <row r="118" spans="1:21" x14ac:dyDescent="0.25">
      <c r="A118" s="724">
        <f t="shared" si="21"/>
        <v>5400</v>
      </c>
      <c r="B118" s="724" t="str">
        <f t="shared" si="21"/>
        <v>Other Operational Equipment</v>
      </c>
      <c r="C118" s="660"/>
      <c r="D118" s="660"/>
      <c r="E118" s="660"/>
      <c r="F118" s="194"/>
      <c r="G118" s="194"/>
      <c r="H118" s="194"/>
      <c r="I118" s="194"/>
      <c r="J118" s="194"/>
      <c r="K118" s="194"/>
      <c r="L118" s="194"/>
      <c r="O118" s="372">
        <f t="shared" si="16"/>
        <v>60000</v>
      </c>
      <c r="P118" s="393">
        <f t="shared" si="17"/>
        <v>50000</v>
      </c>
      <c r="Q118" s="372">
        <f t="shared" si="9"/>
        <v>-10000</v>
      </c>
      <c r="R118" s="374">
        <f t="shared" si="10"/>
        <v>-0.16669999999999999</v>
      </c>
      <c r="S118" s="476" t="s">
        <v>2425</v>
      </c>
      <c r="T118" s="924"/>
      <c r="U118" s="424"/>
    </row>
    <row r="119" spans="1:21" x14ac:dyDescent="0.25">
      <c r="A119" s="724">
        <f t="shared" si="21"/>
        <v>5401</v>
      </c>
      <c r="B119" s="724" t="str">
        <f t="shared" si="21"/>
        <v>Preliminary Equipment and Supplies</v>
      </c>
      <c r="C119" s="660"/>
      <c r="D119" s="660"/>
      <c r="E119" s="660"/>
      <c r="F119" s="194"/>
      <c r="G119" s="194"/>
      <c r="H119" s="194"/>
      <c r="I119" s="194"/>
      <c r="J119" s="194"/>
      <c r="K119" s="194"/>
      <c r="L119" s="194"/>
      <c r="O119" s="372">
        <f t="shared" si="16"/>
        <v>0</v>
      </c>
      <c r="P119" s="393">
        <f t="shared" si="17"/>
        <v>0</v>
      </c>
      <c r="Q119" s="372">
        <f t="shared" si="9"/>
        <v>0</v>
      </c>
      <c r="R119" s="374" t="str">
        <f t="shared" si="10"/>
        <v/>
      </c>
      <c r="S119" s="476"/>
      <c r="T119" s="924"/>
      <c r="U119" s="424"/>
    </row>
    <row r="120" spans="1:21" x14ac:dyDescent="0.25">
      <c r="A120" s="724">
        <f t="shared" si="21"/>
        <v>5402</v>
      </c>
      <c r="B120" s="724" t="str">
        <f t="shared" si="21"/>
        <v>Primary Equipment and Supplies</v>
      </c>
      <c r="C120" s="660"/>
      <c r="D120" s="660"/>
      <c r="E120" s="660"/>
      <c r="F120" s="194"/>
      <c r="G120" s="194"/>
      <c r="H120" s="194"/>
      <c r="I120" s="194"/>
      <c r="J120" s="194"/>
      <c r="K120" s="194"/>
      <c r="L120" s="194"/>
      <c r="O120" s="372">
        <f t="shared" si="16"/>
        <v>28000</v>
      </c>
      <c r="P120" s="393">
        <f t="shared" si="17"/>
        <v>28000</v>
      </c>
      <c r="Q120" s="372">
        <f t="shared" si="9"/>
        <v>0</v>
      </c>
      <c r="R120" s="374" t="str">
        <f t="shared" si="10"/>
        <v/>
      </c>
      <c r="S120" s="476"/>
      <c r="T120" s="924"/>
      <c r="U120" s="424"/>
    </row>
    <row r="121" spans="1:21" x14ac:dyDescent="0.25">
      <c r="A121" s="724">
        <f t="shared" si="21"/>
        <v>5403</v>
      </c>
      <c r="B121" s="724" t="str">
        <f t="shared" si="21"/>
        <v>Secondary Equipment and Supplies</v>
      </c>
      <c r="C121" s="660"/>
      <c r="D121" s="660"/>
      <c r="E121" s="660"/>
      <c r="F121" s="194"/>
      <c r="G121" s="194"/>
      <c r="H121" s="194"/>
      <c r="I121" s="194"/>
      <c r="J121" s="194"/>
      <c r="K121" s="194"/>
      <c r="L121" s="194"/>
      <c r="O121" s="372">
        <f t="shared" si="16"/>
        <v>7000</v>
      </c>
      <c r="P121" s="393">
        <f t="shared" si="17"/>
        <v>7000</v>
      </c>
      <c r="Q121" s="372">
        <f t="shared" si="9"/>
        <v>0</v>
      </c>
      <c r="R121" s="374" t="str">
        <f t="shared" si="10"/>
        <v/>
      </c>
      <c r="S121" s="476"/>
      <c r="T121" s="924"/>
      <c r="U121" s="424"/>
    </row>
    <row r="122" spans="1:21" x14ac:dyDescent="0.25">
      <c r="A122" s="724">
        <f t="shared" ref="A122:B122" si="22">+A41</f>
        <v>5404</v>
      </c>
      <c r="B122" s="724" t="str">
        <f t="shared" si="22"/>
        <v>Solids Handling Equipment and Supplies</v>
      </c>
      <c r="C122" s="660"/>
      <c r="D122" s="660"/>
      <c r="E122" s="660"/>
      <c r="F122" s="194"/>
      <c r="G122" s="194"/>
      <c r="H122" s="194"/>
      <c r="I122" s="194"/>
      <c r="J122" s="194"/>
      <c r="K122" s="194"/>
      <c r="L122" s="194"/>
      <c r="O122" s="372">
        <f t="shared" ref="O122:O142" si="23">+Q41</f>
        <v>21000</v>
      </c>
      <c r="P122" s="393">
        <f t="shared" ref="P122:P142" si="24">+S41</f>
        <v>21000</v>
      </c>
      <c r="Q122" s="372">
        <f t="shared" si="9"/>
        <v>0</v>
      </c>
      <c r="R122" s="374" t="str">
        <f t="shared" si="10"/>
        <v/>
      </c>
      <c r="S122" s="476"/>
      <c r="T122" s="924"/>
      <c r="U122" s="424"/>
    </row>
    <row r="123" spans="1:21" x14ac:dyDescent="0.25">
      <c r="A123" s="724">
        <f t="shared" ref="A123:B123" si="25">+A42</f>
        <v>5406</v>
      </c>
      <c r="B123" s="724" t="str">
        <f t="shared" si="25"/>
        <v>Water</v>
      </c>
      <c r="C123" s="660"/>
      <c r="D123" s="660"/>
      <c r="E123" s="660"/>
      <c r="F123" s="194"/>
      <c r="G123" s="194"/>
      <c r="H123" s="194"/>
      <c r="I123" s="194"/>
      <c r="J123" s="194"/>
      <c r="K123" s="194"/>
      <c r="L123" s="194"/>
      <c r="O123" s="372">
        <f t="shared" si="23"/>
        <v>10000</v>
      </c>
      <c r="P123" s="393">
        <f t="shared" si="24"/>
        <v>15000</v>
      </c>
      <c r="Q123" s="372">
        <f t="shared" si="9"/>
        <v>5000</v>
      </c>
      <c r="R123" s="374">
        <f t="shared" si="10"/>
        <v>0.5</v>
      </c>
      <c r="S123" s="476" t="s">
        <v>2426</v>
      </c>
      <c r="T123" s="924"/>
      <c r="U123" s="424"/>
    </row>
    <row r="124" spans="1:21" x14ac:dyDescent="0.25">
      <c r="A124" s="724">
        <f t="shared" ref="A124:B124" si="26">+A43</f>
        <v>5407</v>
      </c>
      <c r="B124" s="724" t="str">
        <f t="shared" si="26"/>
        <v>Primary Effluent Screw Pumps Eq/Supplies</v>
      </c>
      <c r="C124" s="660"/>
      <c r="D124" s="660"/>
      <c r="E124" s="660"/>
      <c r="F124" s="194"/>
      <c r="G124" s="194"/>
      <c r="H124" s="194"/>
      <c r="I124" s="194"/>
      <c r="J124" s="194"/>
      <c r="K124" s="194"/>
      <c r="L124" s="194"/>
      <c r="O124" s="372">
        <f t="shared" si="23"/>
        <v>1500</v>
      </c>
      <c r="P124" s="393">
        <f t="shared" si="24"/>
        <v>1500</v>
      </c>
      <c r="Q124" s="372">
        <f t="shared" si="9"/>
        <v>0</v>
      </c>
      <c r="R124" s="374" t="str">
        <f t="shared" si="10"/>
        <v/>
      </c>
      <c r="S124" s="476"/>
      <c r="T124" s="924"/>
      <c r="U124" s="424"/>
    </row>
    <row r="125" spans="1:21" x14ac:dyDescent="0.25">
      <c r="A125" s="724">
        <f t="shared" ref="A125:B125" si="27">+A44</f>
        <v>5408</v>
      </c>
      <c r="B125" s="724" t="str">
        <f t="shared" si="27"/>
        <v>Septage Handling</v>
      </c>
      <c r="C125" s="660"/>
      <c r="D125" s="660"/>
      <c r="E125" s="660"/>
      <c r="F125" s="194"/>
      <c r="G125" s="194"/>
      <c r="H125" s="194"/>
      <c r="I125" s="194"/>
      <c r="J125" s="194"/>
      <c r="K125" s="194"/>
      <c r="L125" s="194"/>
      <c r="O125" s="372">
        <f t="shared" si="23"/>
        <v>0</v>
      </c>
      <c r="P125" s="393">
        <f t="shared" si="24"/>
        <v>0</v>
      </c>
      <c r="Q125" s="372">
        <f t="shared" si="9"/>
        <v>0</v>
      </c>
      <c r="R125" s="374" t="str">
        <f t="shared" si="10"/>
        <v/>
      </c>
      <c r="S125" s="476"/>
      <c r="T125" s="924"/>
      <c r="U125" s="424"/>
    </row>
    <row r="126" spans="1:21" x14ac:dyDescent="0.25">
      <c r="A126" s="724">
        <f t="shared" ref="A126:B126" si="28">+A45</f>
        <v>5409</v>
      </c>
      <c r="B126" s="724" t="str">
        <f t="shared" si="28"/>
        <v>Odor Control</v>
      </c>
      <c r="C126" s="660"/>
      <c r="D126" s="660"/>
      <c r="E126" s="660"/>
      <c r="F126" s="194"/>
      <c r="G126" s="194"/>
      <c r="H126" s="194"/>
      <c r="I126" s="194"/>
      <c r="J126" s="194"/>
      <c r="K126" s="194"/>
      <c r="L126" s="194"/>
      <c r="O126" s="372">
        <f t="shared" si="23"/>
        <v>10000</v>
      </c>
      <c r="P126" s="393">
        <f t="shared" si="24"/>
        <v>10000</v>
      </c>
      <c r="Q126" s="372">
        <f t="shared" si="9"/>
        <v>0</v>
      </c>
      <c r="R126" s="374" t="str">
        <f t="shared" si="10"/>
        <v/>
      </c>
      <c r="S126" s="476"/>
      <c r="T126" s="924"/>
      <c r="U126" s="424"/>
    </row>
    <row r="127" spans="1:21" x14ac:dyDescent="0.25">
      <c r="A127" s="724">
        <f t="shared" ref="A127:B127" si="29">+A46</f>
        <v>5410</v>
      </c>
      <c r="B127" s="724" t="str">
        <f t="shared" si="29"/>
        <v>Pump Station Equipment &amp; Supplies</v>
      </c>
      <c r="C127" s="660"/>
      <c r="D127" s="660"/>
      <c r="E127" s="660"/>
      <c r="F127" s="194"/>
      <c r="G127" s="194"/>
      <c r="H127" s="194"/>
      <c r="I127" s="194"/>
      <c r="J127" s="194"/>
      <c r="K127" s="194"/>
      <c r="L127" s="194"/>
      <c r="O127" s="372">
        <f t="shared" si="23"/>
        <v>40000</v>
      </c>
      <c r="P127" s="393">
        <f t="shared" si="24"/>
        <v>40000</v>
      </c>
      <c r="Q127" s="372">
        <f t="shared" si="9"/>
        <v>0</v>
      </c>
      <c r="R127" s="374" t="str">
        <f t="shared" si="10"/>
        <v/>
      </c>
      <c r="S127" s="476"/>
      <c r="T127" s="924"/>
      <c r="U127" s="424"/>
    </row>
    <row r="128" spans="1:21" x14ac:dyDescent="0.25">
      <c r="A128" s="724">
        <f t="shared" ref="A128:B128" si="30">+A47</f>
        <v>5411</v>
      </c>
      <c r="B128" s="724" t="str">
        <f t="shared" si="30"/>
        <v>Communications</v>
      </c>
      <c r="C128" s="660"/>
      <c r="D128" s="660"/>
      <c r="E128" s="660"/>
      <c r="F128" s="194"/>
      <c r="G128" s="194"/>
      <c r="H128" s="194"/>
      <c r="I128" s="194"/>
      <c r="J128" s="194"/>
      <c r="K128" s="194"/>
      <c r="L128" s="194"/>
      <c r="O128" s="372">
        <f t="shared" si="23"/>
        <v>0</v>
      </c>
      <c r="P128" s="393">
        <f t="shared" si="24"/>
        <v>0</v>
      </c>
      <c r="Q128" s="372">
        <f t="shared" si="9"/>
        <v>0</v>
      </c>
      <c r="R128" s="374" t="str">
        <f t="shared" si="10"/>
        <v/>
      </c>
      <c r="S128" s="476"/>
      <c r="T128" s="924"/>
      <c r="U128" s="424"/>
    </row>
    <row r="129" spans="1:21" x14ac:dyDescent="0.25">
      <c r="A129" s="724">
        <f t="shared" ref="A129:B129" si="31">+A48</f>
        <v>5415</v>
      </c>
      <c r="B129" s="724" t="str">
        <f t="shared" si="31"/>
        <v>Oil &amp; Lubricants</v>
      </c>
      <c r="C129" s="660"/>
      <c r="D129" s="660"/>
      <c r="E129" s="660"/>
      <c r="F129" s="194"/>
      <c r="G129" s="194"/>
      <c r="H129" s="194"/>
      <c r="I129" s="194"/>
      <c r="J129" s="194"/>
      <c r="K129" s="194"/>
      <c r="L129" s="194"/>
      <c r="O129" s="372">
        <f t="shared" si="23"/>
        <v>4000</v>
      </c>
      <c r="P129" s="393">
        <f t="shared" si="24"/>
        <v>4000</v>
      </c>
      <c r="Q129" s="372">
        <f t="shared" si="9"/>
        <v>0</v>
      </c>
      <c r="R129" s="374" t="str">
        <f t="shared" si="10"/>
        <v/>
      </c>
      <c r="S129" s="476"/>
      <c r="T129" s="924"/>
      <c r="U129" s="424"/>
    </row>
    <row r="130" spans="1:21" x14ac:dyDescent="0.25">
      <c r="A130" s="724">
        <f t="shared" ref="A130:B130" si="32">+A49</f>
        <v>5418</v>
      </c>
      <c r="B130" s="724" t="str">
        <f t="shared" si="32"/>
        <v>Chlorination</v>
      </c>
      <c r="C130" s="660"/>
      <c r="D130" s="660"/>
      <c r="E130" s="660"/>
      <c r="F130" s="194"/>
      <c r="G130" s="194"/>
      <c r="H130" s="194"/>
      <c r="I130" s="194"/>
      <c r="J130" s="194"/>
      <c r="K130" s="194"/>
      <c r="L130" s="194"/>
      <c r="O130" s="372">
        <f t="shared" si="23"/>
        <v>23360</v>
      </c>
      <c r="P130" s="393">
        <f t="shared" si="24"/>
        <v>23000</v>
      </c>
      <c r="Q130" s="372">
        <f t="shared" si="9"/>
        <v>-360</v>
      </c>
      <c r="R130" s="374">
        <f t="shared" si="10"/>
        <v>-1.54E-2</v>
      </c>
      <c r="S130" s="476"/>
      <c r="T130" s="924"/>
      <c r="U130" s="424"/>
    </row>
    <row r="131" spans="1:21" x14ac:dyDescent="0.25">
      <c r="A131" s="724">
        <f t="shared" ref="A131:B131" si="33">+A50</f>
        <v>5430</v>
      </c>
      <c r="B131" s="724" t="str">
        <f t="shared" si="33"/>
        <v>CSO</v>
      </c>
      <c r="C131" s="660"/>
      <c r="D131" s="660"/>
      <c r="E131" s="660"/>
      <c r="F131" s="194"/>
      <c r="G131" s="194"/>
      <c r="H131" s="194"/>
      <c r="I131" s="194"/>
      <c r="J131" s="194"/>
      <c r="K131" s="194"/>
      <c r="L131" s="194"/>
      <c r="O131" s="372">
        <f t="shared" si="23"/>
        <v>0</v>
      </c>
      <c r="P131" s="393">
        <f t="shared" si="24"/>
        <v>0</v>
      </c>
      <c r="Q131" s="372">
        <f t="shared" si="9"/>
        <v>0</v>
      </c>
      <c r="R131" s="374" t="str">
        <f t="shared" si="10"/>
        <v/>
      </c>
      <c r="S131" s="476" t="s">
        <v>2427</v>
      </c>
      <c r="T131" s="924"/>
      <c r="U131" s="424"/>
    </row>
    <row r="132" spans="1:21" x14ac:dyDescent="0.25">
      <c r="A132" s="724">
        <f t="shared" ref="A132:B132" si="34">+A51</f>
        <v>5440</v>
      </c>
      <c r="B132" s="724" t="str">
        <f t="shared" si="34"/>
        <v>Other operational Supplies</v>
      </c>
      <c r="C132" s="660"/>
      <c r="D132" s="660"/>
      <c r="E132" s="660"/>
      <c r="F132" s="194"/>
      <c r="G132" s="194"/>
      <c r="H132" s="194"/>
      <c r="I132" s="194"/>
      <c r="J132" s="194"/>
      <c r="K132" s="194"/>
      <c r="L132" s="194"/>
      <c r="O132" s="372">
        <f t="shared" si="23"/>
        <v>19000</v>
      </c>
      <c r="P132" s="393">
        <f t="shared" si="24"/>
        <v>19000</v>
      </c>
      <c r="Q132" s="372">
        <f t="shared" si="9"/>
        <v>0</v>
      </c>
      <c r="R132" s="374" t="str">
        <f t="shared" si="10"/>
        <v/>
      </c>
      <c r="S132" s="476"/>
      <c r="T132" s="924"/>
      <c r="U132" s="424"/>
    </row>
    <row r="133" spans="1:21" x14ac:dyDescent="0.25">
      <c r="A133" s="724">
        <f t="shared" ref="A133:B133" si="35">+A52</f>
        <v>5446</v>
      </c>
      <c r="B133" s="724" t="str">
        <f t="shared" si="35"/>
        <v>Lab Equipment &amp; Supplies</v>
      </c>
      <c r="C133" s="660"/>
      <c r="D133" s="660"/>
      <c r="E133" s="660"/>
      <c r="F133" s="194"/>
      <c r="G133" s="194"/>
      <c r="H133" s="194"/>
      <c r="I133" s="194"/>
      <c r="J133" s="194"/>
      <c r="K133" s="194"/>
      <c r="L133" s="194"/>
      <c r="O133" s="372">
        <f t="shared" si="23"/>
        <v>12000</v>
      </c>
      <c r="P133" s="393">
        <f t="shared" si="24"/>
        <v>12000</v>
      </c>
      <c r="Q133" s="372">
        <f t="shared" si="9"/>
        <v>0</v>
      </c>
      <c r="R133" s="374" t="str">
        <f t="shared" si="10"/>
        <v/>
      </c>
      <c r="S133" s="476"/>
      <c r="T133" s="924"/>
      <c r="U133" s="424"/>
    </row>
    <row r="134" spans="1:21" x14ac:dyDescent="0.25">
      <c r="A134" s="724">
        <f t="shared" ref="A134:B134" si="36">+A53</f>
        <v>5470</v>
      </c>
      <c r="B134" s="724" t="str">
        <f t="shared" si="36"/>
        <v>Chemicals (orig budg incl in 5280, 5440)</v>
      </c>
      <c r="C134" s="660"/>
      <c r="D134" s="660"/>
      <c r="E134" s="660"/>
      <c r="F134" s="194"/>
      <c r="G134" s="194"/>
      <c r="H134" s="194"/>
      <c r="I134" s="194"/>
      <c r="J134" s="194"/>
      <c r="K134" s="194"/>
      <c r="L134" s="194"/>
      <c r="O134" s="372">
        <f t="shared" si="23"/>
        <v>26640</v>
      </c>
      <c r="P134" s="393">
        <f t="shared" si="24"/>
        <v>26640</v>
      </c>
      <c r="Q134" s="372">
        <f t="shared" si="9"/>
        <v>0</v>
      </c>
      <c r="R134" s="374" t="str">
        <f t="shared" si="10"/>
        <v/>
      </c>
      <c r="S134" s="476"/>
      <c r="T134" s="924"/>
      <c r="U134" s="424"/>
    </row>
    <row r="135" spans="1:21" x14ac:dyDescent="0.25">
      <c r="A135" s="724">
        <f t="shared" ref="A135:B135" si="37">+A54</f>
        <v>5480</v>
      </c>
      <c r="B135" s="724" t="str">
        <f t="shared" si="37"/>
        <v>Vehicle Equipment &amp; Supplies</v>
      </c>
      <c r="C135" s="660"/>
      <c r="D135" s="660"/>
      <c r="E135" s="660"/>
      <c r="F135" s="194"/>
      <c r="G135" s="194"/>
      <c r="H135" s="194"/>
      <c r="I135" s="194"/>
      <c r="J135" s="194"/>
      <c r="K135" s="194"/>
      <c r="L135" s="194"/>
      <c r="O135" s="372">
        <f t="shared" si="23"/>
        <v>3000</v>
      </c>
      <c r="P135" s="393">
        <f t="shared" si="24"/>
        <v>3000</v>
      </c>
      <c r="Q135" s="372">
        <f t="shared" si="9"/>
        <v>0</v>
      </c>
      <c r="R135" s="374" t="str">
        <f t="shared" si="10"/>
        <v/>
      </c>
      <c r="S135" s="476"/>
      <c r="T135" s="924"/>
      <c r="U135" s="424"/>
    </row>
    <row r="136" spans="1:21" x14ac:dyDescent="0.25">
      <c r="A136" s="724">
        <v>5481</v>
      </c>
      <c r="B136" s="369" t="s">
        <v>2075</v>
      </c>
      <c r="C136" s="660"/>
      <c r="D136" s="660"/>
      <c r="E136" s="660"/>
      <c r="F136" s="194"/>
      <c r="G136" s="194"/>
      <c r="H136" s="194"/>
      <c r="I136" s="194"/>
      <c r="J136" s="194"/>
      <c r="K136" s="194"/>
      <c r="L136" s="194"/>
      <c r="O136" s="372">
        <f t="shared" si="23"/>
        <v>3000</v>
      </c>
      <c r="P136" s="393">
        <f t="shared" si="24"/>
        <v>3000</v>
      </c>
      <c r="Q136" s="372">
        <f t="shared" ref="Q136" si="38">+P136-O136</f>
        <v>0</v>
      </c>
      <c r="R136" s="374" t="str">
        <f t="shared" si="10"/>
        <v/>
      </c>
      <c r="S136" s="476"/>
      <c r="T136" s="924"/>
      <c r="U136" s="424"/>
    </row>
    <row r="137" spans="1:21" x14ac:dyDescent="0.25">
      <c r="A137" s="724">
        <f t="shared" ref="A137:B137" si="39">+A56</f>
        <v>5582</v>
      </c>
      <c r="B137" s="724" t="str">
        <f t="shared" si="39"/>
        <v>Uniforms/Clothing</v>
      </c>
      <c r="C137" s="660"/>
      <c r="D137" s="660"/>
      <c r="E137" s="660"/>
      <c r="F137" s="194"/>
      <c r="G137" s="194"/>
      <c r="H137" s="194"/>
      <c r="I137" s="194"/>
      <c r="J137" s="194"/>
      <c r="K137" s="194"/>
      <c r="L137" s="194"/>
      <c r="O137" s="372">
        <f t="shared" si="23"/>
        <v>9000</v>
      </c>
      <c r="P137" s="393">
        <f t="shared" si="24"/>
        <v>12600</v>
      </c>
      <c r="Q137" s="372">
        <f t="shared" si="9"/>
        <v>3600</v>
      </c>
      <c r="R137" s="374">
        <f t="shared" si="10"/>
        <v>0.4</v>
      </c>
      <c r="S137" s="476" t="s">
        <v>2428</v>
      </c>
      <c r="T137" s="924"/>
      <c r="U137" s="424"/>
    </row>
    <row r="138" spans="1:21" x14ac:dyDescent="0.25">
      <c r="A138" s="724">
        <f t="shared" ref="A138:B138" si="40">+A57</f>
        <v>5740</v>
      </c>
      <c r="B138" s="724" t="str">
        <f t="shared" si="40"/>
        <v>General Insurance</v>
      </c>
      <c r="C138" s="660"/>
      <c r="D138" s="660"/>
      <c r="E138" s="660"/>
      <c r="F138" s="194"/>
      <c r="G138" s="194"/>
      <c r="H138" s="194"/>
      <c r="I138" s="194"/>
      <c r="J138" s="194"/>
      <c r="K138" s="194"/>
      <c r="L138" s="194"/>
      <c r="O138" s="372">
        <f t="shared" si="23"/>
        <v>25000</v>
      </c>
      <c r="P138" s="393">
        <f t="shared" si="24"/>
        <v>25000</v>
      </c>
      <c r="Q138" s="372">
        <f t="shared" si="9"/>
        <v>0</v>
      </c>
      <c r="R138" s="374" t="str">
        <f t="shared" si="10"/>
        <v/>
      </c>
      <c r="S138" s="476"/>
      <c r="T138" s="924"/>
      <c r="U138" s="424"/>
    </row>
    <row r="139" spans="1:21" x14ac:dyDescent="0.25">
      <c r="A139" s="724">
        <f t="shared" ref="A139:B139" si="41">+A58</f>
        <v>5790</v>
      </c>
      <c r="B139" s="724" t="str">
        <f t="shared" si="41"/>
        <v>Town Overhead</v>
      </c>
      <c r="C139" s="660"/>
      <c r="D139" s="660"/>
      <c r="E139" s="660"/>
      <c r="F139" s="194"/>
      <c r="G139" s="194"/>
      <c r="H139" s="194"/>
      <c r="I139" s="194"/>
      <c r="J139" s="194"/>
      <c r="K139" s="194"/>
      <c r="L139" s="194"/>
      <c r="O139" s="372">
        <f t="shared" si="23"/>
        <v>52512</v>
      </c>
      <c r="P139" s="393">
        <f t="shared" si="24"/>
        <v>50511</v>
      </c>
      <c r="Q139" s="372">
        <f t="shared" si="9"/>
        <v>-2001</v>
      </c>
      <c r="R139" s="374">
        <f t="shared" si="10"/>
        <v>-3.8100000000000002E-2</v>
      </c>
      <c r="S139" s="476"/>
      <c r="T139" s="924"/>
      <c r="U139" s="424"/>
    </row>
    <row r="140" spans="1:21" x14ac:dyDescent="0.25">
      <c r="A140" s="724">
        <f t="shared" ref="A140:B140" si="42">+A59</f>
        <v>5791</v>
      </c>
      <c r="B140" s="724" t="str">
        <f t="shared" si="42"/>
        <v>TFFD Meter Reading</v>
      </c>
      <c r="C140" s="660"/>
      <c r="D140" s="660"/>
      <c r="E140" s="660"/>
      <c r="F140" s="194"/>
      <c r="G140" s="194"/>
      <c r="H140" s="194"/>
      <c r="I140" s="194"/>
      <c r="J140" s="194"/>
      <c r="K140" s="194"/>
      <c r="L140" s="194"/>
      <c r="O140" s="372">
        <f t="shared" si="23"/>
        <v>5500</v>
      </c>
      <c r="P140" s="393">
        <f t="shared" si="24"/>
        <v>7500</v>
      </c>
      <c r="Q140" s="372">
        <f t="shared" si="9"/>
        <v>2000</v>
      </c>
      <c r="R140" s="374">
        <f t="shared" si="10"/>
        <v>0.36359999999999998</v>
      </c>
      <c r="S140" s="476"/>
      <c r="T140" s="924"/>
      <c r="U140" s="424"/>
    </row>
    <row r="141" spans="1:21" x14ac:dyDescent="0.25">
      <c r="A141" s="724">
        <f t="shared" ref="A141:B141" si="43">+A60</f>
        <v>5795</v>
      </c>
      <c r="B141" s="724" t="str">
        <f t="shared" si="43"/>
        <v>Millers Falls Assessment</v>
      </c>
      <c r="C141" s="660"/>
      <c r="D141" s="660"/>
      <c r="E141" s="660"/>
      <c r="F141" s="194"/>
      <c r="G141" s="194"/>
      <c r="H141" s="194"/>
      <c r="I141" s="194"/>
      <c r="J141" s="194"/>
      <c r="K141" s="194"/>
      <c r="L141" s="194"/>
      <c r="O141" s="372">
        <f t="shared" si="23"/>
        <v>236232</v>
      </c>
      <c r="P141" s="393">
        <f t="shared" si="24"/>
        <v>242138</v>
      </c>
      <c r="Q141" s="372">
        <f t="shared" si="9"/>
        <v>5906</v>
      </c>
      <c r="R141" s="374">
        <f t="shared" si="10"/>
        <v>2.5000000000000001E-2</v>
      </c>
      <c r="S141" s="476" t="s">
        <v>2429</v>
      </c>
      <c r="T141" s="924"/>
      <c r="U141" s="424"/>
    </row>
    <row r="142" spans="1:21" x14ac:dyDescent="0.25">
      <c r="A142" s="724">
        <f t="shared" ref="A142:B142" si="44">+A61</f>
        <v>5796</v>
      </c>
      <c r="B142" s="724" t="str">
        <f t="shared" si="44"/>
        <v>Millers Falls Overage Charge</v>
      </c>
      <c r="C142" s="660"/>
      <c r="D142" s="660"/>
      <c r="E142" s="660"/>
      <c r="F142" s="194"/>
      <c r="G142" s="194"/>
      <c r="H142" s="194"/>
      <c r="I142" s="194"/>
      <c r="J142" s="194"/>
      <c r="K142" s="194"/>
      <c r="L142" s="194"/>
      <c r="O142" s="372">
        <f t="shared" si="23"/>
        <v>55000</v>
      </c>
      <c r="P142" s="393">
        <f t="shared" si="24"/>
        <v>94668</v>
      </c>
      <c r="Q142" s="372">
        <f t="shared" si="9"/>
        <v>39668</v>
      </c>
      <c r="R142" s="374">
        <f t="shared" si="10"/>
        <v>0.72119999999999995</v>
      </c>
      <c r="S142" s="664"/>
      <c r="T142" s="925"/>
      <c r="U142" s="407"/>
    </row>
    <row r="143" spans="1:21" x14ac:dyDescent="0.25">
      <c r="A143" s="724">
        <f t="shared" ref="A143:B143" si="45">+A63</f>
        <v>5780</v>
      </c>
      <c r="B143" s="724" t="str">
        <f t="shared" si="45"/>
        <v>Budgeted Surplus</v>
      </c>
      <c r="C143" s="660"/>
      <c r="D143" s="660"/>
      <c r="E143" s="660"/>
      <c r="F143" s="194"/>
      <c r="G143" s="194"/>
      <c r="H143" s="194"/>
      <c r="I143" s="194"/>
      <c r="J143" s="194"/>
      <c r="K143" s="194"/>
      <c r="L143" s="194"/>
      <c r="O143" s="372">
        <f>+Q63</f>
        <v>98000</v>
      </c>
      <c r="P143" s="393">
        <f>+S63</f>
        <v>98000</v>
      </c>
      <c r="Q143" s="372">
        <f t="shared" si="9"/>
        <v>0</v>
      </c>
      <c r="R143" s="374" t="str">
        <f t="shared" si="10"/>
        <v/>
      </c>
      <c r="S143" s="477" t="s">
        <v>2430</v>
      </c>
      <c r="T143" s="923"/>
      <c r="U143" s="368"/>
    </row>
    <row r="144" spans="1:21" x14ac:dyDescent="0.25">
      <c r="A144" s="724"/>
      <c r="B144" s="724"/>
      <c r="C144" s="660"/>
      <c r="D144" s="660"/>
      <c r="E144" s="660"/>
      <c r="F144" s="194"/>
      <c r="G144" s="194"/>
      <c r="H144" s="194"/>
      <c r="I144" s="194"/>
      <c r="J144" s="194"/>
      <c r="K144" s="194"/>
      <c r="L144" s="194"/>
      <c r="O144" s="372"/>
      <c r="P144" s="393"/>
      <c r="Q144" s="372"/>
      <c r="R144" s="374"/>
      <c r="S144" s="477"/>
      <c r="T144" s="923"/>
      <c r="U144" s="368"/>
    </row>
    <row r="145" spans="1:21" x14ac:dyDescent="0.25">
      <c r="A145" s="730">
        <v>5800</v>
      </c>
      <c r="B145" s="397" t="s">
        <v>1518</v>
      </c>
      <c r="C145" s="660"/>
      <c r="D145" s="660"/>
      <c r="E145" s="660"/>
      <c r="F145" s="194"/>
      <c r="G145" s="194"/>
      <c r="H145" s="194"/>
      <c r="I145" s="194"/>
      <c r="J145" s="194"/>
      <c r="K145" s="194"/>
      <c r="L145" s="194"/>
      <c r="O145" s="372">
        <f>+Q66</f>
        <v>58500</v>
      </c>
      <c r="P145" s="393">
        <f>+S66</f>
        <v>58500</v>
      </c>
      <c r="Q145" s="372">
        <f t="shared" ref="Q145" si="46">+P145-O145</f>
        <v>0</v>
      </c>
      <c r="R145" s="374"/>
      <c r="S145" s="477"/>
      <c r="T145" s="923"/>
      <c r="U145" s="368"/>
    </row>
    <row r="146" spans="1:21" x14ac:dyDescent="0.25">
      <c r="A146" s="724"/>
      <c r="B146" s="724"/>
      <c r="C146" s="660"/>
      <c r="D146" s="660"/>
      <c r="E146" s="660"/>
      <c r="F146" s="194"/>
      <c r="G146" s="194"/>
      <c r="H146" s="194"/>
      <c r="I146" s="194"/>
      <c r="J146" s="194"/>
      <c r="K146" s="194"/>
      <c r="L146" s="194"/>
      <c r="O146" s="372"/>
      <c r="P146" s="393"/>
      <c r="Q146" s="372"/>
      <c r="R146" s="374"/>
      <c r="S146" s="477"/>
      <c r="T146" s="923"/>
      <c r="U146" s="368"/>
    </row>
    <row r="147" spans="1:21" x14ac:dyDescent="0.25">
      <c r="A147" s="703"/>
      <c r="B147" s="4" t="s">
        <v>735</v>
      </c>
      <c r="C147" s="23"/>
      <c r="D147" s="23"/>
      <c r="E147" s="23"/>
      <c r="F147" s="23"/>
      <c r="G147" s="23"/>
      <c r="H147" s="194"/>
      <c r="I147" s="194"/>
      <c r="J147" s="194"/>
      <c r="K147" s="194"/>
      <c r="L147" s="194"/>
      <c r="O147" s="597">
        <f>SUM(O95:O146)</f>
        <v>2074229</v>
      </c>
      <c r="P147" s="597">
        <f>SUM(P95:P146)</f>
        <v>2175090</v>
      </c>
      <c r="Q147" s="597">
        <f>SUM(Q95:Q146)</f>
        <v>100861</v>
      </c>
      <c r="R147" s="598">
        <f>IF(O147+P147&lt;&gt;0,IF(O147&lt;&gt;0,IF(Q147&lt;&gt;0,ROUND((+Q147/O147),4),""),1),"")</f>
        <v>4.8599999999999997E-2</v>
      </c>
    </row>
    <row r="148" spans="1:21" x14ac:dyDescent="0.25">
      <c r="D148" s="194"/>
      <c r="E148" s="194"/>
      <c r="F148" s="194"/>
      <c r="G148" s="194"/>
      <c r="H148" s="194"/>
      <c r="I148" s="194">
        <f>+K69</f>
        <v>1585763</v>
      </c>
      <c r="J148" s="194"/>
      <c r="K148" s="194"/>
      <c r="L148" s="194"/>
      <c r="M148" s="194"/>
      <c r="N148" s="194"/>
      <c r="O148" s="194"/>
      <c r="P148" s="194"/>
      <c r="Q148" s="194"/>
    </row>
  </sheetData>
  <phoneticPr fontId="0" type="noConversion"/>
  <hyperlinks>
    <hyperlink ref="A1" location="'Working Budget with funding det'!A1" display="Main " xr:uid="{00000000-0004-0000-3900-000000000000}"/>
    <hyperlink ref="B1" location="'Table of Contents'!A1" display="TOC" xr:uid="{00000000-0004-0000-3900-000001000000}"/>
  </hyperlinks>
  <pageMargins left="0.75" right="0.75" top="1" bottom="1" header="0.5" footer="0.5"/>
  <pageSetup scale="88" fitToHeight="4" orientation="landscape" r:id="rId1"/>
  <headerFooter alignWithMargins="0">
    <oddFooter>&amp;L&amp;D     &amp;T&amp;C&amp;F&amp;R&amp;A   &amp;P</oddFooter>
  </headerFooter>
  <rowBreaks count="1" manualBreakCount="1">
    <brk id="74" max="1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50"/>
  </sheetPr>
  <dimension ref="A1:Y165"/>
  <sheetViews>
    <sheetView topLeftCell="A14" zoomScaleNormal="100" workbookViewId="0">
      <selection activeCell="S15" sqref="S15"/>
    </sheetView>
  </sheetViews>
  <sheetFormatPr defaultRowHeight="13.2" x14ac:dyDescent="0.25"/>
  <cols>
    <col min="1" max="1" width="8.77734375" style="712"/>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4" width="14.44140625" customWidth="1"/>
    <col min="25" max="25" width="14.6640625" style="2" customWidth="1"/>
  </cols>
  <sheetData>
    <row r="1" spans="1:24" x14ac:dyDescent="0.25">
      <c r="A1" s="701" t="s">
        <v>736</v>
      </c>
      <c r="B1" s="290" t="s">
        <v>194</v>
      </c>
      <c r="D1" s="194"/>
      <c r="E1" s="194"/>
      <c r="F1" s="194"/>
      <c r="G1" s="194"/>
      <c r="H1" s="194"/>
      <c r="I1" s="194"/>
      <c r="J1" s="194"/>
      <c r="K1" s="194"/>
      <c r="L1" s="194"/>
      <c r="M1" s="194"/>
      <c r="N1" s="194"/>
      <c r="O1" s="194"/>
      <c r="P1" s="194"/>
      <c r="Q1" s="194"/>
      <c r="U1"/>
    </row>
    <row r="2" spans="1:24" ht="13.8" x14ac:dyDescent="0.25">
      <c r="A2" s="702" t="s">
        <v>1487</v>
      </c>
      <c r="B2" s="43"/>
      <c r="D2" s="194"/>
      <c r="E2" s="125"/>
      <c r="F2" s="194"/>
      <c r="G2" s="194"/>
      <c r="H2" s="194"/>
      <c r="I2" s="125" t="s">
        <v>706</v>
      </c>
      <c r="J2" s="58"/>
      <c r="K2" s="58"/>
      <c r="L2" s="58"/>
      <c r="M2" s="58"/>
      <c r="N2" s="58"/>
      <c r="O2" s="58"/>
      <c r="P2" s="58"/>
      <c r="Q2" s="58"/>
      <c r="R2" s="1"/>
      <c r="S2" s="44" t="s">
        <v>1527</v>
      </c>
      <c r="T2" s="44"/>
    </row>
    <row r="3" spans="1:24" ht="13.8" thickBot="1" x14ac:dyDescent="0.3">
      <c r="A3" s="703"/>
      <c r="B3" s="4"/>
      <c r="C3" s="23"/>
      <c r="D3" s="23"/>
      <c r="E3" s="23"/>
      <c r="F3" s="23"/>
      <c r="G3" s="23"/>
      <c r="H3" s="23"/>
      <c r="I3" s="23"/>
      <c r="J3" s="23"/>
      <c r="K3" s="23"/>
      <c r="L3" s="23"/>
      <c r="M3" s="23"/>
      <c r="N3" s="23"/>
      <c r="O3" s="23"/>
      <c r="P3" s="23"/>
      <c r="Q3" s="23"/>
      <c r="R3" s="4"/>
      <c r="S3" s="23"/>
      <c r="T3" s="23"/>
      <c r="U3" s="4"/>
      <c r="X3" s="4"/>
    </row>
    <row r="4" spans="1:24"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4"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4" x14ac:dyDescent="0.25">
      <c r="A6" s="705"/>
      <c r="B6" s="184"/>
      <c r="C6" s="112"/>
      <c r="D6" s="112"/>
      <c r="E6" s="112"/>
      <c r="F6" s="82"/>
      <c r="G6" s="112"/>
      <c r="H6" s="112"/>
      <c r="I6" s="83"/>
      <c r="J6" s="83"/>
      <c r="K6" s="83"/>
      <c r="L6" s="83"/>
      <c r="M6" s="83"/>
      <c r="N6" s="83"/>
      <c r="O6" s="83"/>
      <c r="P6" s="83"/>
      <c r="Q6" s="83"/>
      <c r="R6" s="112"/>
      <c r="S6" s="83" t="s">
        <v>713</v>
      </c>
      <c r="T6" s="83" t="s">
        <v>481</v>
      </c>
      <c r="U6" s="45" t="s">
        <v>714</v>
      </c>
    </row>
    <row r="7" spans="1:24"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4" ht="13.8" thickTop="1" x14ac:dyDescent="0.25">
      <c r="A8" s="725"/>
      <c r="B8" s="185"/>
      <c r="C8" s="117"/>
      <c r="D8" s="18"/>
      <c r="E8" s="18"/>
      <c r="F8" s="18"/>
      <c r="G8" s="18"/>
      <c r="H8" s="18"/>
      <c r="I8" s="19"/>
      <c r="J8" s="19"/>
      <c r="K8" s="19"/>
      <c r="L8" s="19"/>
      <c r="M8" s="19"/>
      <c r="N8" s="19"/>
      <c r="O8" s="19"/>
      <c r="P8" s="19"/>
      <c r="Q8" s="19"/>
      <c r="R8" s="18"/>
      <c r="S8" s="19"/>
      <c r="T8" s="19"/>
      <c r="U8" s="19"/>
    </row>
    <row r="9" spans="1:24" x14ac:dyDescent="0.25">
      <c r="A9" s="708">
        <v>5112</v>
      </c>
      <c r="B9" s="60" t="s">
        <v>1205</v>
      </c>
      <c r="C9" s="311">
        <v>4545.67</v>
      </c>
      <c r="D9" s="127">
        <f>63.11+5644.1</f>
        <v>5707.21</v>
      </c>
      <c r="E9" s="127">
        <v>17794.28</v>
      </c>
      <c r="F9" s="127">
        <v>14174.24</v>
      </c>
      <c r="G9" s="127">
        <v>9439.34</v>
      </c>
      <c r="H9" s="127">
        <v>11085.96</v>
      </c>
      <c r="I9" s="127">
        <v>12666.61</v>
      </c>
      <c r="J9" s="127">
        <v>2065.6999999999998</v>
      </c>
      <c r="K9" s="14">
        <v>21300</v>
      </c>
      <c r="L9" s="127">
        <v>1336.32</v>
      </c>
      <c r="M9" s="14">
        <v>21300</v>
      </c>
      <c r="N9" s="127">
        <v>1474.4</v>
      </c>
      <c r="O9" s="14">
        <v>21300</v>
      </c>
      <c r="P9" s="13">
        <v>3496.31</v>
      </c>
      <c r="Q9" s="14">
        <f>2500</f>
        <v>2500</v>
      </c>
      <c r="R9" s="127">
        <v>528</v>
      </c>
      <c r="S9" s="14">
        <f>2500</f>
        <v>2500</v>
      </c>
      <c r="T9" s="14"/>
      <c r="U9" s="14"/>
    </row>
    <row r="10" spans="1:24" x14ac:dyDescent="0.25">
      <c r="A10" s="708">
        <v>5132</v>
      </c>
      <c r="B10" s="60" t="s">
        <v>1147</v>
      </c>
      <c r="C10" s="311">
        <v>1961.27</v>
      </c>
      <c r="D10" s="127">
        <f>1.68+2428.95</f>
        <v>2430.6299999999997</v>
      </c>
      <c r="E10" s="127">
        <v>1931.5</v>
      </c>
      <c r="F10" s="127">
        <v>855.54</v>
      </c>
      <c r="G10" s="127">
        <v>1837.89</v>
      </c>
      <c r="H10" s="127">
        <v>2301.96</v>
      </c>
      <c r="I10" s="127">
        <v>6062.31</v>
      </c>
      <c r="J10" s="127">
        <v>1525.21</v>
      </c>
      <c r="K10" s="14">
        <v>2500</v>
      </c>
      <c r="L10" s="127">
        <v>12365.81</v>
      </c>
      <c r="M10" s="14">
        <v>2500</v>
      </c>
      <c r="N10" s="127">
        <v>11142.17</v>
      </c>
      <c r="O10" s="14">
        <v>2500</v>
      </c>
      <c r="P10" s="13">
        <v>14583.2</v>
      </c>
      <c r="Q10" s="14">
        <f>8000+21300</f>
        <v>29300</v>
      </c>
      <c r="R10" s="127">
        <v>11971.54</v>
      </c>
      <c r="S10" s="14">
        <f>8000+21300</f>
        <v>29300</v>
      </c>
      <c r="T10" s="14"/>
      <c r="U10" s="14"/>
    </row>
    <row r="11" spans="1:24" ht="13.8" thickBot="1" x14ac:dyDescent="0.3">
      <c r="A11" s="708">
        <v>5142</v>
      </c>
      <c r="B11" s="60" t="s">
        <v>1016</v>
      </c>
      <c r="C11" s="572">
        <v>862.96</v>
      </c>
      <c r="D11" s="28">
        <f>2.9+312.47</f>
        <v>315.37</v>
      </c>
      <c r="E11" s="28">
        <v>548.44000000000005</v>
      </c>
      <c r="F11" s="28">
        <v>715.7</v>
      </c>
      <c r="G11" s="28">
        <v>802.76</v>
      </c>
      <c r="H11" s="28">
        <v>433.84</v>
      </c>
      <c r="I11" s="28">
        <v>541.12</v>
      </c>
      <c r="J11" s="28">
        <v>43.76</v>
      </c>
      <c r="K11" s="29">
        <v>1000</v>
      </c>
      <c r="L11" s="28">
        <v>594.45000000000005</v>
      </c>
      <c r="M11" s="29">
        <v>1000</v>
      </c>
      <c r="N11" s="28">
        <v>669.46</v>
      </c>
      <c r="O11" s="29">
        <v>1000</v>
      </c>
      <c r="P11" s="28">
        <v>1058.78</v>
      </c>
      <c r="Q11" s="29">
        <v>1000</v>
      </c>
      <c r="R11" s="28"/>
      <c r="S11" s="29">
        <v>1000</v>
      </c>
      <c r="T11" s="29"/>
      <c r="U11" s="29"/>
    </row>
    <row r="12" spans="1:24" x14ac:dyDescent="0.25">
      <c r="A12" s="708"/>
      <c r="B12" s="61" t="s">
        <v>718</v>
      </c>
      <c r="C12" s="573">
        <f t="shared" ref="C12:R12" si="0">SUM(C9:C11)</f>
        <v>7369.9000000000005</v>
      </c>
      <c r="D12" s="30">
        <f t="shared" si="0"/>
        <v>8453.2100000000009</v>
      </c>
      <c r="E12" s="30">
        <f t="shared" si="0"/>
        <v>20274.219999999998</v>
      </c>
      <c r="F12" s="30">
        <f t="shared" ref="F12:N12" si="1">SUM(F9:F11)</f>
        <v>15745.48</v>
      </c>
      <c r="G12" s="30">
        <f t="shared" si="1"/>
        <v>12079.99</v>
      </c>
      <c r="H12" s="30">
        <f t="shared" si="1"/>
        <v>13821.759999999998</v>
      </c>
      <c r="I12" s="30">
        <f t="shared" si="1"/>
        <v>19270.04</v>
      </c>
      <c r="J12" s="30">
        <f t="shared" si="1"/>
        <v>3634.67</v>
      </c>
      <c r="K12" s="31">
        <f t="shared" si="1"/>
        <v>24800</v>
      </c>
      <c r="L12" s="30">
        <f t="shared" si="1"/>
        <v>14296.58</v>
      </c>
      <c r="M12" s="31">
        <f>SUM(M9:M11)</f>
        <v>24800</v>
      </c>
      <c r="N12" s="30">
        <f t="shared" si="1"/>
        <v>13286.029999999999</v>
      </c>
      <c r="O12" s="31">
        <f>SUM(O9:O11)</f>
        <v>24800</v>
      </c>
      <c r="P12" s="30">
        <f>SUM(P9:P11)</f>
        <v>19138.29</v>
      </c>
      <c r="Q12" s="31">
        <f>SUM(Q9:Q11)</f>
        <v>32800</v>
      </c>
      <c r="R12" s="30">
        <f t="shared" si="0"/>
        <v>12499.54</v>
      </c>
      <c r="S12" s="31">
        <f>SUM(S9:S11)</f>
        <v>32800</v>
      </c>
      <c r="T12" s="31"/>
      <c r="U12" s="31">
        <f>+S12</f>
        <v>32800</v>
      </c>
    </row>
    <row r="13" spans="1:24" x14ac:dyDescent="0.25">
      <c r="A13" s="708"/>
      <c r="B13" s="60"/>
      <c r="C13" s="115"/>
      <c r="D13" s="13"/>
      <c r="E13" s="13"/>
      <c r="F13" s="13"/>
      <c r="G13" s="13"/>
      <c r="H13" s="13"/>
      <c r="I13" s="13"/>
      <c r="J13" s="13"/>
      <c r="K13" s="14"/>
      <c r="L13" s="13"/>
      <c r="M13" s="14"/>
      <c r="N13" s="13"/>
      <c r="O13" s="14"/>
      <c r="P13" s="13"/>
      <c r="Q13" s="14"/>
      <c r="R13" s="13"/>
      <c r="S13" s="14"/>
      <c r="T13" s="14"/>
      <c r="U13" s="14"/>
    </row>
    <row r="14" spans="1:24" x14ac:dyDescent="0.25">
      <c r="A14" s="708">
        <v>5249</v>
      </c>
      <c r="B14" s="60" t="s">
        <v>1528</v>
      </c>
      <c r="C14" s="115">
        <v>400</v>
      </c>
      <c r="D14" s="13">
        <v>0</v>
      </c>
      <c r="E14" s="13">
        <v>16295.59</v>
      </c>
      <c r="F14" s="13"/>
      <c r="G14" s="13"/>
      <c r="H14" s="13"/>
      <c r="I14" s="13">
        <v>0</v>
      </c>
      <c r="J14" s="13"/>
      <c r="K14" s="14">
        <v>1000</v>
      </c>
      <c r="L14" s="13"/>
      <c r="M14" s="14">
        <v>1000</v>
      </c>
      <c r="N14" s="13">
        <v>711</v>
      </c>
      <c r="O14" s="14">
        <v>1000</v>
      </c>
      <c r="P14" s="13"/>
      <c r="Q14" s="14">
        <v>1000</v>
      </c>
      <c r="R14" s="13"/>
      <c r="S14" s="14">
        <v>1000</v>
      </c>
      <c r="T14" s="14"/>
      <c r="U14" s="14"/>
    </row>
    <row r="15" spans="1:24" x14ac:dyDescent="0.25">
      <c r="A15" s="708">
        <v>5252</v>
      </c>
      <c r="B15" s="60" t="s">
        <v>1529</v>
      </c>
      <c r="C15" s="115">
        <v>6272.16</v>
      </c>
      <c r="D15" s="13">
        <v>160.99</v>
      </c>
      <c r="E15" s="13">
        <v>1050</v>
      </c>
      <c r="F15" s="13">
        <v>592.44000000000005</v>
      </c>
      <c r="G15" s="13"/>
      <c r="H15" s="13"/>
      <c r="I15" s="13">
        <v>0</v>
      </c>
      <c r="J15" s="13">
        <v>1140</v>
      </c>
      <c r="K15" s="14">
        <v>4500</v>
      </c>
      <c r="L15" s="13">
        <v>2650</v>
      </c>
      <c r="M15" s="14">
        <v>4500</v>
      </c>
      <c r="N15" s="13">
        <v>5942.76</v>
      </c>
      <c r="O15" s="14">
        <v>4500</v>
      </c>
      <c r="P15" s="13">
        <v>6870</v>
      </c>
      <c r="Q15" s="14">
        <v>4500</v>
      </c>
      <c r="R15" s="13"/>
      <c r="S15" s="14">
        <v>4500</v>
      </c>
      <c r="T15" s="14"/>
      <c r="U15" s="14"/>
    </row>
    <row r="16" spans="1:24" x14ac:dyDescent="0.25">
      <c r="A16" s="708">
        <v>5271</v>
      </c>
      <c r="B16" s="60" t="s">
        <v>1530</v>
      </c>
      <c r="C16" s="115">
        <v>100</v>
      </c>
      <c r="D16" s="13">
        <v>100</v>
      </c>
      <c r="E16" s="13"/>
      <c r="F16" s="13">
        <v>100</v>
      </c>
      <c r="G16" s="13">
        <v>100</v>
      </c>
      <c r="H16" s="13">
        <v>100</v>
      </c>
      <c r="I16" s="13">
        <v>100</v>
      </c>
      <c r="J16" s="13">
        <v>1350</v>
      </c>
      <c r="K16" s="14">
        <v>500</v>
      </c>
      <c r="L16" s="13">
        <v>300</v>
      </c>
      <c r="M16" s="14">
        <v>500</v>
      </c>
      <c r="N16" s="13">
        <v>100</v>
      </c>
      <c r="O16" s="14">
        <v>500</v>
      </c>
      <c r="P16" s="13">
        <v>1550</v>
      </c>
      <c r="Q16" s="14">
        <v>1350</v>
      </c>
      <c r="R16" s="13">
        <v>1350</v>
      </c>
      <c r="S16" s="14">
        <v>1350</v>
      </c>
      <c r="T16" s="14"/>
      <c r="U16" s="14"/>
    </row>
    <row r="17" spans="1:24" x14ac:dyDescent="0.25">
      <c r="A17" s="708">
        <v>5277</v>
      </c>
      <c r="B17" s="60" t="s">
        <v>1154</v>
      </c>
      <c r="C17" s="115"/>
      <c r="D17" s="13">
        <v>0</v>
      </c>
      <c r="E17" s="13"/>
      <c r="F17" s="13"/>
      <c r="G17" s="13"/>
      <c r="H17" s="13"/>
      <c r="I17" s="13">
        <v>0</v>
      </c>
      <c r="J17" s="13"/>
      <c r="K17" s="14">
        <v>1000</v>
      </c>
      <c r="L17" s="13"/>
      <c r="M17" s="14">
        <v>1000</v>
      </c>
      <c r="N17" s="13"/>
      <c r="O17" s="14">
        <v>1000</v>
      </c>
      <c r="P17" s="13"/>
      <c r="Q17" s="14">
        <v>1000</v>
      </c>
      <c r="R17" s="13"/>
      <c r="S17" s="14">
        <v>1000</v>
      </c>
      <c r="T17" s="14"/>
      <c r="U17" s="14"/>
    </row>
    <row r="18" spans="1:24" x14ac:dyDescent="0.25">
      <c r="A18" s="708">
        <v>5283</v>
      </c>
      <c r="B18" s="60" t="s">
        <v>1531</v>
      </c>
      <c r="C18" s="115">
        <v>386.2</v>
      </c>
      <c r="D18" s="13">
        <v>0</v>
      </c>
      <c r="E18" s="13"/>
      <c r="F18" s="13"/>
      <c r="G18" s="13"/>
      <c r="H18" s="13"/>
      <c r="I18" s="13">
        <v>0</v>
      </c>
      <c r="J18" s="13"/>
      <c r="K18" s="14">
        <v>1000</v>
      </c>
      <c r="L18" s="13">
        <v>1012.5</v>
      </c>
      <c r="M18" s="14">
        <v>1000</v>
      </c>
      <c r="N18" s="13"/>
      <c r="O18" s="14">
        <v>1000</v>
      </c>
      <c r="P18" s="13"/>
      <c r="Q18" s="14">
        <v>1000</v>
      </c>
      <c r="R18" s="13">
        <v>41.79</v>
      </c>
      <c r="S18" s="14">
        <v>1000</v>
      </c>
      <c r="T18" s="14"/>
      <c r="U18" s="14"/>
    </row>
    <row r="19" spans="1:24" x14ac:dyDescent="0.25">
      <c r="A19" s="708">
        <v>5303</v>
      </c>
      <c r="B19" s="12" t="s">
        <v>1532</v>
      </c>
      <c r="C19" s="13"/>
      <c r="D19" s="13">
        <v>0</v>
      </c>
      <c r="E19" s="13"/>
      <c r="F19" s="13"/>
      <c r="G19" s="13"/>
      <c r="H19" s="13"/>
      <c r="I19" s="13">
        <v>0</v>
      </c>
      <c r="J19" s="13"/>
      <c r="K19" s="14">
        <v>300</v>
      </c>
      <c r="L19" s="13"/>
      <c r="M19" s="14">
        <v>300</v>
      </c>
      <c r="N19" s="13">
        <v>579.91</v>
      </c>
      <c r="O19" s="14">
        <v>300</v>
      </c>
      <c r="P19" s="13"/>
      <c r="Q19" s="14">
        <v>300</v>
      </c>
      <c r="R19" s="13">
        <v>770</v>
      </c>
      <c r="S19" s="14">
        <v>800</v>
      </c>
      <c r="T19" s="14"/>
      <c r="U19" s="14"/>
    </row>
    <row r="20" spans="1:24" x14ac:dyDescent="0.25">
      <c r="A20" s="708">
        <v>5345</v>
      </c>
      <c r="B20" s="12" t="s">
        <v>752</v>
      </c>
      <c r="C20" s="18"/>
      <c r="D20" s="18"/>
      <c r="E20" s="18"/>
      <c r="F20" s="18"/>
      <c r="G20" s="18"/>
      <c r="H20" s="18"/>
      <c r="I20" s="18"/>
      <c r="J20" s="18"/>
      <c r="K20" s="19"/>
      <c r="L20" s="18"/>
      <c r="M20" s="19"/>
      <c r="N20" s="18"/>
      <c r="O20" s="19"/>
      <c r="P20" s="18">
        <v>481.71</v>
      </c>
      <c r="Q20" s="19"/>
      <c r="R20" s="18"/>
      <c r="S20" s="19"/>
      <c r="T20" s="19"/>
      <c r="U20" s="19"/>
    </row>
    <row r="21" spans="1:24" x14ac:dyDescent="0.25">
      <c r="A21" s="708">
        <v>5430</v>
      </c>
      <c r="B21" s="12" t="s">
        <v>1973</v>
      </c>
      <c r="C21" s="111"/>
      <c r="D21" s="111"/>
      <c r="E21" s="111"/>
      <c r="F21" s="111"/>
      <c r="G21" s="111"/>
      <c r="H21" s="111"/>
      <c r="I21" s="111"/>
      <c r="J21" s="111"/>
      <c r="K21" s="19"/>
      <c r="L21" s="111"/>
      <c r="M21" s="19"/>
      <c r="N21" s="111"/>
      <c r="O21" s="19"/>
      <c r="P21" s="18"/>
      <c r="Q21" s="19">
        <v>25000</v>
      </c>
      <c r="R21" s="111">
        <v>8475.2000000000007</v>
      </c>
      <c r="S21" s="19">
        <v>25000</v>
      </c>
      <c r="T21" s="19"/>
      <c r="U21" s="19"/>
    </row>
    <row r="22" spans="1:24" x14ac:dyDescent="0.25">
      <c r="A22" s="708">
        <v>5443</v>
      </c>
      <c r="B22" s="12" t="s">
        <v>1533</v>
      </c>
      <c r="C22" s="111">
        <v>7655.99</v>
      </c>
      <c r="D22" s="111">
        <v>8625.1200000000008</v>
      </c>
      <c r="E22" s="111">
        <v>2764.54</v>
      </c>
      <c r="F22" s="111">
        <v>30514.94</v>
      </c>
      <c r="G22" s="111">
        <v>6447.4</v>
      </c>
      <c r="H22" s="111">
        <v>5197.7</v>
      </c>
      <c r="I22" s="111">
        <v>7617.74</v>
      </c>
      <c r="J22" s="111">
        <v>5181.97</v>
      </c>
      <c r="K22" s="19">
        <v>5000</v>
      </c>
      <c r="L22" s="111">
        <v>8824.2999999999993</v>
      </c>
      <c r="M22" s="19">
        <v>5000</v>
      </c>
      <c r="N22" s="111">
        <v>4028.05</v>
      </c>
      <c r="O22" s="19">
        <v>5000</v>
      </c>
      <c r="P22" s="18">
        <v>2505.0700000000002</v>
      </c>
      <c r="Q22" s="19">
        <v>5000</v>
      </c>
      <c r="R22" s="111">
        <v>2276.5100000000002</v>
      </c>
      <c r="S22" s="19">
        <v>5000</v>
      </c>
      <c r="T22" s="19"/>
      <c r="U22" s="19"/>
    </row>
    <row r="23" spans="1:24" ht="13.8" thickBot="1" x14ac:dyDescent="0.3">
      <c r="A23" s="708">
        <v>5530</v>
      </c>
      <c r="B23" s="12" t="s">
        <v>1169</v>
      </c>
      <c r="C23" s="252">
        <v>210.4</v>
      </c>
      <c r="D23" s="252">
        <v>0</v>
      </c>
      <c r="E23" s="252">
        <v>1294.25</v>
      </c>
      <c r="F23" s="252"/>
      <c r="G23" s="252">
        <v>978.6</v>
      </c>
      <c r="H23" s="252">
        <v>38.25</v>
      </c>
      <c r="I23" s="252">
        <v>0</v>
      </c>
      <c r="J23" s="252"/>
      <c r="K23" s="16">
        <v>4700</v>
      </c>
      <c r="L23" s="252"/>
      <c r="M23" s="16">
        <v>4700</v>
      </c>
      <c r="N23" s="252">
        <v>10184.98</v>
      </c>
      <c r="O23" s="16">
        <v>4700</v>
      </c>
      <c r="P23" s="15">
        <v>3638.32</v>
      </c>
      <c r="Q23" s="16">
        <v>12700</v>
      </c>
      <c r="R23" s="252"/>
      <c r="S23" s="16">
        <v>12700</v>
      </c>
      <c r="T23" s="16"/>
      <c r="U23" s="16"/>
    </row>
    <row r="24" spans="1:24" x14ac:dyDescent="0.25">
      <c r="A24" s="708"/>
      <c r="B24" s="61" t="s">
        <v>728</v>
      </c>
      <c r="C24" s="256">
        <f t="shared" ref="C24:R24" si="2">SUM(C14:C23)</f>
        <v>15024.749999999998</v>
      </c>
      <c r="D24" s="256">
        <f t="shared" si="2"/>
        <v>8886.11</v>
      </c>
      <c r="E24" s="256">
        <f t="shared" si="2"/>
        <v>21404.38</v>
      </c>
      <c r="F24" s="256">
        <f t="shared" ref="F24:K24" si="3">SUM(F14:F23)</f>
        <v>31207.379999999997</v>
      </c>
      <c r="G24" s="256">
        <f t="shared" si="3"/>
        <v>7526</v>
      </c>
      <c r="H24" s="256">
        <f t="shared" si="3"/>
        <v>5335.95</v>
      </c>
      <c r="I24" s="256">
        <f t="shared" si="3"/>
        <v>7717.74</v>
      </c>
      <c r="J24" s="256">
        <f t="shared" si="3"/>
        <v>7671.97</v>
      </c>
      <c r="K24" s="31">
        <f t="shared" si="3"/>
        <v>18000</v>
      </c>
      <c r="L24" s="256">
        <f t="shared" ref="L24:P24" si="4">SUM(L14:L23)</f>
        <v>12786.8</v>
      </c>
      <c r="M24" s="31">
        <f t="shared" si="4"/>
        <v>18000</v>
      </c>
      <c r="N24" s="256">
        <f t="shared" ref="N24" si="5">SUM(N14:N23)</f>
        <v>21546.7</v>
      </c>
      <c r="O24" s="31">
        <f t="shared" si="4"/>
        <v>18000</v>
      </c>
      <c r="P24" s="30">
        <f t="shared" si="4"/>
        <v>15045.099999999999</v>
      </c>
      <c r="Q24" s="31">
        <f>SUM(Q14:Q23)</f>
        <v>51850</v>
      </c>
      <c r="R24" s="1046">
        <f t="shared" si="2"/>
        <v>12913.500000000002</v>
      </c>
      <c r="S24" s="31">
        <f>SUM(S14:S23)</f>
        <v>52350</v>
      </c>
      <c r="T24" s="31"/>
      <c r="U24" s="31">
        <f>+S24</f>
        <v>52350</v>
      </c>
    </row>
    <row r="25" spans="1:24" x14ac:dyDescent="0.25">
      <c r="A25" s="708"/>
      <c r="B25" s="61"/>
      <c r="C25" s="111"/>
      <c r="D25" s="111"/>
      <c r="E25" s="111"/>
      <c r="F25" s="111"/>
      <c r="G25" s="111"/>
      <c r="H25" s="111"/>
      <c r="I25" s="111"/>
      <c r="J25" s="111"/>
      <c r="K25" s="19"/>
      <c r="L25" s="111"/>
      <c r="M25" s="19"/>
      <c r="N25" s="111"/>
      <c r="O25" s="19"/>
      <c r="P25" s="128"/>
      <c r="Q25" s="19"/>
      <c r="R25" s="1046"/>
      <c r="S25" s="19"/>
      <c r="T25" s="19"/>
      <c r="U25" s="19"/>
    </row>
    <row r="26" spans="1:24" ht="13.8" thickBot="1" x14ac:dyDescent="0.3">
      <c r="A26" s="708">
        <v>5800</v>
      </c>
      <c r="B26" s="60" t="s">
        <v>1259</v>
      </c>
      <c r="C26" s="252">
        <v>2116.23</v>
      </c>
      <c r="D26" s="252">
        <v>0</v>
      </c>
      <c r="E26" s="252">
        <v>0</v>
      </c>
      <c r="F26" s="252">
        <v>6467.28</v>
      </c>
      <c r="G26" s="252"/>
      <c r="H26" s="252"/>
      <c r="I26" s="252">
        <v>0</v>
      </c>
      <c r="J26" s="252">
        <v>0</v>
      </c>
      <c r="K26" s="16">
        <v>8000</v>
      </c>
      <c r="L26" s="252"/>
      <c r="M26" s="16">
        <v>8000</v>
      </c>
      <c r="N26" s="252"/>
      <c r="O26" s="16">
        <v>8000</v>
      </c>
      <c r="P26" s="1070"/>
      <c r="Q26" s="16"/>
      <c r="R26" s="1047"/>
      <c r="S26" s="16"/>
      <c r="T26" s="16"/>
      <c r="U26" s="16"/>
    </row>
    <row r="27" spans="1:24" x14ac:dyDescent="0.25">
      <c r="A27" s="708"/>
      <c r="B27" s="61" t="s">
        <v>829</v>
      </c>
      <c r="C27" s="18">
        <f t="shared" ref="C27:S27" si="6">+C26</f>
        <v>2116.23</v>
      </c>
      <c r="D27" s="18">
        <f t="shared" si="6"/>
        <v>0</v>
      </c>
      <c r="E27" s="18">
        <f t="shared" si="6"/>
        <v>0</v>
      </c>
      <c r="F27" s="18">
        <f>+F26</f>
        <v>6467.28</v>
      </c>
      <c r="G27" s="18">
        <f>+G26</f>
        <v>0</v>
      </c>
      <c r="H27" s="18">
        <f>+H26</f>
        <v>0</v>
      </c>
      <c r="I27" s="18">
        <f>+I26</f>
        <v>0</v>
      </c>
      <c r="J27" s="18">
        <f>+J26</f>
        <v>0</v>
      </c>
      <c r="K27" s="19">
        <f t="shared" ref="K27:O27" si="7">+K26</f>
        <v>8000</v>
      </c>
      <c r="L27" s="18">
        <f t="shared" si="7"/>
        <v>0</v>
      </c>
      <c r="M27" s="19">
        <f t="shared" si="7"/>
        <v>8000</v>
      </c>
      <c r="N27" s="18">
        <f t="shared" ref="N27" si="8">+N26</f>
        <v>0</v>
      </c>
      <c r="O27" s="19">
        <f t="shared" si="7"/>
        <v>8000</v>
      </c>
      <c r="P27" s="18">
        <f t="shared" ref="P27" si="9">+P26</f>
        <v>0</v>
      </c>
      <c r="Q27" s="19">
        <f t="shared" ref="Q27" si="10">+Q26</f>
        <v>0</v>
      </c>
      <c r="R27" s="128">
        <f t="shared" si="6"/>
        <v>0</v>
      </c>
      <c r="S27" s="19">
        <f t="shared" si="6"/>
        <v>0</v>
      </c>
      <c r="T27" s="19"/>
      <c r="U27" s="19">
        <f>+S27</f>
        <v>0</v>
      </c>
    </row>
    <row r="28" spans="1:24" x14ac:dyDescent="0.25">
      <c r="A28" s="708"/>
      <c r="B28" s="60"/>
      <c r="C28" s="13"/>
      <c r="D28" s="13"/>
      <c r="E28" s="13"/>
      <c r="F28" s="13"/>
      <c r="G28" s="13"/>
      <c r="H28" s="13"/>
      <c r="I28" s="13"/>
      <c r="J28" s="13"/>
      <c r="K28" s="14"/>
      <c r="L28" s="13"/>
      <c r="M28" s="14"/>
      <c r="N28" s="13"/>
      <c r="O28" s="14"/>
      <c r="P28" s="13"/>
      <c r="Q28" s="14"/>
      <c r="R28" s="13"/>
      <c r="S28" s="14"/>
      <c r="T28" s="14"/>
      <c r="U28" s="14"/>
    </row>
    <row r="29" spans="1:24" ht="13.8" thickBot="1" x14ac:dyDescent="0.3">
      <c r="A29" s="709"/>
      <c r="B29" s="20" t="s">
        <v>1534</v>
      </c>
      <c r="C29" s="21">
        <f t="shared" ref="C29:U29" si="11">+C24+C12+C27</f>
        <v>24510.879999999997</v>
      </c>
      <c r="D29" s="21">
        <f t="shared" si="11"/>
        <v>17339.32</v>
      </c>
      <c r="E29" s="21">
        <f t="shared" si="11"/>
        <v>41678.6</v>
      </c>
      <c r="F29" s="21">
        <f>+F27+F24+F12</f>
        <v>53420.14</v>
      </c>
      <c r="G29" s="21">
        <f>+G27+G24+G12</f>
        <v>19605.989999999998</v>
      </c>
      <c r="H29" s="21">
        <f>+H27+H24+H12</f>
        <v>19157.71</v>
      </c>
      <c r="I29" s="21">
        <f>+I24+I12+I27</f>
        <v>26987.78</v>
      </c>
      <c r="J29" s="21">
        <f>+J24+J12+J27</f>
        <v>11306.64</v>
      </c>
      <c r="K29" s="22">
        <f t="shared" ref="K29:O29" si="12">+K24+K12+K27</f>
        <v>50800</v>
      </c>
      <c r="L29" s="21">
        <f t="shared" si="12"/>
        <v>27083.379999999997</v>
      </c>
      <c r="M29" s="22">
        <f t="shared" si="12"/>
        <v>50800</v>
      </c>
      <c r="N29" s="21">
        <f t="shared" ref="N29" si="13">+N24+N12+N27</f>
        <v>34832.729999999996</v>
      </c>
      <c r="O29" s="22">
        <f t="shared" si="12"/>
        <v>50800</v>
      </c>
      <c r="P29" s="21">
        <f t="shared" ref="P29" si="14">+P24+P12+P27</f>
        <v>34183.39</v>
      </c>
      <c r="Q29" s="22">
        <f t="shared" ref="Q29" si="15">+Q24+Q12+Q27</f>
        <v>84650</v>
      </c>
      <c r="R29" s="21">
        <f t="shared" si="11"/>
        <v>25413.040000000001</v>
      </c>
      <c r="S29" s="22">
        <f t="shared" si="11"/>
        <v>85150</v>
      </c>
      <c r="T29" s="22">
        <f>+S29</f>
        <v>85150</v>
      </c>
      <c r="U29" s="22">
        <f t="shared" si="11"/>
        <v>85150</v>
      </c>
    </row>
    <row r="30" spans="1:24" ht="13.8" thickTop="1" x14ac:dyDescent="0.25">
      <c r="A30" s="63"/>
      <c r="B30" s="4"/>
      <c r="C30" s="23"/>
      <c r="D30" s="23"/>
      <c r="E30" s="23"/>
      <c r="F30" s="23"/>
      <c r="G30" s="23"/>
      <c r="H30" s="23"/>
      <c r="I30" s="23"/>
      <c r="J30" s="23"/>
      <c r="K30" s="23"/>
      <c r="L30" s="23"/>
      <c r="M30" s="23"/>
      <c r="N30" s="23"/>
      <c r="O30" s="23"/>
      <c r="P30" s="23"/>
      <c r="Q30" s="23"/>
      <c r="R30" s="181" t="s">
        <v>732</v>
      </c>
      <c r="S30" s="1001">
        <f>+S29-Q29</f>
        <v>500</v>
      </c>
      <c r="T30" s="1002">
        <f>ROUND((+S30/Q29),4)</f>
        <v>5.8999999999999999E-3</v>
      </c>
      <c r="U30" s="23"/>
      <c r="V30" s="25"/>
      <c r="W30" s="25"/>
      <c r="X30" s="25"/>
    </row>
    <row r="31" spans="1:24" x14ac:dyDescent="0.25">
      <c r="A31" s="1048" t="s">
        <v>1345</v>
      </c>
      <c r="B31" s="1049" t="s">
        <v>2029</v>
      </c>
      <c r="C31" s="258"/>
      <c r="D31" s="258"/>
      <c r="E31" s="258"/>
      <c r="F31" s="258"/>
      <c r="G31" s="258"/>
      <c r="H31" s="258"/>
      <c r="I31" s="258"/>
      <c r="J31" s="258"/>
      <c r="K31" s="258"/>
      <c r="L31" s="258"/>
      <c r="M31" s="258"/>
      <c r="N31" s="23"/>
      <c r="O31" s="23"/>
      <c r="P31" s="23"/>
      <c r="Q31" s="23"/>
      <c r="R31" s="25"/>
      <c r="S31" s="23"/>
      <c r="T31" s="23"/>
      <c r="U31" s="25"/>
      <c r="V31" s="25"/>
      <c r="W31" s="25"/>
      <c r="X31" s="25"/>
    </row>
    <row r="32" spans="1:24" x14ac:dyDescent="0.25">
      <c r="A32" s="63"/>
      <c r="B32" s="4"/>
      <c r="C32" s="23"/>
      <c r="D32" s="23"/>
      <c r="E32" s="23"/>
      <c r="F32" s="23"/>
      <c r="G32" s="23"/>
      <c r="H32" s="23"/>
      <c r="I32" s="23"/>
      <c r="J32" s="23"/>
      <c r="K32" s="23"/>
      <c r="L32" s="23"/>
      <c r="M32" s="23"/>
      <c r="N32" s="23"/>
      <c r="O32" s="23"/>
      <c r="P32" s="23"/>
      <c r="Q32" s="23"/>
      <c r="R32" s="25"/>
      <c r="S32" s="23"/>
      <c r="T32" s="23"/>
      <c r="U32" s="25"/>
      <c r="V32" s="25"/>
      <c r="W32" s="25"/>
      <c r="X32" s="25"/>
    </row>
    <row r="33" spans="1:24" x14ac:dyDescent="0.25">
      <c r="A33" s="63"/>
      <c r="B33" s="4"/>
      <c r="C33" s="23"/>
      <c r="D33" s="23"/>
      <c r="E33" s="23"/>
      <c r="F33" s="23"/>
      <c r="G33" s="23"/>
      <c r="H33" s="23"/>
      <c r="I33" s="23"/>
      <c r="J33" s="23"/>
      <c r="K33" s="23"/>
      <c r="L33" s="23"/>
      <c r="M33" s="23"/>
      <c r="N33" s="23"/>
      <c r="O33" s="23"/>
      <c r="P33" s="23"/>
      <c r="Q33" s="23"/>
      <c r="R33" s="25"/>
      <c r="S33" s="23"/>
      <c r="T33" s="23"/>
      <c r="U33" s="25"/>
      <c r="V33" s="25"/>
      <c r="W33" s="25"/>
      <c r="X33" s="25"/>
    </row>
    <row r="34" spans="1:24" ht="13.8" thickBot="1" x14ac:dyDescent="0.3">
      <c r="C34" s="23"/>
      <c r="D34" s="23"/>
      <c r="E34" s="23"/>
      <c r="F34" s="194"/>
      <c r="G34" s="75"/>
      <c r="H34" s="23"/>
      <c r="I34" s="23"/>
      <c r="J34" s="23"/>
      <c r="K34" s="23"/>
      <c r="L34" s="23"/>
      <c r="M34" s="23"/>
      <c r="N34" s="23"/>
      <c r="O34" s="23"/>
      <c r="P34" s="23"/>
      <c r="Q34" s="23"/>
      <c r="R34" s="25"/>
      <c r="S34" s="23"/>
      <c r="T34" s="23"/>
      <c r="U34" s="23"/>
      <c r="V34" s="25"/>
      <c r="W34" s="25"/>
      <c r="X34" s="25"/>
    </row>
    <row r="35" spans="1:24" ht="13.8" thickTop="1" x14ac:dyDescent="0.25">
      <c r="A35" s="718"/>
      <c r="B35" s="349"/>
      <c r="C35" s="350" t="s">
        <v>256</v>
      </c>
      <c r="D35" s="351" t="s">
        <v>256</v>
      </c>
      <c r="E35" s="351" t="s">
        <v>256</v>
      </c>
      <c r="F35" s="194"/>
      <c r="G35" s="194"/>
      <c r="H35" s="194"/>
      <c r="I35" s="194"/>
      <c r="J35" s="194"/>
      <c r="K35" s="194"/>
      <c r="L35" s="194"/>
      <c r="O35" s="352" t="s">
        <v>255</v>
      </c>
      <c r="P35" s="353" t="s">
        <v>716</v>
      </c>
      <c r="Q35" s="354" t="s">
        <v>730</v>
      </c>
      <c r="R35" s="353" t="s">
        <v>731</v>
      </c>
      <c r="S35" s="355"/>
      <c r="T35" s="550"/>
      <c r="U35" s="354"/>
      <c r="V35" s="25"/>
      <c r="W35" s="25"/>
      <c r="X35" s="25"/>
    </row>
    <row r="36" spans="1:24" ht="13.8" thickBot="1" x14ac:dyDescent="0.3">
      <c r="A36" s="719" t="s">
        <v>715</v>
      </c>
      <c r="B36" s="356"/>
      <c r="C36" s="357" t="s">
        <v>243</v>
      </c>
      <c r="D36" s="357" t="s">
        <v>244</v>
      </c>
      <c r="E36" s="358" t="s">
        <v>245</v>
      </c>
      <c r="F36" s="194"/>
      <c r="G36" s="194"/>
      <c r="H36" s="194"/>
      <c r="I36" s="194"/>
      <c r="J36" s="194"/>
      <c r="K36" s="194"/>
      <c r="L36" s="194"/>
      <c r="O36" s="359" t="s">
        <v>469</v>
      </c>
      <c r="P36" s="359" t="s">
        <v>1345</v>
      </c>
      <c r="Q36" s="358" t="s">
        <v>732</v>
      </c>
      <c r="R36" s="360" t="s">
        <v>732</v>
      </c>
      <c r="S36" s="361" t="s">
        <v>733</v>
      </c>
      <c r="T36" s="551"/>
      <c r="U36" s="359"/>
      <c r="V36" s="25"/>
      <c r="W36" s="25"/>
      <c r="X36" s="25"/>
    </row>
    <row r="37" spans="1:24" ht="13.8" thickTop="1" x14ac:dyDescent="0.25">
      <c r="A37" s="726"/>
      <c r="B37" s="376"/>
      <c r="C37" s="365"/>
      <c r="D37" s="365"/>
      <c r="E37" s="365"/>
      <c r="F37" s="194"/>
      <c r="G37" s="194"/>
      <c r="H37" s="194"/>
      <c r="I37" s="194"/>
      <c r="J37" s="194"/>
      <c r="K37" s="194"/>
      <c r="L37" s="194"/>
      <c r="O37" s="366"/>
      <c r="P37" s="365"/>
      <c r="Q37" s="366"/>
      <c r="R37" s="365"/>
      <c r="S37" s="426"/>
      <c r="T37" s="919"/>
      <c r="U37" s="427"/>
      <c r="V37" s="25"/>
      <c r="W37" s="25"/>
      <c r="X37" s="25"/>
    </row>
    <row r="38" spans="1:24" x14ac:dyDescent="0.25">
      <c r="A38" s="724">
        <v>5112</v>
      </c>
      <c r="B38" s="369" t="s">
        <v>1205</v>
      </c>
      <c r="C38" s="373">
        <v>4545.67</v>
      </c>
      <c r="D38" s="373">
        <f>63.11+5644.1</f>
        <v>5707.21</v>
      </c>
      <c r="E38" s="373">
        <v>17794.28</v>
      </c>
      <c r="F38" s="194"/>
      <c r="G38" s="194"/>
      <c r="H38" s="194"/>
      <c r="I38" s="194"/>
      <c r="J38" s="194"/>
      <c r="K38" s="194"/>
      <c r="L38" s="194"/>
      <c r="O38" s="372">
        <f>+Q9</f>
        <v>2500</v>
      </c>
      <c r="P38" s="373">
        <f>+S9</f>
        <v>2500</v>
      </c>
      <c r="Q38" s="372">
        <f t="shared" ref="Q38:Q51" si="16">+P38-O38</f>
        <v>0</v>
      </c>
      <c r="R38" s="374" t="str">
        <f t="shared" ref="R38:R49" si="17">IF(O38+P38&lt;&gt;0,IF(O38&lt;&gt;0,IF(Q38&lt;&gt;0,ROUND((+Q38/O38),4),""),1),"")</f>
        <v/>
      </c>
      <c r="S38" s="367"/>
      <c r="T38" s="553"/>
      <c r="U38" s="368"/>
      <c r="V38" s="25"/>
      <c r="W38" s="25"/>
      <c r="X38" s="25"/>
    </row>
    <row r="39" spans="1:24" x14ac:dyDescent="0.25">
      <c r="A39" s="724">
        <v>5132</v>
      </c>
      <c r="B39" s="369" t="s">
        <v>1147</v>
      </c>
      <c r="C39" s="373">
        <v>1961.27</v>
      </c>
      <c r="D39" s="373">
        <f>1.68+2428.95</f>
        <v>2430.6299999999997</v>
      </c>
      <c r="E39" s="373">
        <v>1931.5</v>
      </c>
      <c r="F39" s="194"/>
      <c r="G39" s="194"/>
      <c r="H39" s="194"/>
      <c r="I39" s="194"/>
      <c r="J39" s="194"/>
      <c r="K39" s="194"/>
      <c r="L39" s="194"/>
      <c r="O39" s="372">
        <f>+Q10</f>
        <v>29300</v>
      </c>
      <c r="P39" s="373">
        <f>+S10</f>
        <v>29300</v>
      </c>
      <c r="Q39" s="372">
        <f t="shared" si="16"/>
        <v>0</v>
      </c>
      <c r="R39" s="374" t="str">
        <f t="shared" si="17"/>
        <v/>
      </c>
      <c r="S39" s="379"/>
      <c r="T39" s="921"/>
      <c r="U39" s="396"/>
      <c r="V39" s="25"/>
      <c r="W39" s="25"/>
      <c r="X39" s="25"/>
    </row>
    <row r="40" spans="1:24" x14ac:dyDescent="0.25">
      <c r="A40" s="724">
        <v>5142</v>
      </c>
      <c r="B40" s="369" t="s">
        <v>1016</v>
      </c>
      <c r="C40" s="377">
        <v>862.96</v>
      </c>
      <c r="D40" s="377">
        <f>2.9+312.47</f>
        <v>315.37</v>
      </c>
      <c r="E40" s="377">
        <v>548.44000000000005</v>
      </c>
      <c r="F40" s="194"/>
      <c r="G40" s="194"/>
      <c r="H40" s="194"/>
      <c r="I40" s="194"/>
      <c r="J40" s="194"/>
      <c r="K40" s="194"/>
      <c r="L40" s="194"/>
      <c r="O40" s="372">
        <f>+Q11</f>
        <v>1000</v>
      </c>
      <c r="P40" s="373">
        <f>+S11</f>
        <v>1000</v>
      </c>
      <c r="Q40" s="372">
        <f t="shared" si="16"/>
        <v>0</v>
      </c>
      <c r="R40" s="374" t="str">
        <f t="shared" si="17"/>
        <v/>
      </c>
      <c r="S40" s="379"/>
      <c r="T40" s="920"/>
      <c r="U40" s="396"/>
      <c r="V40" s="25"/>
      <c r="W40" s="25"/>
      <c r="X40" s="25"/>
    </row>
    <row r="41" spans="1:24" x14ac:dyDescent="0.25">
      <c r="A41" s="724">
        <v>5249</v>
      </c>
      <c r="B41" s="369" t="s">
        <v>1528</v>
      </c>
      <c r="C41" s="373">
        <v>400</v>
      </c>
      <c r="D41" s="373">
        <v>0</v>
      </c>
      <c r="E41" s="373">
        <v>16295.59</v>
      </c>
      <c r="F41" s="194"/>
      <c r="G41" s="194"/>
      <c r="H41" s="194"/>
      <c r="I41" s="194"/>
      <c r="J41" s="194"/>
      <c r="K41" s="194"/>
      <c r="L41" s="194"/>
      <c r="O41" s="372">
        <f t="shared" ref="O41:O46" si="18">+Q14</f>
        <v>1000</v>
      </c>
      <c r="P41" s="365">
        <f t="shared" ref="P41:P46" si="19">+S14</f>
        <v>1000</v>
      </c>
      <c r="Q41" s="372">
        <f t="shared" si="16"/>
        <v>0</v>
      </c>
      <c r="R41" s="374" t="str">
        <f t="shared" si="17"/>
        <v/>
      </c>
      <c r="S41" s="367"/>
      <c r="T41" s="553"/>
      <c r="U41" s="368"/>
      <c r="V41" s="25"/>
      <c r="W41" s="25"/>
      <c r="X41" s="25"/>
    </row>
    <row r="42" spans="1:24" x14ac:dyDescent="0.25">
      <c r="A42" s="724">
        <v>5252</v>
      </c>
      <c r="B42" s="369" t="s">
        <v>1529</v>
      </c>
      <c r="C42" s="373">
        <v>6272.16</v>
      </c>
      <c r="D42" s="373">
        <v>160.99</v>
      </c>
      <c r="E42" s="373">
        <v>1050</v>
      </c>
      <c r="F42" s="194"/>
      <c r="G42" s="194"/>
      <c r="H42" s="194"/>
      <c r="I42" s="194"/>
      <c r="J42" s="194"/>
      <c r="K42" s="194"/>
      <c r="L42" s="194"/>
      <c r="O42" s="372">
        <f t="shared" si="18"/>
        <v>4500</v>
      </c>
      <c r="P42" s="373">
        <f t="shared" si="19"/>
        <v>4500</v>
      </c>
      <c r="Q42" s="372">
        <f t="shared" si="16"/>
        <v>0</v>
      </c>
      <c r="R42" s="374" t="str">
        <f t="shared" si="17"/>
        <v/>
      </c>
      <c r="S42" s="367"/>
      <c r="T42" s="553"/>
      <c r="U42" s="368"/>
      <c r="V42" s="25"/>
      <c r="W42" s="25"/>
      <c r="X42" s="25"/>
    </row>
    <row r="43" spans="1:24" x14ac:dyDescent="0.25">
      <c r="A43" s="724">
        <v>5271</v>
      </c>
      <c r="B43" s="369" t="s">
        <v>1530</v>
      </c>
      <c r="C43" s="373">
        <v>100</v>
      </c>
      <c r="D43" s="373">
        <v>100</v>
      </c>
      <c r="E43" s="373"/>
      <c r="F43" s="194"/>
      <c r="G43" s="194"/>
      <c r="H43" s="194"/>
      <c r="I43" s="194"/>
      <c r="J43" s="194"/>
      <c r="K43" s="194"/>
      <c r="L43" s="194"/>
      <c r="O43" s="372">
        <f t="shared" si="18"/>
        <v>1350</v>
      </c>
      <c r="P43" s="373">
        <f t="shared" si="19"/>
        <v>1350</v>
      </c>
      <c r="Q43" s="372">
        <f t="shared" si="16"/>
        <v>0</v>
      </c>
      <c r="R43" s="374" t="str">
        <f t="shared" si="17"/>
        <v/>
      </c>
      <c r="S43" s="379"/>
      <c r="T43" s="920"/>
      <c r="U43" s="396"/>
      <c r="V43" s="25"/>
      <c r="W43" s="25"/>
      <c r="X43" s="25"/>
    </row>
    <row r="44" spans="1:24" x14ac:dyDescent="0.25">
      <c r="A44" s="724">
        <v>5277</v>
      </c>
      <c r="B44" s="369" t="s">
        <v>1154</v>
      </c>
      <c r="C44" s="373"/>
      <c r="D44" s="373">
        <v>0</v>
      </c>
      <c r="E44" s="373"/>
      <c r="F44" s="194"/>
      <c r="G44" s="194"/>
      <c r="H44" s="194"/>
      <c r="I44" s="194"/>
      <c r="J44" s="194"/>
      <c r="K44" s="194"/>
      <c r="L44" s="194"/>
      <c r="O44" s="372">
        <f t="shared" si="18"/>
        <v>1000</v>
      </c>
      <c r="P44" s="373">
        <f t="shared" si="19"/>
        <v>1000</v>
      </c>
      <c r="Q44" s="372">
        <f t="shared" si="16"/>
        <v>0</v>
      </c>
      <c r="R44" s="374" t="str">
        <f t="shared" si="17"/>
        <v/>
      </c>
      <c r="S44" s="379"/>
      <c r="T44" s="920"/>
      <c r="U44" s="396"/>
      <c r="V44" s="25"/>
      <c r="W44" s="25"/>
      <c r="X44" s="25"/>
    </row>
    <row r="45" spans="1:24" x14ac:dyDescent="0.25">
      <c r="A45" s="724">
        <v>5283</v>
      </c>
      <c r="B45" s="369" t="s">
        <v>1531</v>
      </c>
      <c r="C45" s="373">
        <v>386.2</v>
      </c>
      <c r="D45" s="373">
        <v>0</v>
      </c>
      <c r="E45" s="373"/>
      <c r="F45" s="194"/>
      <c r="G45" s="194"/>
      <c r="H45" s="194"/>
      <c r="I45" s="194"/>
      <c r="J45" s="194"/>
      <c r="K45" s="194"/>
      <c r="L45" s="194"/>
      <c r="O45" s="372">
        <f t="shared" si="18"/>
        <v>1000</v>
      </c>
      <c r="P45" s="373">
        <f t="shared" si="19"/>
        <v>1000</v>
      </c>
      <c r="Q45" s="372">
        <f t="shared" si="16"/>
        <v>0</v>
      </c>
      <c r="R45" s="374" t="str">
        <f t="shared" si="17"/>
        <v/>
      </c>
      <c r="S45" s="379"/>
      <c r="T45" s="920"/>
      <c r="U45" s="396"/>
      <c r="V45" s="25"/>
      <c r="W45" s="25"/>
      <c r="X45" s="25"/>
    </row>
    <row r="46" spans="1:24" x14ac:dyDescent="0.25">
      <c r="A46" s="724">
        <v>5303</v>
      </c>
      <c r="B46" s="369" t="s">
        <v>1532</v>
      </c>
      <c r="C46" s="373"/>
      <c r="D46" s="373">
        <v>0</v>
      </c>
      <c r="E46" s="373"/>
      <c r="F46" s="194"/>
      <c r="G46" s="194"/>
      <c r="H46" s="194"/>
      <c r="I46" s="194"/>
      <c r="J46" s="194"/>
      <c r="K46" s="194"/>
      <c r="L46" s="194"/>
      <c r="O46" s="372">
        <f t="shared" si="18"/>
        <v>300</v>
      </c>
      <c r="P46" s="373">
        <f t="shared" si="19"/>
        <v>800</v>
      </c>
      <c r="Q46" s="372">
        <f t="shared" si="16"/>
        <v>500</v>
      </c>
      <c r="R46" s="374">
        <f t="shared" si="17"/>
        <v>1.6667000000000001</v>
      </c>
      <c r="S46" s="379" t="s">
        <v>2417</v>
      </c>
      <c r="T46" s="920"/>
      <c r="U46" s="396"/>
      <c r="V46" s="25"/>
      <c r="W46" s="25"/>
      <c r="X46" s="25"/>
    </row>
    <row r="47" spans="1:24" x14ac:dyDescent="0.25">
      <c r="A47" s="724">
        <v>5430</v>
      </c>
      <c r="B47" s="369" t="s">
        <v>1973</v>
      </c>
      <c r="C47" s="365"/>
      <c r="D47" s="365"/>
      <c r="E47" s="365"/>
      <c r="F47" s="194"/>
      <c r="G47" s="194"/>
      <c r="H47" s="194"/>
      <c r="I47" s="194"/>
      <c r="J47" s="194"/>
      <c r="K47" s="194"/>
      <c r="L47" s="194"/>
      <c r="O47" s="372">
        <f>+Q21</f>
        <v>25000</v>
      </c>
      <c r="P47" s="373">
        <f>+S21</f>
        <v>25000</v>
      </c>
      <c r="Q47" s="372">
        <f t="shared" ref="Q47" si="20">+P47-O47</f>
        <v>0</v>
      </c>
      <c r="R47" s="374" t="str">
        <f t="shared" si="17"/>
        <v/>
      </c>
      <c r="S47" s="379"/>
      <c r="T47" s="920"/>
      <c r="U47" s="396"/>
      <c r="V47" s="25"/>
      <c r="W47" s="25"/>
      <c r="X47" s="25"/>
    </row>
    <row r="48" spans="1:24" x14ac:dyDescent="0.25">
      <c r="A48" s="724">
        <v>5443</v>
      </c>
      <c r="B48" s="369" t="s">
        <v>1533</v>
      </c>
      <c r="C48" s="365">
        <v>7655.99</v>
      </c>
      <c r="D48" s="365">
        <v>8625.1200000000008</v>
      </c>
      <c r="E48" s="365">
        <v>2764.54</v>
      </c>
      <c r="F48" s="194"/>
      <c r="G48" s="194"/>
      <c r="H48" s="194"/>
      <c r="I48" s="194"/>
      <c r="J48" s="194"/>
      <c r="K48" s="194"/>
      <c r="L48" s="194"/>
      <c r="O48" s="372">
        <f>+Q22</f>
        <v>5000</v>
      </c>
      <c r="P48" s="373">
        <f>+S22</f>
        <v>5000</v>
      </c>
      <c r="Q48" s="372">
        <f t="shared" si="16"/>
        <v>0</v>
      </c>
      <c r="R48" s="374" t="str">
        <f t="shared" si="17"/>
        <v/>
      </c>
      <c r="S48" s="379"/>
      <c r="T48" s="920"/>
      <c r="U48" s="396"/>
      <c r="V48" s="25"/>
      <c r="W48" s="25"/>
      <c r="X48" s="25"/>
    </row>
    <row r="49" spans="1:24" ht="13.8" thickBot="1" x14ac:dyDescent="0.3">
      <c r="A49" s="724">
        <v>5530</v>
      </c>
      <c r="B49" s="369" t="s">
        <v>1169</v>
      </c>
      <c r="C49" s="371">
        <v>210.4</v>
      </c>
      <c r="D49" s="371">
        <v>0</v>
      </c>
      <c r="E49" s="371">
        <v>1294.25</v>
      </c>
      <c r="F49" s="194"/>
      <c r="G49" s="194"/>
      <c r="H49" s="194"/>
      <c r="I49" s="194"/>
      <c r="J49" s="194"/>
      <c r="K49" s="194"/>
      <c r="L49" s="194"/>
      <c r="O49" s="372">
        <f>+Q23</f>
        <v>12700</v>
      </c>
      <c r="P49" s="373">
        <f>+S23</f>
        <v>12700</v>
      </c>
      <c r="Q49" s="372">
        <f t="shared" si="16"/>
        <v>0</v>
      </c>
      <c r="R49" s="374" t="str">
        <f t="shared" si="17"/>
        <v/>
      </c>
      <c r="S49" s="379"/>
      <c r="T49" s="920"/>
      <c r="U49" s="396"/>
      <c r="V49" s="25"/>
      <c r="W49" s="25"/>
      <c r="X49" s="25"/>
    </row>
    <row r="50" spans="1:24" ht="13.8" thickBot="1" x14ac:dyDescent="0.3">
      <c r="A50" s="724">
        <v>5800</v>
      </c>
      <c r="B50" s="397" t="s">
        <v>1259</v>
      </c>
      <c r="C50" s="371">
        <v>2116.23</v>
      </c>
      <c r="D50" s="371">
        <v>0</v>
      </c>
      <c r="E50" s="371">
        <v>0</v>
      </c>
      <c r="F50" s="194"/>
      <c r="G50" s="194"/>
      <c r="H50" s="194"/>
      <c r="I50" s="194"/>
      <c r="J50" s="194"/>
      <c r="K50" s="194"/>
      <c r="L50" s="194"/>
      <c r="O50" s="372">
        <f>+Q26</f>
        <v>0</v>
      </c>
      <c r="P50" s="373">
        <f>+S26</f>
        <v>0</v>
      </c>
      <c r="Q50" s="372">
        <f t="shared" si="16"/>
        <v>0</v>
      </c>
      <c r="R50" s="374" t="str">
        <f t="shared" ref="R50:R51" si="21">IF(O50+P50&lt;&gt;0,IF(O50&lt;&gt;0,IF(Q50&lt;&gt;0,ROUND((+Q50/O50),4),""),1),"")</f>
        <v/>
      </c>
      <c r="S50" s="379"/>
      <c r="T50" s="920"/>
      <c r="U50" s="396"/>
      <c r="V50" s="25"/>
      <c r="W50" s="25"/>
      <c r="X50" s="25"/>
    </row>
    <row r="51" spans="1:24" x14ac:dyDescent="0.25">
      <c r="A51" s="724"/>
      <c r="B51" s="397"/>
      <c r="C51" s="373"/>
      <c r="D51" s="373"/>
      <c r="E51" s="373"/>
      <c r="F51" s="194"/>
      <c r="G51" s="194"/>
      <c r="H51" s="194"/>
      <c r="I51" s="194"/>
      <c r="J51" s="194"/>
      <c r="K51" s="194"/>
      <c r="L51" s="194"/>
      <c r="O51" s="372"/>
      <c r="P51" s="365"/>
      <c r="Q51" s="372">
        <f t="shared" si="16"/>
        <v>0</v>
      </c>
      <c r="R51" s="374" t="str">
        <f t="shared" si="21"/>
        <v/>
      </c>
      <c r="S51" s="379"/>
      <c r="T51" s="920"/>
      <c r="U51" s="396"/>
      <c r="V51" s="25"/>
      <c r="W51" s="25"/>
      <c r="X51" s="25"/>
    </row>
    <row r="52" spans="1:24" x14ac:dyDescent="0.25">
      <c r="A52" s="703"/>
      <c r="B52" s="4"/>
      <c r="C52" s="23"/>
      <c r="D52" s="23"/>
      <c r="E52" s="23"/>
      <c r="F52" s="23"/>
      <c r="G52" s="23"/>
      <c r="H52" s="194"/>
      <c r="I52" s="194"/>
      <c r="J52" s="194"/>
      <c r="K52" s="194"/>
      <c r="L52" s="194"/>
      <c r="O52" s="23"/>
      <c r="P52" s="23"/>
      <c r="Q52" s="23"/>
      <c r="R52" s="25"/>
      <c r="S52" s="23"/>
      <c r="T52" s="23"/>
      <c r="U52" s="23"/>
      <c r="V52" s="25"/>
      <c r="W52" s="25"/>
      <c r="X52" s="25"/>
    </row>
    <row r="53" spans="1:24" x14ac:dyDescent="0.25">
      <c r="A53" s="703"/>
      <c r="B53" s="4" t="s">
        <v>735</v>
      </c>
      <c r="C53" s="23"/>
      <c r="D53" s="23"/>
      <c r="E53" s="23"/>
      <c r="F53" s="23"/>
      <c r="G53" s="23"/>
      <c r="H53" s="194"/>
      <c r="I53" s="194"/>
      <c r="J53" s="194"/>
      <c r="K53" s="194"/>
      <c r="L53" s="194"/>
      <c r="O53" s="597">
        <f>SUM(O37:O52)</f>
        <v>84650</v>
      </c>
      <c r="P53" s="597">
        <f>SUM(P37:P52)</f>
        <v>85150</v>
      </c>
      <c r="Q53" s="25">
        <f>+P53-O53</f>
        <v>500</v>
      </c>
      <c r="R53" s="598">
        <f>IF(O53+P53&lt;&gt;0,IF(O53&lt;&gt;0,IF(Q53&lt;&gt;0,ROUND((+Q53/O53),4),""),1),"")</f>
        <v>5.8999999999999999E-3</v>
      </c>
      <c r="S53" s="23"/>
      <c r="T53" s="23"/>
      <c r="U53" s="23"/>
      <c r="V53" s="25"/>
      <c r="W53" s="25"/>
      <c r="X53" s="25"/>
    </row>
    <row r="54" spans="1:24" x14ac:dyDescent="0.25">
      <c r="A54" s="703"/>
      <c r="B54" s="4"/>
      <c r="C54" s="23"/>
      <c r="D54" s="23"/>
      <c r="E54" s="23"/>
      <c r="F54" s="23"/>
      <c r="G54" s="23"/>
      <c r="H54" s="194"/>
      <c r="I54" s="23"/>
      <c r="J54" s="23"/>
      <c r="K54" s="23"/>
      <c r="L54" s="23"/>
      <c r="M54" s="23"/>
      <c r="N54" s="23"/>
      <c r="O54" s="23"/>
      <c r="P54" s="23"/>
      <c r="Q54" s="23"/>
      <c r="R54" s="25"/>
      <c r="S54" s="23"/>
      <c r="T54" s="23"/>
      <c r="U54" s="23"/>
      <c r="V54" s="25"/>
      <c r="W54" s="25"/>
      <c r="X54" s="25"/>
    </row>
    <row r="55" spans="1:24" x14ac:dyDescent="0.25">
      <c r="A55" s="703"/>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5">
      <c r="A56" s="703"/>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5">
      <c r="A57" s="703"/>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5">
      <c r="A58" s="703"/>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5">
      <c r="A59" s="703"/>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5">
      <c r="A60" s="703"/>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5">
      <c r="A61" s="703"/>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5">
      <c r="A62" s="703"/>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5">
      <c r="A63" s="703"/>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5">
      <c r="A64" s="703"/>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5">
      <c r="A65" s="703"/>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5">
      <c r="A66" s="703"/>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5">
      <c r="A67" s="703"/>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5">
      <c r="A68" s="703"/>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5">
      <c r="A69" s="703"/>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5">
      <c r="A70" s="703"/>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5">
      <c r="A71" s="703"/>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5">
      <c r="A72" s="703"/>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5">
      <c r="A73" s="703"/>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5">
      <c r="A74" s="703"/>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5">
      <c r="A75" s="703"/>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5">
      <c r="A76" s="703"/>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5">
      <c r="A77" s="703"/>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5">
      <c r="A78" s="703"/>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5">
      <c r="A79" s="703"/>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5">
      <c r="A80" s="703"/>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5">
      <c r="A81" s="703"/>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5">
      <c r="A82" s="703"/>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5">
      <c r="A83" s="703"/>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5">
      <c r="A84" s="703"/>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5">
      <c r="A85" s="703"/>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5">
      <c r="A86" s="703"/>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5">
      <c r="A87" s="703"/>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5">
      <c r="A88" s="703"/>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5">
      <c r="A89" s="703"/>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5">
      <c r="A90" s="703"/>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5">
      <c r="A91" s="703"/>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5">
      <c r="A92" s="703"/>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5">
      <c r="A93" s="703"/>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5">
      <c r="A94" s="703"/>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5">
      <c r="A95" s="703"/>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5">
      <c r="A96" s="703"/>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5">
      <c r="A97" s="703"/>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5">
      <c r="A98" s="703"/>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5">
      <c r="A99" s="703"/>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5">
      <c r="C117" s="194"/>
      <c r="D117" s="194"/>
      <c r="E117" s="194"/>
      <c r="F117" s="194"/>
      <c r="G117" s="194"/>
      <c r="H117" s="194"/>
      <c r="I117" s="194"/>
      <c r="J117" s="194"/>
      <c r="K117" s="194"/>
      <c r="L117" s="194"/>
      <c r="M117" s="194"/>
      <c r="N117" s="194"/>
      <c r="O117" s="194"/>
      <c r="P117" s="194"/>
      <c r="Q117" s="194"/>
    </row>
    <row r="118" spans="1:24" x14ac:dyDescent="0.25">
      <c r="C118" s="194"/>
    </row>
    <row r="119" spans="1:24" x14ac:dyDescent="0.25">
      <c r="C119" s="194"/>
    </row>
    <row r="120" spans="1:24" x14ac:dyDescent="0.25">
      <c r="C120" s="194"/>
    </row>
    <row r="121" spans="1:24" x14ac:dyDescent="0.25">
      <c r="C121" s="194"/>
    </row>
    <row r="122" spans="1:24" x14ac:dyDescent="0.25">
      <c r="C122" s="194"/>
    </row>
    <row r="123" spans="1:24" x14ac:dyDescent="0.25">
      <c r="C123" s="194"/>
    </row>
    <row r="124" spans="1:24" x14ac:dyDescent="0.25">
      <c r="C124" s="194"/>
    </row>
    <row r="125" spans="1:24" x14ac:dyDescent="0.25">
      <c r="C125" s="194"/>
    </row>
    <row r="126" spans="1:24" x14ac:dyDescent="0.25">
      <c r="C126" s="194"/>
    </row>
    <row r="127" spans="1:24" x14ac:dyDescent="0.25">
      <c r="C127" s="194"/>
    </row>
    <row r="128" spans="1:24" x14ac:dyDescent="0.25">
      <c r="C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row r="156" spans="3:3" x14ac:dyDescent="0.25">
      <c r="C156" s="194"/>
    </row>
    <row r="157" spans="3:3" x14ac:dyDescent="0.25">
      <c r="C157" s="194"/>
    </row>
    <row r="158" spans="3:3" x14ac:dyDescent="0.25">
      <c r="C158" s="194"/>
    </row>
    <row r="159" spans="3:3" x14ac:dyDescent="0.25">
      <c r="C159" s="194"/>
    </row>
    <row r="160" spans="3:3" x14ac:dyDescent="0.25">
      <c r="C160" s="194"/>
    </row>
    <row r="161" spans="3:3" x14ac:dyDescent="0.25">
      <c r="C161" s="194"/>
    </row>
    <row r="162" spans="3:3" x14ac:dyDescent="0.25">
      <c r="C162" s="194"/>
    </row>
    <row r="163" spans="3:3" x14ac:dyDescent="0.25">
      <c r="C163" s="194"/>
    </row>
    <row r="164" spans="3:3" x14ac:dyDescent="0.25">
      <c r="C164" s="194"/>
    </row>
    <row r="165" spans="3:3" x14ac:dyDescent="0.25">
      <c r="C165" s="194"/>
    </row>
  </sheetData>
  <phoneticPr fontId="0" type="noConversion"/>
  <hyperlinks>
    <hyperlink ref="A1" location="'Working Budget with funding det'!A1" display="Main " xr:uid="{00000000-0004-0000-3A00-000000000000}"/>
    <hyperlink ref="B1" location="'Table of Contents'!A1" display="TOC" xr:uid="{00000000-0004-0000-3A00-000001000000}"/>
  </hyperlinks>
  <pageMargins left="0.75" right="0.75" top="1" bottom="1" header="0.5" footer="0.5"/>
  <pageSetup scale="92" fitToHeight="2" orientation="landscape" r:id="rId1"/>
  <headerFooter alignWithMargins="0">
    <oddFooter>&amp;L&amp;D     &amp;T&amp;C&amp;F&amp;R&amp;A</oddFooter>
  </headerFooter>
  <rowBreaks count="1" manualBreakCount="1">
    <brk id="34" max="16"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50"/>
    <pageSetUpPr fitToPage="1"/>
  </sheetPr>
  <dimension ref="A1:BA155"/>
  <sheetViews>
    <sheetView topLeftCell="A56" workbookViewId="0">
      <selection activeCell="R50" sqref="R50"/>
    </sheetView>
  </sheetViews>
  <sheetFormatPr defaultRowHeight="13.2" x14ac:dyDescent="0.25"/>
  <cols>
    <col min="1" max="1" width="14.44140625" style="712" customWidth="1"/>
    <col min="2" max="2" width="36.6640625" customWidth="1"/>
    <col min="3" max="3" width="14.44140625" style="1" hidden="1" customWidth="1"/>
    <col min="4" max="14" width="14.44140625" style="105" hidden="1" customWidth="1"/>
    <col min="15" max="17" width="14.44140625" style="105" customWidth="1"/>
    <col min="18" max="18" width="14.44140625" customWidth="1"/>
    <col min="19" max="21" width="14.44140625" style="1" customWidth="1"/>
    <col min="22" max="22" width="14.44140625" customWidth="1"/>
    <col min="23" max="26" width="11.33203125" hidden="1" customWidth="1"/>
    <col min="27" max="52" width="11.33203125" customWidth="1"/>
    <col min="53" max="53" width="10.44140625" bestFit="1" customWidth="1"/>
  </cols>
  <sheetData>
    <row r="1" spans="1:52" x14ac:dyDescent="0.25">
      <c r="A1" s="701" t="s">
        <v>736</v>
      </c>
      <c r="B1" s="290" t="s">
        <v>194</v>
      </c>
      <c r="D1" s="194"/>
      <c r="E1" s="194"/>
      <c r="F1" s="194"/>
      <c r="G1" s="194"/>
      <c r="H1" s="194"/>
      <c r="I1" s="194"/>
      <c r="J1" s="194"/>
      <c r="K1" s="194"/>
      <c r="L1" s="194"/>
      <c r="M1" s="194"/>
      <c r="N1" s="194"/>
      <c r="O1" s="194"/>
      <c r="P1" s="194"/>
      <c r="Q1" s="194"/>
      <c r="U1"/>
    </row>
    <row r="2" spans="1:52" ht="13.8" x14ac:dyDescent="0.25">
      <c r="A2" s="702" t="s">
        <v>1487</v>
      </c>
      <c r="B2" s="43"/>
      <c r="D2" s="194"/>
      <c r="E2" s="125"/>
      <c r="F2" s="194"/>
      <c r="G2" s="194"/>
      <c r="H2" s="194"/>
      <c r="I2" s="125" t="s">
        <v>706</v>
      </c>
      <c r="J2" s="125"/>
      <c r="K2" s="125"/>
      <c r="L2" s="125"/>
      <c r="M2" s="125"/>
      <c r="N2" s="125"/>
      <c r="O2" s="125"/>
      <c r="P2" s="125"/>
      <c r="Q2" s="125"/>
      <c r="R2" s="58" t="s">
        <v>568</v>
      </c>
      <c r="U2" s="44" t="s">
        <v>1535</v>
      </c>
    </row>
    <row r="3" spans="1:52" ht="13.8" thickBot="1" x14ac:dyDescent="0.3">
      <c r="A3" s="703"/>
      <c r="B3" s="4"/>
      <c r="C3" s="23"/>
      <c r="D3" s="23"/>
      <c r="E3" s="23"/>
      <c r="F3" s="23"/>
      <c r="G3" s="23"/>
      <c r="H3" s="23"/>
      <c r="I3" s="23"/>
      <c r="J3" s="23"/>
      <c r="K3" s="23"/>
      <c r="L3" s="23"/>
      <c r="M3" s="23"/>
      <c r="N3" s="23"/>
      <c r="O3" s="23"/>
      <c r="P3" s="23"/>
      <c r="Q3" s="23"/>
      <c r="R3" s="4"/>
      <c r="S3" s="23"/>
      <c r="T3" s="23"/>
      <c r="U3" s="4"/>
    </row>
    <row r="4" spans="1:52"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c r="W5" s="45" t="s">
        <v>251</v>
      </c>
      <c r="X5" s="45" t="s">
        <v>252</v>
      </c>
      <c r="Y5" s="45" t="s">
        <v>253</v>
      </c>
      <c r="Z5" s="45" t="s">
        <v>469</v>
      </c>
      <c r="AA5" s="45" t="s">
        <v>1345</v>
      </c>
      <c r="AB5" s="45" t="s">
        <v>1346</v>
      </c>
      <c r="AC5" s="45" t="s">
        <v>1347</v>
      </c>
      <c r="AD5" s="45" t="s">
        <v>1348</v>
      </c>
      <c r="AE5" s="45" t="s">
        <v>1349</v>
      </c>
      <c r="AF5" s="45" t="s">
        <v>1350</v>
      </c>
      <c r="AG5" s="45" t="s">
        <v>1351</v>
      </c>
      <c r="AH5" s="45" t="s">
        <v>1352</v>
      </c>
      <c r="AI5" s="45" t="s">
        <v>1353</v>
      </c>
      <c r="AJ5" s="45" t="s">
        <v>1354</v>
      </c>
      <c r="AK5" s="45" t="s">
        <v>1355</v>
      </c>
      <c r="AL5" s="45" t="s">
        <v>1356</v>
      </c>
      <c r="AM5" s="45" t="s">
        <v>1357</v>
      </c>
      <c r="AN5" s="45" t="s">
        <v>1358</v>
      </c>
      <c r="AO5" s="45" t="s">
        <v>1359</v>
      </c>
      <c r="AP5" s="45" t="s">
        <v>1360</v>
      </c>
      <c r="AQ5" s="45" t="s">
        <v>1361</v>
      </c>
      <c r="AR5" s="45" t="s">
        <v>1362</v>
      </c>
      <c r="AS5" s="45" t="s">
        <v>1363</v>
      </c>
      <c r="AT5" s="45" t="s">
        <v>1364</v>
      </c>
      <c r="AU5" s="45" t="s">
        <v>1365</v>
      </c>
      <c r="AV5" s="45" t="s">
        <v>1366</v>
      </c>
      <c r="AW5" s="45" t="s">
        <v>1367</v>
      </c>
      <c r="AX5" s="45" t="s">
        <v>1368</v>
      </c>
      <c r="AY5" s="45" t="s">
        <v>1369</v>
      </c>
      <c r="AZ5" s="45" t="s">
        <v>1370</v>
      </c>
    </row>
    <row r="6" spans="1:52" x14ac:dyDescent="0.25">
      <c r="A6" s="705"/>
      <c r="B6" s="184"/>
      <c r="C6" s="112"/>
      <c r="D6" s="112"/>
      <c r="E6" s="112"/>
      <c r="F6" s="112"/>
      <c r="G6" s="112"/>
      <c r="H6" s="112"/>
      <c r="I6" s="83"/>
      <c r="J6" s="83"/>
      <c r="K6" s="83"/>
      <c r="L6" s="83"/>
      <c r="M6" s="83"/>
      <c r="N6" s="83"/>
      <c r="O6" s="83"/>
      <c r="P6" s="83"/>
      <c r="Q6" s="83"/>
      <c r="R6" s="112"/>
      <c r="S6" s="83" t="s">
        <v>713</v>
      </c>
      <c r="T6" s="83" t="s">
        <v>481</v>
      </c>
      <c r="U6" s="45" t="s">
        <v>714</v>
      </c>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row>
    <row r="7" spans="1:52"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row>
    <row r="8" spans="1:52" ht="14.4" thickTop="1" thickBot="1" x14ac:dyDescent="0.3">
      <c r="A8" s="725"/>
      <c r="B8" s="91" t="s">
        <v>1371</v>
      </c>
      <c r="C8" s="117"/>
      <c r="D8" s="18"/>
      <c r="E8" s="18"/>
      <c r="F8" s="18"/>
      <c r="G8" s="18"/>
      <c r="H8" s="18"/>
      <c r="I8" s="19"/>
      <c r="J8" s="19"/>
      <c r="K8" s="19"/>
      <c r="L8" s="19"/>
      <c r="M8" s="19"/>
      <c r="N8" s="19"/>
      <c r="O8" s="19"/>
      <c r="P8" s="19"/>
      <c r="Q8" s="19"/>
      <c r="R8" s="18"/>
      <c r="S8" s="19"/>
      <c r="T8" s="19"/>
      <c r="U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row>
    <row r="9" spans="1:52" x14ac:dyDescent="0.25">
      <c r="A9" s="708" t="s">
        <v>1536</v>
      </c>
      <c r="B9" s="60" t="s">
        <v>1537</v>
      </c>
      <c r="C9" s="210">
        <v>30000</v>
      </c>
      <c r="D9" s="200">
        <v>30000</v>
      </c>
      <c r="E9" s="200">
        <v>30000</v>
      </c>
      <c r="F9" s="200">
        <v>30000</v>
      </c>
      <c r="G9" s="200">
        <v>30000</v>
      </c>
      <c r="H9" s="200">
        <v>30000</v>
      </c>
      <c r="I9" s="200">
        <v>30000</v>
      </c>
      <c r="J9" s="200">
        <v>30000</v>
      </c>
      <c r="K9" s="36">
        <v>25000</v>
      </c>
      <c r="L9" s="200">
        <v>25000</v>
      </c>
      <c r="M9" s="36">
        <v>25000</v>
      </c>
      <c r="N9" s="200">
        <v>25000</v>
      </c>
      <c r="O9" s="36">
        <v>25000</v>
      </c>
      <c r="P9" s="35">
        <v>25000</v>
      </c>
      <c r="Q9" s="36"/>
      <c r="R9" s="35"/>
      <c r="S9" s="36">
        <f>+Z9</f>
        <v>0</v>
      </c>
      <c r="T9" s="36"/>
      <c r="U9" s="36"/>
      <c r="W9" s="36">
        <v>25000</v>
      </c>
      <c r="X9" s="36">
        <v>25000</v>
      </c>
      <c r="Y9" s="36">
        <v>25000</v>
      </c>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x14ac:dyDescent="0.25">
      <c r="A10" s="708" t="s">
        <v>1538</v>
      </c>
      <c r="B10" s="60" t="s">
        <v>1539</v>
      </c>
      <c r="C10" s="210">
        <v>5000</v>
      </c>
      <c r="D10" s="200">
        <v>5000</v>
      </c>
      <c r="E10" s="200">
        <v>5000</v>
      </c>
      <c r="F10" s="200">
        <v>5000</v>
      </c>
      <c r="G10" s="200">
        <v>5000</v>
      </c>
      <c r="H10" s="200">
        <v>5000</v>
      </c>
      <c r="I10" s="200">
        <v>5000</v>
      </c>
      <c r="J10" s="200">
        <v>5000</v>
      </c>
      <c r="K10" s="36">
        <v>5000</v>
      </c>
      <c r="L10" s="200">
        <v>5000</v>
      </c>
      <c r="M10" s="36">
        <v>5000</v>
      </c>
      <c r="N10" s="200">
        <v>5000</v>
      </c>
      <c r="O10" s="36">
        <v>0</v>
      </c>
      <c r="P10" s="35"/>
      <c r="Q10" s="36"/>
      <c r="R10" s="35"/>
      <c r="S10" s="36">
        <f t="shared" ref="S10:S11" si="0">+Z10</f>
        <v>0</v>
      </c>
      <c r="T10" s="36"/>
      <c r="U10" s="36"/>
      <c r="W10" s="36">
        <v>5000</v>
      </c>
      <c r="X10" s="36">
        <v>5000</v>
      </c>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idden="1" x14ac:dyDescent="0.25">
      <c r="A11" s="708" t="s">
        <v>1540</v>
      </c>
      <c r="B11" s="60" t="s">
        <v>1541</v>
      </c>
      <c r="C11" s="210">
        <v>14298.8</v>
      </c>
      <c r="D11" s="200">
        <v>14862.59</v>
      </c>
      <c r="E11" s="200">
        <v>15466.36</v>
      </c>
      <c r="F11" s="200">
        <v>14862.59</v>
      </c>
      <c r="G11" s="200">
        <v>14862.59</v>
      </c>
      <c r="H11" s="200">
        <v>5166.82</v>
      </c>
      <c r="I11" s="200">
        <v>0</v>
      </c>
      <c r="J11" s="200"/>
      <c r="K11" s="36"/>
      <c r="L11" s="200"/>
      <c r="M11" s="36"/>
      <c r="N11" s="200"/>
      <c r="O11" s="36"/>
      <c r="P11" s="35"/>
      <c r="Q11" s="36"/>
      <c r="R11" s="35"/>
      <c r="S11" s="36">
        <f t="shared" si="0"/>
        <v>0</v>
      </c>
      <c r="T11" s="36"/>
      <c r="U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x14ac:dyDescent="0.25">
      <c r="A12" s="708" t="s">
        <v>1542</v>
      </c>
      <c r="B12" s="60" t="s">
        <v>1543</v>
      </c>
      <c r="C12" s="210">
        <v>25000</v>
      </c>
      <c r="D12" s="200">
        <f>15000+5000</f>
        <v>20000</v>
      </c>
      <c r="E12" s="200">
        <v>15000</v>
      </c>
      <c r="F12" s="200">
        <v>15000</v>
      </c>
      <c r="G12" s="200">
        <v>15000</v>
      </c>
      <c r="H12" s="200">
        <v>15000</v>
      </c>
      <c r="I12" s="200">
        <f>10000+5000</f>
        <v>15000</v>
      </c>
      <c r="J12" s="200">
        <v>15000</v>
      </c>
      <c r="K12" s="36">
        <v>15000</v>
      </c>
      <c r="L12" s="200">
        <v>15000</v>
      </c>
      <c r="M12" s="36">
        <v>10000</v>
      </c>
      <c r="N12" s="200">
        <v>10000</v>
      </c>
      <c r="O12" s="36">
        <v>10000</v>
      </c>
      <c r="P12" s="35">
        <v>10000</v>
      </c>
      <c r="Q12" s="36">
        <v>10000</v>
      </c>
      <c r="R12" s="35">
        <v>10000</v>
      </c>
      <c r="S12" s="36">
        <f t="shared" ref="S12:S25" si="1">+AA12</f>
        <v>10000</v>
      </c>
      <c r="T12" s="36"/>
      <c r="U12" s="36"/>
      <c r="W12" s="36">
        <v>15000</v>
      </c>
      <c r="X12" s="36">
        <v>10000</v>
      </c>
      <c r="Y12" s="36">
        <v>10000</v>
      </c>
      <c r="Z12" s="36">
        <v>10000</v>
      </c>
      <c r="AA12" s="36">
        <v>10000</v>
      </c>
      <c r="AB12" s="36">
        <v>10000</v>
      </c>
      <c r="AC12" s="36">
        <v>10000</v>
      </c>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x14ac:dyDescent="0.25">
      <c r="A13" s="708" t="s">
        <v>1544</v>
      </c>
      <c r="B13" s="60" t="s">
        <v>1375</v>
      </c>
      <c r="C13" s="210">
        <v>26122.2</v>
      </c>
      <c r="D13" s="200">
        <v>26649.599999999999</v>
      </c>
      <c r="E13" s="200">
        <v>27187.8</v>
      </c>
      <c r="F13" s="200">
        <v>27737.4</v>
      </c>
      <c r="G13" s="200">
        <v>28297.8</v>
      </c>
      <c r="H13" s="200">
        <v>28869</v>
      </c>
      <c r="I13" s="200">
        <v>29452.2</v>
      </c>
      <c r="J13" s="200">
        <v>30047.4</v>
      </c>
      <c r="K13" s="36">
        <v>31141</v>
      </c>
      <c r="L13" s="200">
        <v>30654.6</v>
      </c>
      <c r="M13" s="36">
        <v>31274</v>
      </c>
      <c r="N13" s="200">
        <v>31273.8</v>
      </c>
      <c r="O13" s="36">
        <v>31906</v>
      </c>
      <c r="P13" s="35">
        <v>31905.599999999999</v>
      </c>
      <c r="Q13" s="36">
        <v>32550</v>
      </c>
      <c r="R13" s="200">
        <v>32550</v>
      </c>
      <c r="S13" s="36">
        <f t="shared" si="1"/>
        <v>33208</v>
      </c>
      <c r="T13" s="36"/>
      <c r="U13" s="36"/>
      <c r="W13" s="36">
        <f>+'Split Debt Service'!G35</f>
        <v>31141</v>
      </c>
      <c r="X13" s="36">
        <f>ROUND((+'Split Debt Service'!H35),0)</f>
        <v>31274</v>
      </c>
      <c r="Y13" s="36">
        <f>+'Split Debt Service'!I35</f>
        <v>31906</v>
      </c>
      <c r="Z13" s="36">
        <f>+'Split Debt Service'!J35</f>
        <v>32550</v>
      </c>
      <c r="AA13" s="36">
        <f>+'Split Debt Service'!K35</f>
        <v>33208</v>
      </c>
      <c r="AB13" s="36">
        <f>+'Split Debt Service'!L35</f>
        <v>33878</v>
      </c>
      <c r="AC13" s="36">
        <f>+'Split Debt Service'!M35</f>
        <v>34563</v>
      </c>
      <c r="AD13" s="36">
        <f>+'Split Debt Service'!N35</f>
        <v>0</v>
      </c>
      <c r="AE13" s="36">
        <f>+'Split Debt Service'!O35</f>
        <v>0</v>
      </c>
      <c r="AF13" s="36">
        <f>+'Split Debt Service'!P35</f>
        <v>0</v>
      </c>
      <c r="AG13" s="36">
        <f>+'Split Debt Service'!Q35</f>
        <v>0</v>
      </c>
      <c r="AH13" s="36">
        <f>+'Split Debt Service'!R35</f>
        <v>0</v>
      </c>
      <c r="AI13" s="36">
        <f>+'Split Debt Service'!S35</f>
        <v>0</v>
      </c>
      <c r="AJ13" s="36">
        <f>+'Split Debt Service'!T35</f>
        <v>0</v>
      </c>
      <c r="AK13" s="36">
        <f>+'Split Debt Service'!U35</f>
        <v>0</v>
      </c>
      <c r="AL13" s="36">
        <f>+'Split Debt Service'!V35</f>
        <v>0</v>
      </c>
      <c r="AM13" s="36">
        <f>+'Split Debt Service'!W35</f>
        <v>0</v>
      </c>
      <c r="AN13" s="36">
        <f>+'Split Debt Service'!X35</f>
        <v>0</v>
      </c>
      <c r="AO13" s="36">
        <f>+'Split Debt Service'!Y35</f>
        <v>0</v>
      </c>
      <c r="AP13" s="36">
        <f>+'Split Debt Service'!Z35</f>
        <v>0</v>
      </c>
      <c r="AQ13" s="36">
        <f>+'Split Debt Service'!AA35</f>
        <v>0</v>
      </c>
      <c r="AR13" s="36">
        <f>+'Split Debt Service'!AB35</f>
        <v>0</v>
      </c>
      <c r="AS13" s="36">
        <f>+'Split Debt Service'!AC35</f>
        <v>0</v>
      </c>
      <c r="AT13" s="36">
        <f>+'Split Debt Service'!AD35</f>
        <v>0</v>
      </c>
      <c r="AU13" s="36">
        <f>+'Split Debt Service'!AE35</f>
        <v>0</v>
      </c>
      <c r="AV13" s="36">
        <f>+'Split Debt Service'!AF35</f>
        <v>0</v>
      </c>
      <c r="AW13" s="36">
        <f>+'Split Debt Service'!AG35</f>
        <v>0</v>
      </c>
      <c r="AX13" s="36">
        <f>+'Split Debt Service'!AH35</f>
        <v>0</v>
      </c>
      <c r="AY13" s="36">
        <f>+'Split Debt Service'!AI35</f>
        <v>0</v>
      </c>
      <c r="AZ13" s="36">
        <f>+'Split Debt Service'!AJ35</f>
        <v>0</v>
      </c>
    </row>
    <row r="14" spans="1:52" x14ac:dyDescent="0.25">
      <c r="A14" s="708" t="s">
        <v>1545</v>
      </c>
      <c r="B14" s="60" t="s">
        <v>1376</v>
      </c>
      <c r="C14" s="210">
        <v>29077.200000000001</v>
      </c>
      <c r="D14" s="200">
        <v>29787.599999999999</v>
      </c>
      <c r="E14" s="200">
        <v>30515.4</v>
      </c>
      <c r="F14" s="200">
        <v>31261.200000000001</v>
      </c>
      <c r="G14" s="200">
        <v>32025</v>
      </c>
      <c r="H14" s="200">
        <v>32807.4</v>
      </c>
      <c r="I14" s="200">
        <v>33609.599999999999</v>
      </c>
      <c r="J14" s="200">
        <v>34430.400000000001</v>
      </c>
      <c r="K14" s="36">
        <v>35272</v>
      </c>
      <c r="L14" s="200">
        <v>35271.599999999999</v>
      </c>
      <c r="M14" s="36">
        <v>36134</v>
      </c>
      <c r="N14" s="200">
        <v>36133.800000000003</v>
      </c>
      <c r="O14" s="36">
        <v>37017</v>
      </c>
      <c r="P14" s="35">
        <v>37016.400000000001</v>
      </c>
      <c r="Q14" s="36">
        <v>37921</v>
      </c>
      <c r="R14" s="200">
        <v>37921.199999999997</v>
      </c>
      <c r="S14" s="36">
        <f t="shared" si="1"/>
        <v>38848</v>
      </c>
      <c r="T14" s="36"/>
      <c r="U14" s="36"/>
      <c r="W14" s="36">
        <f>+'Split Debt Service'!G36</f>
        <v>35272</v>
      </c>
      <c r="X14" s="36">
        <f>ROUND((+'Split Debt Service'!H36),0)</f>
        <v>36134</v>
      </c>
      <c r="Y14" s="36">
        <f>+'Split Debt Service'!I36</f>
        <v>37016</v>
      </c>
      <c r="Z14" s="36">
        <f>+'Split Debt Service'!J36</f>
        <v>37921</v>
      </c>
      <c r="AA14" s="36">
        <f>+'Split Debt Service'!K36</f>
        <v>38848</v>
      </c>
      <c r="AB14" s="36">
        <f>+'Split Debt Service'!L36</f>
        <v>39797</v>
      </c>
      <c r="AC14" s="36">
        <f>+'Split Debt Service'!M36</f>
        <v>40769</v>
      </c>
      <c r="AD14" s="36">
        <f>+'Split Debt Service'!N36</f>
        <v>41765</v>
      </c>
      <c r="AE14" s="36">
        <f>+'Split Debt Service'!O36</f>
        <v>42786</v>
      </c>
      <c r="AF14" s="36">
        <f>+'Split Debt Service'!P36</f>
        <v>43832</v>
      </c>
      <c r="AG14" s="36">
        <f>+'Split Debt Service'!Q36</f>
        <v>44903</v>
      </c>
      <c r="AH14" s="36">
        <f>+'Split Debt Service'!R36</f>
        <v>46000</v>
      </c>
      <c r="AI14" s="36">
        <f>+'Split Debt Service'!S36</f>
        <v>47124</v>
      </c>
      <c r="AJ14" s="36">
        <f>+'Split Debt Service'!T36</f>
        <v>48275</v>
      </c>
      <c r="AK14" s="36">
        <f>+'Split Debt Service'!U36</f>
        <v>49455</v>
      </c>
      <c r="AL14" s="36">
        <f>+'Split Debt Service'!V36</f>
        <v>50663</v>
      </c>
      <c r="AM14" s="36">
        <f>+'Split Debt Service'!W36</f>
        <v>51901</v>
      </c>
      <c r="AN14" s="36">
        <f>+'Split Debt Service'!X36</f>
        <v>53170</v>
      </c>
      <c r="AO14" s="36">
        <f>+'Split Debt Service'!Y36</f>
        <v>0</v>
      </c>
      <c r="AP14" s="36">
        <f>+'Split Debt Service'!Z36</f>
        <v>0</v>
      </c>
      <c r="AQ14" s="36">
        <f>+'Split Debt Service'!AA36</f>
        <v>0</v>
      </c>
      <c r="AR14" s="36">
        <f>+'Split Debt Service'!AB36</f>
        <v>0</v>
      </c>
      <c r="AS14" s="36">
        <f>+'Split Debt Service'!AC36</f>
        <v>0</v>
      </c>
      <c r="AT14" s="36">
        <f>+'Split Debt Service'!AD36</f>
        <v>0</v>
      </c>
      <c r="AU14" s="36">
        <f>+'Split Debt Service'!AE36</f>
        <v>0</v>
      </c>
      <c r="AV14" s="36">
        <f>+'Split Debt Service'!AF36</f>
        <v>0</v>
      </c>
      <c r="AW14" s="36">
        <f>+'Split Debt Service'!AG36</f>
        <v>0</v>
      </c>
      <c r="AX14" s="36">
        <f>+'Split Debt Service'!AH36</f>
        <v>0</v>
      </c>
      <c r="AY14" s="36">
        <f>+'Split Debt Service'!AI36</f>
        <v>0</v>
      </c>
      <c r="AZ14" s="36">
        <f>+'Split Debt Service'!AJ36</f>
        <v>0</v>
      </c>
    </row>
    <row r="15" spans="1:52" x14ac:dyDescent="0.25">
      <c r="A15" s="708" t="s">
        <v>1546</v>
      </c>
      <c r="B15" s="60" t="s">
        <v>1377</v>
      </c>
      <c r="C15" s="210">
        <v>8143.77</v>
      </c>
      <c r="D15" s="200">
        <v>8143.77</v>
      </c>
      <c r="E15" s="200">
        <v>8500.06</v>
      </c>
      <c r="F15" s="200">
        <v>8871.94</v>
      </c>
      <c r="G15" s="200">
        <v>9260.08</v>
      </c>
      <c r="H15" s="200">
        <v>9665.2099999999991</v>
      </c>
      <c r="I15" s="200">
        <v>10088.06</v>
      </c>
      <c r="J15" s="200">
        <v>10529.42</v>
      </c>
      <c r="K15" s="36">
        <v>12000</v>
      </c>
      <c r="L15" s="200">
        <v>12000</v>
      </c>
      <c r="M15" s="36">
        <v>12000</v>
      </c>
      <c r="N15" s="200">
        <v>12000</v>
      </c>
      <c r="O15" s="36">
        <v>12000</v>
      </c>
      <c r="P15" s="35">
        <v>12000</v>
      </c>
      <c r="Q15" s="36">
        <v>15000</v>
      </c>
      <c r="R15" s="200"/>
      <c r="S15" s="36">
        <f t="shared" si="1"/>
        <v>15000</v>
      </c>
      <c r="T15" s="36"/>
      <c r="U15" s="36"/>
      <c r="W15" s="36">
        <f>+'Split Debt Service'!G37</f>
        <v>12000</v>
      </c>
      <c r="X15" s="36">
        <f>ROUND((+'Split Debt Service'!H37),0)</f>
        <v>12000</v>
      </c>
      <c r="Y15" s="36">
        <f>+'Split Debt Service'!I37</f>
        <v>12000</v>
      </c>
      <c r="Z15" s="36">
        <f>+'Split Debt Service'!J37</f>
        <v>15000</v>
      </c>
      <c r="AA15" s="36">
        <f>+'Split Debt Service'!K37</f>
        <v>15000</v>
      </c>
      <c r="AB15" s="36">
        <f>+'Split Debt Service'!L37</f>
        <v>15000</v>
      </c>
      <c r="AC15" s="36">
        <f>+'Split Debt Service'!M37</f>
        <v>15000</v>
      </c>
      <c r="AD15" s="36">
        <f>+'Split Debt Service'!N37</f>
        <v>18000</v>
      </c>
      <c r="AE15" s="36">
        <f>+'Split Debt Service'!O37</f>
        <v>18000</v>
      </c>
      <c r="AF15" s="36">
        <f>+'Split Debt Service'!P37</f>
        <v>18000</v>
      </c>
      <c r="AG15" s="36">
        <f>+'Split Debt Service'!Q37</f>
        <v>21000</v>
      </c>
      <c r="AH15" s="36">
        <f>+'Split Debt Service'!R37</f>
        <v>21000</v>
      </c>
      <c r="AI15" s="36">
        <f>+'Split Debt Service'!S37</f>
        <v>21000</v>
      </c>
      <c r="AJ15" s="36">
        <f>+'Split Debt Service'!T37</f>
        <v>21000</v>
      </c>
      <c r="AK15" s="36">
        <f>+'Split Debt Service'!U37</f>
        <v>21000</v>
      </c>
      <c r="AL15" s="36">
        <f>+'Split Debt Service'!V37</f>
        <v>21000</v>
      </c>
      <c r="AM15" s="36">
        <f>+'Split Debt Service'!W37</f>
        <v>21000</v>
      </c>
      <c r="AN15" s="36">
        <f>+'Split Debt Service'!X37</f>
        <v>24000</v>
      </c>
      <c r="AO15" s="36">
        <f>+'Split Debt Service'!Y37</f>
        <v>24000</v>
      </c>
      <c r="AP15" s="36">
        <f>+'Split Debt Service'!Z37</f>
        <v>24000</v>
      </c>
      <c r="AQ15" s="36">
        <f>+'Split Debt Service'!AA37</f>
        <v>24000</v>
      </c>
      <c r="AR15" s="36">
        <f>+'Split Debt Service'!AB37</f>
        <v>24000</v>
      </c>
      <c r="AS15" s="36">
        <f>+'Split Debt Service'!AC37</f>
        <v>27000</v>
      </c>
      <c r="AT15" s="36">
        <f>+'Split Debt Service'!AD37</f>
        <v>27000</v>
      </c>
      <c r="AU15" s="36">
        <f>+'Split Debt Service'!AE37</f>
        <v>27000</v>
      </c>
      <c r="AV15" s="36">
        <f>+'Split Debt Service'!AF37</f>
        <v>0</v>
      </c>
      <c r="AW15" s="36">
        <f>+'Split Debt Service'!AG37</f>
        <v>0</v>
      </c>
      <c r="AX15" s="36">
        <f>+'Split Debt Service'!AH37</f>
        <v>0</v>
      </c>
      <c r="AY15" s="36">
        <f>+'Split Debt Service'!AI37</f>
        <v>0</v>
      </c>
      <c r="AZ15" s="36">
        <f>+'Split Debt Service'!AJ37</f>
        <v>0</v>
      </c>
    </row>
    <row r="16" spans="1:52" x14ac:dyDescent="0.25">
      <c r="A16" s="708" t="s">
        <v>1547</v>
      </c>
      <c r="B16" s="60" t="s">
        <v>1378</v>
      </c>
      <c r="C16" s="210">
        <v>7219.2</v>
      </c>
      <c r="D16" s="200">
        <v>7517</v>
      </c>
      <c r="E16" s="200">
        <v>7827.38</v>
      </c>
      <c r="F16" s="200">
        <v>8150.26</v>
      </c>
      <c r="G16" s="200">
        <v>8486.4599999999991</v>
      </c>
      <c r="H16" s="200">
        <v>8836.51</v>
      </c>
      <c r="I16" s="200">
        <v>9201.0300000000007</v>
      </c>
      <c r="J16" s="200">
        <v>9580.57</v>
      </c>
      <c r="K16" s="36">
        <v>9976</v>
      </c>
      <c r="L16" s="200">
        <v>9975.77</v>
      </c>
      <c r="M16" s="36">
        <v>10388</v>
      </c>
      <c r="N16" s="200">
        <v>10387.280000000001</v>
      </c>
      <c r="O16" s="36">
        <v>10816</v>
      </c>
      <c r="P16" s="35">
        <v>10815.75</v>
      </c>
      <c r="Q16" s="36">
        <v>11262</v>
      </c>
      <c r="R16" s="200">
        <v>11261.9</v>
      </c>
      <c r="S16" s="36">
        <f t="shared" si="1"/>
        <v>11727</v>
      </c>
      <c r="T16" s="36"/>
      <c r="U16" s="36"/>
      <c r="W16" s="36">
        <f>+'Split Debt Service'!G38</f>
        <v>9976</v>
      </c>
      <c r="X16" s="36">
        <f>ROUND((+'Split Debt Service'!H38),0)</f>
        <v>10388</v>
      </c>
      <c r="Y16" s="36">
        <f>+'Split Debt Service'!I38</f>
        <v>10816</v>
      </c>
      <c r="Z16" s="36">
        <f>+'Split Debt Service'!J38</f>
        <v>11262</v>
      </c>
      <c r="AA16" s="36">
        <f>+'Split Debt Service'!K38</f>
        <v>11727</v>
      </c>
      <c r="AB16" s="36">
        <f>+'Split Debt Service'!L38</f>
        <v>12211</v>
      </c>
      <c r="AC16" s="36">
        <f>+'Split Debt Service'!M38</f>
        <v>12714</v>
      </c>
      <c r="AD16" s="36">
        <f>+'Split Debt Service'!N38</f>
        <v>13238</v>
      </c>
      <c r="AE16" s="36">
        <f>+'Split Debt Service'!O38</f>
        <v>13784</v>
      </c>
      <c r="AF16" s="36">
        <f>+'Split Debt Service'!P38</f>
        <v>14353</v>
      </c>
      <c r="AG16" s="36">
        <f>+'Split Debt Service'!Q38</f>
        <v>14945</v>
      </c>
      <c r="AH16" s="36">
        <f>+'Split Debt Service'!R38</f>
        <v>15562</v>
      </c>
      <c r="AI16" s="36">
        <f>+'Split Debt Service'!S38</f>
        <v>16204</v>
      </c>
      <c r="AJ16" s="36">
        <f>+'Split Debt Service'!T38</f>
        <v>16872</v>
      </c>
      <c r="AK16" s="36">
        <f>+'Split Debt Service'!U38</f>
        <v>17568</v>
      </c>
      <c r="AL16" s="36">
        <f>+'Split Debt Service'!V38</f>
        <v>18293</v>
      </c>
      <c r="AM16" s="36">
        <f>+'Split Debt Service'!W38</f>
        <v>19048</v>
      </c>
      <c r="AN16" s="36">
        <f>+'Split Debt Service'!X38</f>
        <v>19833</v>
      </c>
      <c r="AO16" s="36">
        <f>+'Split Debt Service'!Y38</f>
        <v>20651</v>
      </c>
      <c r="AP16" s="36">
        <f>+'Split Debt Service'!Z38</f>
        <v>21503</v>
      </c>
      <c r="AQ16" s="36">
        <f>+'Split Debt Service'!AA38</f>
        <v>22390</v>
      </c>
      <c r="AR16" s="36">
        <f>+'Split Debt Service'!AB38</f>
        <v>23314</v>
      </c>
      <c r="AS16" s="36">
        <f>+'Split Debt Service'!AC38</f>
        <v>24275</v>
      </c>
      <c r="AT16" s="36">
        <f>+'Split Debt Service'!AD38</f>
        <v>25277</v>
      </c>
      <c r="AU16" s="36">
        <f>+'Split Debt Service'!AE38</f>
        <v>26319</v>
      </c>
      <c r="AV16" s="36">
        <f>+'Split Debt Service'!AF38</f>
        <v>27405</v>
      </c>
      <c r="AW16" s="36">
        <f>+'Split Debt Service'!AG38</f>
        <v>28535</v>
      </c>
      <c r="AX16" s="36">
        <f>+'Split Debt Service'!AH38</f>
        <v>29528</v>
      </c>
      <c r="AY16" s="36">
        <f>+'Split Debt Service'!AI38</f>
        <v>0</v>
      </c>
      <c r="AZ16" s="36">
        <f>+'Split Debt Service'!AJ38</f>
        <v>0</v>
      </c>
    </row>
    <row r="17" spans="1:53" hidden="1" x14ac:dyDescent="0.25">
      <c r="A17" s="708" t="s">
        <v>1548</v>
      </c>
      <c r="B17" s="60" t="s">
        <v>1549</v>
      </c>
      <c r="C17" s="115">
        <v>62002</v>
      </c>
      <c r="D17" s="200">
        <v>63829</v>
      </c>
      <c r="E17" s="200">
        <v>65775</v>
      </c>
      <c r="F17" s="200">
        <v>67796</v>
      </c>
      <c r="G17" s="200">
        <v>69879</v>
      </c>
      <c r="H17" s="200"/>
      <c r="I17" s="200">
        <v>0</v>
      </c>
      <c r="J17" s="200"/>
      <c r="K17" s="36"/>
      <c r="L17" s="200"/>
      <c r="M17" s="36"/>
      <c r="N17" s="200"/>
      <c r="O17" s="36"/>
      <c r="P17" s="35"/>
      <c r="Q17" s="36"/>
      <c r="R17" s="35"/>
      <c r="S17" s="36">
        <f t="shared" si="1"/>
        <v>0</v>
      </c>
      <c r="T17" s="36"/>
      <c r="U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3" x14ac:dyDescent="0.25">
      <c r="A18" s="708" t="s">
        <v>1550</v>
      </c>
      <c r="B18" s="60" t="s">
        <v>1551</v>
      </c>
      <c r="C18" s="210"/>
      <c r="D18" s="35"/>
      <c r="E18" s="35">
        <v>65000</v>
      </c>
      <c r="F18" s="35">
        <v>55000</v>
      </c>
      <c r="G18" s="35">
        <v>55000</v>
      </c>
      <c r="H18" s="35"/>
      <c r="I18" s="35">
        <v>60000</v>
      </c>
      <c r="J18" s="35">
        <v>65000</v>
      </c>
      <c r="K18" s="36">
        <v>65000</v>
      </c>
      <c r="L18" s="35">
        <v>65000</v>
      </c>
      <c r="M18" s="36">
        <v>70000</v>
      </c>
      <c r="N18" s="35">
        <v>70000</v>
      </c>
      <c r="O18" s="36">
        <v>70000</v>
      </c>
      <c r="P18" s="35">
        <v>70000</v>
      </c>
      <c r="Q18" s="36">
        <v>75000</v>
      </c>
      <c r="R18" s="35"/>
      <c r="S18" s="36">
        <f t="shared" si="1"/>
        <v>75000</v>
      </c>
      <c r="T18" s="36"/>
      <c r="U18" s="36"/>
      <c r="W18" s="36">
        <v>65000</v>
      </c>
      <c r="X18" s="36">
        <v>70000</v>
      </c>
      <c r="Y18" s="36">
        <v>70000</v>
      </c>
      <c r="Z18" s="36">
        <v>75000</v>
      </c>
      <c r="AA18" s="36">
        <v>75000</v>
      </c>
      <c r="AB18" s="36">
        <v>80000</v>
      </c>
      <c r="AC18" s="36">
        <v>80000</v>
      </c>
      <c r="AD18" s="36">
        <v>85000</v>
      </c>
      <c r="AE18" s="36">
        <v>90000</v>
      </c>
      <c r="AF18" s="36">
        <v>90000</v>
      </c>
      <c r="AG18" s="36">
        <v>95000</v>
      </c>
      <c r="AH18" s="36">
        <v>100000</v>
      </c>
      <c r="AI18" s="36">
        <v>105000</v>
      </c>
      <c r="AJ18" s="36">
        <v>110000</v>
      </c>
      <c r="AK18" s="36"/>
      <c r="AL18" s="36"/>
      <c r="AM18" s="36"/>
      <c r="AN18" s="36"/>
      <c r="AO18" s="36"/>
      <c r="AP18" s="36"/>
      <c r="AQ18" s="36"/>
      <c r="AR18" s="36"/>
      <c r="AS18" s="36"/>
      <c r="AT18" s="36"/>
      <c r="AU18" s="36"/>
      <c r="AV18" s="36"/>
      <c r="AW18" s="36"/>
      <c r="AX18" s="36"/>
      <c r="AY18" s="36"/>
      <c r="AZ18" s="36"/>
    </row>
    <row r="19" spans="1:53" x14ac:dyDescent="0.25">
      <c r="A19" s="708" t="s">
        <v>1552</v>
      </c>
      <c r="B19" s="12" t="s">
        <v>1553</v>
      </c>
      <c r="C19" s="35"/>
      <c r="D19" s="35"/>
      <c r="E19" s="35"/>
      <c r="F19" s="35"/>
      <c r="G19" s="35"/>
      <c r="H19" s="35">
        <v>60000</v>
      </c>
      <c r="I19" s="35">
        <v>0</v>
      </c>
      <c r="J19" s="35">
        <v>64036</v>
      </c>
      <c r="K19" s="36">
        <v>65428</v>
      </c>
      <c r="L19" s="35">
        <v>65428</v>
      </c>
      <c r="M19" s="36">
        <v>66850</v>
      </c>
      <c r="N19" s="35">
        <v>66850</v>
      </c>
      <c r="O19" s="36">
        <v>68302</v>
      </c>
      <c r="P19" s="35">
        <v>68302</v>
      </c>
      <c r="Q19" s="36">
        <v>69787</v>
      </c>
      <c r="R19" s="35">
        <v>69787</v>
      </c>
      <c r="S19" s="36">
        <f t="shared" si="1"/>
        <v>71304</v>
      </c>
      <c r="T19" s="36"/>
      <c r="U19" s="36"/>
      <c r="W19" s="36">
        <v>65428</v>
      </c>
      <c r="X19" s="36">
        <v>66850</v>
      </c>
      <c r="Y19" s="36">
        <v>68302</v>
      </c>
      <c r="Z19" s="36">
        <v>69787</v>
      </c>
      <c r="AA19" s="36">
        <v>71304</v>
      </c>
      <c r="AB19" s="36">
        <v>72853</v>
      </c>
      <c r="AC19" s="36">
        <v>74437</v>
      </c>
      <c r="AD19" s="36">
        <v>76054</v>
      </c>
      <c r="AE19" s="36">
        <v>77707</v>
      </c>
      <c r="AF19" s="36">
        <v>79396</v>
      </c>
      <c r="AG19" s="36">
        <v>81122</v>
      </c>
      <c r="AH19" s="36">
        <v>82855</v>
      </c>
      <c r="AI19" s="36">
        <v>84686</v>
      </c>
      <c r="AJ19" s="36">
        <v>86527</v>
      </c>
      <c r="AK19" s="36">
        <v>88407</v>
      </c>
      <c r="AL19" s="36">
        <v>90329</v>
      </c>
      <c r="AM19" s="36">
        <v>92292</v>
      </c>
      <c r="AN19" s="36">
        <v>94298</v>
      </c>
      <c r="AO19" s="36">
        <v>96347</v>
      </c>
      <c r="AP19" s="36"/>
      <c r="AQ19" s="36"/>
      <c r="AR19" s="36"/>
      <c r="AS19" s="36"/>
      <c r="AT19" s="36"/>
      <c r="AU19" s="36"/>
      <c r="AV19" s="36"/>
      <c r="AW19" s="36"/>
      <c r="AX19" s="36"/>
      <c r="AY19" s="36"/>
      <c r="AZ19" s="36"/>
    </row>
    <row r="20" spans="1:53" x14ac:dyDescent="0.25">
      <c r="A20" s="708" t="s">
        <v>1554</v>
      </c>
      <c r="B20" s="12" t="s">
        <v>1555</v>
      </c>
      <c r="C20" s="35"/>
      <c r="D20" s="35"/>
      <c r="E20" s="35"/>
      <c r="F20" s="35"/>
      <c r="G20" s="35"/>
      <c r="H20" s="35"/>
      <c r="I20" s="35">
        <v>0</v>
      </c>
      <c r="J20" s="35">
        <v>2000</v>
      </c>
      <c r="K20" s="36">
        <v>4000</v>
      </c>
      <c r="L20" s="35">
        <v>4000</v>
      </c>
      <c r="M20" s="36">
        <v>4000</v>
      </c>
      <c r="N20" s="35">
        <v>4000</v>
      </c>
      <c r="O20" s="36">
        <v>5000</v>
      </c>
      <c r="P20" s="35">
        <v>5000</v>
      </c>
      <c r="Q20" s="36">
        <v>5000</v>
      </c>
      <c r="R20" s="35">
        <v>5000</v>
      </c>
      <c r="S20" s="36">
        <f t="shared" si="1"/>
        <v>5000</v>
      </c>
      <c r="T20" s="36"/>
      <c r="U20" s="36"/>
      <c r="W20" s="36">
        <v>4000</v>
      </c>
      <c r="X20" s="36">
        <v>4000</v>
      </c>
      <c r="Y20" s="36">
        <v>5000</v>
      </c>
      <c r="Z20" s="36">
        <v>5000</v>
      </c>
      <c r="AA20" s="36">
        <v>5000</v>
      </c>
      <c r="AB20" s="36">
        <v>5000</v>
      </c>
      <c r="AC20" s="36">
        <v>5000</v>
      </c>
      <c r="AD20" s="36">
        <v>5000</v>
      </c>
      <c r="AE20" s="36">
        <v>6000</v>
      </c>
      <c r="AF20" s="36">
        <v>6000</v>
      </c>
      <c r="AG20" s="36">
        <v>6000</v>
      </c>
      <c r="AH20" s="36">
        <v>6000</v>
      </c>
      <c r="AI20" s="36">
        <v>6000</v>
      </c>
      <c r="AJ20" s="36">
        <v>7000</v>
      </c>
      <c r="AK20" s="36">
        <v>7000</v>
      </c>
      <c r="AL20" s="36">
        <v>7000</v>
      </c>
      <c r="AM20" s="36">
        <v>7000</v>
      </c>
      <c r="AN20" s="36">
        <v>7000</v>
      </c>
      <c r="AO20" s="36">
        <v>8000</v>
      </c>
      <c r="AP20" s="36">
        <v>8000</v>
      </c>
      <c r="AQ20" s="36">
        <v>8000</v>
      </c>
      <c r="AR20" s="36">
        <v>8000</v>
      </c>
      <c r="AS20" s="36">
        <v>9000</v>
      </c>
      <c r="AT20" s="36">
        <v>8000</v>
      </c>
      <c r="AU20" s="36"/>
      <c r="AV20" s="36"/>
      <c r="AW20" s="36"/>
      <c r="AX20" s="36"/>
      <c r="AY20" s="36"/>
      <c r="AZ20" s="36"/>
    </row>
    <row r="21" spans="1:53" x14ac:dyDescent="0.25">
      <c r="A21" s="708" t="s">
        <v>1556</v>
      </c>
      <c r="B21" s="12" t="s">
        <v>1557</v>
      </c>
      <c r="C21" s="35"/>
      <c r="D21" s="35"/>
      <c r="E21" s="35"/>
      <c r="F21" s="35"/>
      <c r="G21" s="35"/>
      <c r="H21" s="35"/>
      <c r="I21" s="35">
        <v>0</v>
      </c>
      <c r="J21" s="35">
        <v>5000</v>
      </c>
      <c r="K21" s="36">
        <v>10000</v>
      </c>
      <c r="L21" s="35">
        <v>10000</v>
      </c>
      <c r="M21" s="36">
        <v>10000</v>
      </c>
      <c r="N21" s="35">
        <v>10000</v>
      </c>
      <c r="O21" s="36">
        <v>11000</v>
      </c>
      <c r="P21" s="35">
        <v>11000</v>
      </c>
      <c r="Q21" s="36">
        <v>12000</v>
      </c>
      <c r="R21" s="35">
        <v>12000</v>
      </c>
      <c r="S21" s="36">
        <f t="shared" si="1"/>
        <v>12000</v>
      </c>
      <c r="T21" s="36"/>
      <c r="U21" s="36"/>
      <c r="W21" s="36">
        <v>10000</v>
      </c>
      <c r="X21" s="36">
        <v>10000</v>
      </c>
      <c r="Y21" s="36">
        <v>11000</v>
      </c>
      <c r="Z21" s="36">
        <v>12000</v>
      </c>
      <c r="AA21" s="36">
        <v>12000</v>
      </c>
      <c r="AB21" s="36">
        <v>12000</v>
      </c>
      <c r="AC21" s="36">
        <v>13000</v>
      </c>
      <c r="AD21" s="36">
        <v>13000</v>
      </c>
      <c r="AE21" s="36">
        <v>14000</v>
      </c>
      <c r="AF21" s="36">
        <v>14000</v>
      </c>
      <c r="AG21" s="36">
        <v>15000</v>
      </c>
      <c r="AH21" s="36">
        <v>15000</v>
      </c>
      <c r="AI21" s="36">
        <v>15000</v>
      </c>
      <c r="AJ21" s="36">
        <v>16000</v>
      </c>
      <c r="AK21" s="36">
        <v>16000</v>
      </c>
      <c r="AL21" s="36">
        <v>17000</v>
      </c>
      <c r="AM21" s="36">
        <v>18000</v>
      </c>
      <c r="AN21" s="36">
        <v>18000</v>
      </c>
      <c r="AO21" s="36">
        <v>19000</v>
      </c>
      <c r="AP21" s="36">
        <v>19000</v>
      </c>
      <c r="AQ21" s="36">
        <v>20000</v>
      </c>
      <c r="AR21" s="36">
        <v>21000</v>
      </c>
      <c r="AS21" s="36">
        <v>21000</v>
      </c>
      <c r="AT21" s="36">
        <v>21000</v>
      </c>
      <c r="AU21" s="36"/>
      <c r="AV21" s="36"/>
      <c r="AW21" s="36"/>
      <c r="AX21" s="36"/>
      <c r="AY21" s="36"/>
      <c r="AZ21" s="36"/>
    </row>
    <row r="22" spans="1:53" x14ac:dyDescent="0.25">
      <c r="A22" s="708" t="s">
        <v>1558</v>
      </c>
      <c r="B22" s="12" t="s">
        <v>1559</v>
      </c>
      <c r="C22" s="35"/>
      <c r="D22" s="35"/>
      <c r="E22" s="35"/>
      <c r="F22" s="35"/>
      <c r="G22" s="35"/>
      <c r="H22" s="35"/>
      <c r="I22" s="35">
        <v>0</v>
      </c>
      <c r="J22" s="35">
        <v>5000</v>
      </c>
      <c r="K22" s="36">
        <v>10000</v>
      </c>
      <c r="L22" s="35">
        <v>10000</v>
      </c>
      <c r="M22" s="36">
        <v>10000</v>
      </c>
      <c r="N22" s="35">
        <v>10000</v>
      </c>
      <c r="O22" s="36">
        <v>11000</v>
      </c>
      <c r="P22" s="35">
        <v>11000</v>
      </c>
      <c r="Q22" s="36">
        <v>11000</v>
      </c>
      <c r="R22" s="35">
        <v>11000</v>
      </c>
      <c r="S22" s="36">
        <f t="shared" si="1"/>
        <v>11000</v>
      </c>
      <c r="T22" s="36"/>
      <c r="U22" s="36"/>
      <c r="W22" s="36">
        <v>10000</v>
      </c>
      <c r="X22" s="36">
        <v>10000</v>
      </c>
      <c r="Y22" s="36">
        <v>11000</v>
      </c>
      <c r="Z22" s="36">
        <v>11000</v>
      </c>
      <c r="AA22" s="36">
        <v>11000</v>
      </c>
      <c r="AB22" s="36">
        <v>12000</v>
      </c>
      <c r="AC22" s="36">
        <v>12000</v>
      </c>
      <c r="AD22" s="36">
        <v>13000</v>
      </c>
      <c r="AE22" s="36">
        <v>13000</v>
      </c>
      <c r="AF22" s="36">
        <v>14000</v>
      </c>
      <c r="AG22" s="36">
        <v>14000</v>
      </c>
      <c r="AH22" s="36">
        <v>14000</v>
      </c>
      <c r="AI22" s="36">
        <v>15000</v>
      </c>
      <c r="AJ22" s="36">
        <v>15000</v>
      </c>
      <c r="AK22" s="36">
        <v>16000</v>
      </c>
      <c r="AL22" s="36">
        <v>16000</v>
      </c>
      <c r="AM22" s="36">
        <v>17000</v>
      </c>
      <c r="AN22" s="36">
        <v>17000</v>
      </c>
      <c r="AO22" s="36">
        <v>18000</v>
      </c>
      <c r="AP22" s="36">
        <v>19000</v>
      </c>
      <c r="AQ22" s="36">
        <v>19000</v>
      </c>
      <c r="AR22" s="36">
        <v>20000</v>
      </c>
      <c r="AS22" s="36">
        <v>21000</v>
      </c>
      <c r="AT22" s="36">
        <v>20000</v>
      </c>
      <c r="AU22" s="36"/>
      <c r="AV22" s="36"/>
      <c r="AW22" s="36"/>
      <c r="AX22" s="36"/>
      <c r="AY22" s="36"/>
      <c r="AZ22" s="36"/>
    </row>
    <row r="23" spans="1:53" x14ac:dyDescent="0.25">
      <c r="A23" s="708" t="s">
        <v>1560</v>
      </c>
      <c r="B23" s="12" t="s">
        <v>1561</v>
      </c>
      <c r="C23" s="35"/>
      <c r="D23" s="35"/>
      <c r="E23" s="35"/>
      <c r="F23" s="35"/>
      <c r="G23" s="35"/>
      <c r="H23" s="35">
        <v>5000</v>
      </c>
      <c r="I23" s="35">
        <v>0</v>
      </c>
      <c r="J23" s="35">
        <v>1000</v>
      </c>
      <c r="K23" s="36">
        <v>3000</v>
      </c>
      <c r="L23" s="35">
        <v>3000</v>
      </c>
      <c r="M23" s="36">
        <v>3000</v>
      </c>
      <c r="N23" s="35">
        <v>3000</v>
      </c>
      <c r="O23" s="36">
        <v>3000</v>
      </c>
      <c r="P23" s="35">
        <v>3000</v>
      </c>
      <c r="Q23" s="36">
        <v>3000</v>
      </c>
      <c r="R23" s="35">
        <v>3000</v>
      </c>
      <c r="S23" s="36">
        <f t="shared" si="1"/>
        <v>3000</v>
      </c>
      <c r="T23" s="36"/>
      <c r="U23" s="36"/>
      <c r="W23" s="36">
        <v>3000</v>
      </c>
      <c r="X23" s="36">
        <v>3000</v>
      </c>
      <c r="Y23" s="36">
        <v>3000</v>
      </c>
      <c r="Z23" s="36">
        <v>3000</v>
      </c>
      <c r="AA23" s="36">
        <v>3000</v>
      </c>
      <c r="AB23" s="36">
        <v>3000</v>
      </c>
      <c r="AC23" s="36">
        <v>3000</v>
      </c>
      <c r="AD23" s="36">
        <v>4000</v>
      </c>
      <c r="AE23" s="36">
        <v>4000</v>
      </c>
      <c r="AF23" s="36">
        <v>4000</v>
      </c>
      <c r="AG23" s="36">
        <v>4000</v>
      </c>
      <c r="AH23" s="36">
        <v>4000</v>
      </c>
      <c r="AI23" s="36">
        <v>4000</v>
      </c>
      <c r="AJ23" s="36">
        <v>4000</v>
      </c>
      <c r="AK23" s="36">
        <v>4000</v>
      </c>
      <c r="AL23" s="36">
        <v>4000</v>
      </c>
      <c r="AM23" s="36">
        <v>5000</v>
      </c>
      <c r="AN23" s="36">
        <v>5000</v>
      </c>
      <c r="AO23" s="36">
        <v>5000</v>
      </c>
      <c r="AP23" s="36">
        <v>5000</v>
      </c>
      <c r="AQ23" s="36">
        <v>5000</v>
      </c>
      <c r="AR23" s="36">
        <v>6000</v>
      </c>
      <c r="AS23" s="36">
        <v>6000</v>
      </c>
      <c r="AT23" s="36">
        <v>5000</v>
      </c>
      <c r="AU23" s="36"/>
      <c r="AV23" s="36"/>
      <c r="AW23" s="36"/>
      <c r="AX23" s="36"/>
      <c r="AY23" s="36"/>
      <c r="AZ23" s="36"/>
    </row>
    <row r="24" spans="1:53" x14ac:dyDescent="0.25">
      <c r="A24" s="708" t="s">
        <v>1562</v>
      </c>
      <c r="B24" s="12" t="s">
        <v>1563</v>
      </c>
      <c r="C24" s="35"/>
      <c r="D24" s="35"/>
      <c r="E24" s="35"/>
      <c r="F24" s="35"/>
      <c r="G24" s="35"/>
      <c r="H24" s="35"/>
      <c r="I24" s="35"/>
      <c r="J24" s="35">
        <v>5000</v>
      </c>
      <c r="K24" s="36">
        <v>10000</v>
      </c>
      <c r="L24" s="35">
        <v>10000</v>
      </c>
      <c r="M24" s="36">
        <v>11000</v>
      </c>
      <c r="N24" s="35">
        <v>11000</v>
      </c>
      <c r="O24" s="36">
        <v>11000</v>
      </c>
      <c r="P24" s="35">
        <v>11000</v>
      </c>
      <c r="Q24" s="36">
        <v>12000</v>
      </c>
      <c r="R24" s="35">
        <v>12000</v>
      </c>
      <c r="S24" s="36">
        <f t="shared" si="1"/>
        <v>12000</v>
      </c>
      <c r="T24" s="36"/>
      <c r="U24" s="36"/>
      <c r="W24" s="36">
        <v>10000</v>
      </c>
      <c r="X24" s="36">
        <v>11000</v>
      </c>
      <c r="Y24" s="36">
        <v>11000</v>
      </c>
      <c r="Z24" s="36">
        <v>12000</v>
      </c>
      <c r="AA24" s="36">
        <v>12000</v>
      </c>
      <c r="AB24" s="36">
        <v>13000</v>
      </c>
      <c r="AC24" s="36">
        <v>13000</v>
      </c>
      <c r="AD24" s="36">
        <v>14000</v>
      </c>
      <c r="AE24" s="36">
        <v>14000</v>
      </c>
      <c r="AF24" s="36">
        <v>15000</v>
      </c>
      <c r="AG24" s="36">
        <v>15000</v>
      </c>
      <c r="AH24" s="36">
        <v>16000</v>
      </c>
      <c r="AI24" s="36">
        <v>16000</v>
      </c>
      <c r="AJ24" s="36">
        <v>17000</v>
      </c>
      <c r="AK24" s="36">
        <v>17000</v>
      </c>
      <c r="AL24" s="36">
        <v>18000</v>
      </c>
      <c r="AM24" s="36">
        <v>18000</v>
      </c>
      <c r="AN24" s="36">
        <v>19000</v>
      </c>
      <c r="AO24" s="36">
        <v>20000</v>
      </c>
      <c r="AP24" s="36">
        <v>20000</v>
      </c>
      <c r="AQ24" s="36">
        <v>21000</v>
      </c>
      <c r="AR24" s="36">
        <v>22000</v>
      </c>
      <c r="AS24" s="36">
        <v>22000</v>
      </c>
      <c r="AT24" s="36">
        <v>22000</v>
      </c>
      <c r="AU24" s="36"/>
      <c r="AV24" s="36"/>
      <c r="AW24" s="36"/>
      <c r="AX24" s="36"/>
      <c r="AY24" s="36"/>
      <c r="AZ24" s="36"/>
    </row>
    <row r="25" spans="1:53" ht="13.8" thickBot="1" x14ac:dyDescent="0.3">
      <c r="A25" s="725" t="s">
        <v>1564</v>
      </c>
      <c r="B25" s="27" t="s">
        <v>1565</v>
      </c>
      <c r="C25" s="35"/>
      <c r="D25" s="35"/>
      <c r="E25" s="35"/>
      <c r="F25" s="35"/>
      <c r="G25" s="35"/>
      <c r="H25" s="35"/>
      <c r="I25" s="35"/>
      <c r="J25" s="35">
        <v>1000</v>
      </c>
      <c r="K25" s="36">
        <v>2000</v>
      </c>
      <c r="L25" s="35">
        <v>2000</v>
      </c>
      <c r="M25" s="36">
        <v>2000</v>
      </c>
      <c r="N25" s="35">
        <v>2000</v>
      </c>
      <c r="O25" s="36">
        <v>2000</v>
      </c>
      <c r="P25" s="35">
        <v>2000</v>
      </c>
      <c r="Q25" s="36">
        <v>2000</v>
      </c>
      <c r="R25" s="35">
        <v>2000</v>
      </c>
      <c r="S25" s="36">
        <f t="shared" si="1"/>
        <v>2000</v>
      </c>
      <c r="T25" s="36"/>
      <c r="U25" s="36"/>
      <c r="W25" s="36">
        <v>2000</v>
      </c>
      <c r="X25" s="36">
        <v>2000</v>
      </c>
      <c r="Y25" s="36">
        <v>2000</v>
      </c>
      <c r="Z25" s="36">
        <v>2000</v>
      </c>
      <c r="AA25" s="16">
        <v>2000</v>
      </c>
      <c r="AB25" s="16">
        <v>2000</v>
      </c>
      <c r="AC25" s="16">
        <v>2000</v>
      </c>
      <c r="AD25" s="16">
        <v>2000</v>
      </c>
      <c r="AE25" s="16">
        <v>2000</v>
      </c>
      <c r="AF25" s="16">
        <v>2000</v>
      </c>
      <c r="AG25" s="16">
        <v>3000</v>
      </c>
      <c r="AH25" s="16">
        <v>3000</v>
      </c>
      <c r="AI25" s="16">
        <v>3000</v>
      </c>
      <c r="AJ25" s="16">
        <v>3000</v>
      </c>
      <c r="AK25" s="16">
        <v>3000</v>
      </c>
      <c r="AL25" s="16">
        <v>3000</v>
      </c>
      <c r="AM25" s="16">
        <v>3000</v>
      </c>
      <c r="AN25" s="16">
        <v>3000</v>
      </c>
      <c r="AO25" s="16">
        <v>2000</v>
      </c>
      <c r="AP25" s="16">
        <v>3000</v>
      </c>
      <c r="AQ25" s="16">
        <v>3000</v>
      </c>
      <c r="AR25" s="16">
        <v>4000</v>
      </c>
      <c r="AS25" s="16">
        <v>4000</v>
      </c>
      <c r="AT25" s="16">
        <v>4000</v>
      </c>
      <c r="AU25" s="16"/>
      <c r="AV25" s="16"/>
      <c r="AW25" s="16"/>
      <c r="AX25" s="16"/>
      <c r="AY25" s="16"/>
      <c r="AZ25" s="16"/>
    </row>
    <row r="26" spans="1:53" ht="13.8" hidden="1" thickBot="1" x14ac:dyDescent="0.3">
      <c r="A26" s="708" t="s">
        <v>1566</v>
      </c>
      <c r="B26" s="12" t="s">
        <v>1567</v>
      </c>
      <c r="C26" s="35"/>
      <c r="D26" s="35"/>
      <c r="E26" s="35"/>
      <c r="F26" s="35"/>
      <c r="G26" s="35"/>
      <c r="H26" s="35"/>
      <c r="I26" s="35"/>
      <c r="J26" s="35"/>
      <c r="K26" s="36"/>
      <c r="L26" s="35"/>
      <c r="M26" s="36"/>
      <c r="N26" s="35"/>
      <c r="O26" s="36"/>
      <c r="P26" s="35"/>
      <c r="Q26" s="36"/>
      <c r="R26" s="35"/>
      <c r="S26" s="36">
        <f>+Z26</f>
        <v>0</v>
      </c>
      <c r="T26" s="36"/>
      <c r="U26" s="36"/>
      <c r="W26" s="36"/>
      <c r="X26" s="36"/>
      <c r="Y26" s="36"/>
      <c r="Z26" s="36"/>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row>
    <row r="27" spans="1:53" ht="13.8" hidden="1" thickBot="1" x14ac:dyDescent="0.3">
      <c r="A27" s="708"/>
      <c r="B27" s="12"/>
      <c r="C27" s="35"/>
      <c r="D27" s="35"/>
      <c r="E27" s="35"/>
      <c r="F27" s="35"/>
      <c r="G27" s="35"/>
      <c r="H27" s="35"/>
      <c r="I27" s="35"/>
      <c r="J27" s="35"/>
      <c r="K27" s="36"/>
      <c r="L27" s="35"/>
      <c r="M27" s="36"/>
      <c r="N27" s="35"/>
      <c r="O27" s="36"/>
      <c r="P27" s="35"/>
      <c r="Q27" s="36"/>
      <c r="R27" s="35"/>
      <c r="S27" s="36">
        <f>+Z27</f>
        <v>0</v>
      </c>
      <c r="T27" s="36"/>
      <c r="U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3" ht="13.8" hidden="1" thickBot="1" x14ac:dyDescent="0.3">
      <c r="A28" s="708"/>
      <c r="B28" s="12" t="s">
        <v>1568</v>
      </c>
      <c r="C28" s="15"/>
      <c r="D28" s="245"/>
      <c r="E28" s="245"/>
      <c r="F28" s="245"/>
      <c r="G28" s="245"/>
      <c r="H28" s="245"/>
      <c r="I28" s="815"/>
      <c r="J28" s="815"/>
      <c r="K28" s="811"/>
      <c r="L28" s="815"/>
      <c r="M28" s="811"/>
      <c r="N28" s="815"/>
      <c r="O28" s="811"/>
      <c r="P28" s="815"/>
      <c r="Q28" s="811"/>
      <c r="R28" s="35"/>
      <c r="S28" s="811"/>
      <c r="T28" s="811"/>
      <c r="U28" s="811"/>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row>
    <row r="29" spans="1:53" ht="13.8" thickTop="1" x14ac:dyDescent="0.25">
      <c r="A29" s="708"/>
      <c r="B29" s="17" t="s">
        <v>1371</v>
      </c>
      <c r="C29" s="18">
        <f t="shared" ref="C29:U29" si="2">SUM(C9:C28)</f>
        <v>206863.17</v>
      </c>
      <c r="D29" s="18">
        <f t="shared" si="2"/>
        <v>205789.56</v>
      </c>
      <c r="E29" s="18">
        <f t="shared" si="2"/>
        <v>270272</v>
      </c>
      <c r="F29" s="18">
        <f t="shared" si="2"/>
        <v>263679.39</v>
      </c>
      <c r="G29" s="18">
        <f t="shared" si="2"/>
        <v>267810.93</v>
      </c>
      <c r="H29" s="18">
        <f t="shared" si="2"/>
        <v>200344.94</v>
      </c>
      <c r="I29" s="814">
        <f t="shared" si="2"/>
        <v>192350.88999999998</v>
      </c>
      <c r="J29" s="814">
        <f t="shared" si="2"/>
        <v>282623.78999999998</v>
      </c>
      <c r="K29" s="813">
        <f t="shared" si="2"/>
        <v>302817</v>
      </c>
      <c r="L29" s="814">
        <f t="shared" si="2"/>
        <v>302329.96999999997</v>
      </c>
      <c r="M29" s="813">
        <f t="shared" si="2"/>
        <v>306646</v>
      </c>
      <c r="N29" s="814">
        <f t="shared" si="2"/>
        <v>306644.88</v>
      </c>
      <c r="O29" s="813">
        <f t="shared" si="2"/>
        <v>308041</v>
      </c>
      <c r="P29" s="814">
        <f t="shared" si="2"/>
        <v>308039.75</v>
      </c>
      <c r="Q29" s="813">
        <f t="shared" si="2"/>
        <v>296520</v>
      </c>
      <c r="R29" s="814">
        <f t="shared" si="2"/>
        <v>206520.09999999998</v>
      </c>
      <c r="S29" s="813">
        <f t="shared" si="2"/>
        <v>300087</v>
      </c>
      <c r="T29" s="813">
        <f t="shared" si="2"/>
        <v>0</v>
      </c>
      <c r="U29" s="813">
        <f t="shared" si="2"/>
        <v>0</v>
      </c>
      <c r="W29" s="19">
        <f t="shared" ref="W29:AZ29" si="3">SUM(W8:W28)</f>
        <v>302817</v>
      </c>
      <c r="X29" s="19">
        <f t="shared" si="3"/>
        <v>306646</v>
      </c>
      <c r="Y29" s="19">
        <f t="shared" si="3"/>
        <v>308040</v>
      </c>
      <c r="Z29" s="19">
        <f t="shared" si="3"/>
        <v>296520</v>
      </c>
      <c r="AA29" s="19">
        <f t="shared" si="3"/>
        <v>300087</v>
      </c>
      <c r="AB29" s="19">
        <f t="shared" si="3"/>
        <v>310739</v>
      </c>
      <c r="AC29" s="19">
        <f t="shared" si="3"/>
        <v>315483</v>
      </c>
      <c r="AD29" s="19">
        <f t="shared" si="3"/>
        <v>285057</v>
      </c>
      <c r="AE29" s="19">
        <f t="shared" si="3"/>
        <v>295277</v>
      </c>
      <c r="AF29" s="19">
        <f t="shared" si="3"/>
        <v>300581</v>
      </c>
      <c r="AG29" s="19">
        <f t="shared" si="3"/>
        <v>313970</v>
      </c>
      <c r="AH29" s="19">
        <f t="shared" si="3"/>
        <v>323417</v>
      </c>
      <c r="AI29" s="19">
        <f t="shared" si="3"/>
        <v>333014</v>
      </c>
      <c r="AJ29" s="19">
        <f t="shared" si="3"/>
        <v>344674</v>
      </c>
      <c r="AK29" s="19">
        <f t="shared" si="3"/>
        <v>239430</v>
      </c>
      <c r="AL29" s="19">
        <f t="shared" si="3"/>
        <v>245285</v>
      </c>
      <c r="AM29" s="19">
        <f t="shared" si="3"/>
        <v>252241</v>
      </c>
      <c r="AN29" s="19">
        <f t="shared" si="3"/>
        <v>260301</v>
      </c>
      <c r="AO29" s="19">
        <f t="shared" si="3"/>
        <v>212998</v>
      </c>
      <c r="AP29" s="19">
        <f t="shared" si="3"/>
        <v>119503</v>
      </c>
      <c r="AQ29" s="19">
        <f t="shared" si="3"/>
        <v>122390</v>
      </c>
      <c r="AR29" s="19">
        <f t="shared" si="3"/>
        <v>128314</v>
      </c>
      <c r="AS29" s="19">
        <f t="shared" si="3"/>
        <v>134275</v>
      </c>
      <c r="AT29" s="19">
        <f t="shared" si="3"/>
        <v>132277</v>
      </c>
      <c r="AU29" s="19">
        <f t="shared" si="3"/>
        <v>53319</v>
      </c>
      <c r="AV29" s="19">
        <f t="shared" si="3"/>
        <v>27405</v>
      </c>
      <c r="AW29" s="19">
        <f t="shared" si="3"/>
        <v>28535</v>
      </c>
      <c r="AX29" s="19">
        <f t="shared" si="3"/>
        <v>29528</v>
      </c>
      <c r="AY29" s="19">
        <f t="shared" si="3"/>
        <v>0</v>
      </c>
      <c r="AZ29" s="19">
        <f t="shared" si="3"/>
        <v>0</v>
      </c>
      <c r="BA29" s="29">
        <f>SUM(W29:AZ29)</f>
        <v>6322123</v>
      </c>
    </row>
    <row r="30" spans="1:53" x14ac:dyDescent="0.25">
      <c r="A30" s="708"/>
      <c r="B30" s="17"/>
      <c r="C30" s="18"/>
      <c r="D30" s="246"/>
      <c r="E30" s="246"/>
      <c r="F30" s="246"/>
      <c r="G30" s="246"/>
      <c r="H30" s="246"/>
      <c r="I30" s="246"/>
      <c r="J30" s="246"/>
      <c r="K30" s="150"/>
      <c r="L30" s="246"/>
      <c r="M30" s="150"/>
      <c r="N30" s="246"/>
      <c r="O30" s="150"/>
      <c r="P30" s="246"/>
      <c r="Q30" s="150"/>
      <c r="R30" s="18"/>
      <c r="S30" s="150"/>
      <c r="T30" s="150"/>
      <c r="U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f>SUM(W29:AG29)</f>
        <v>3335217</v>
      </c>
    </row>
    <row r="31" spans="1:53" ht="13.8" thickBot="1" x14ac:dyDescent="0.3">
      <c r="A31" s="708"/>
      <c r="B31" s="90" t="s">
        <v>1394</v>
      </c>
      <c r="C31" s="13"/>
      <c r="D31" s="126"/>
      <c r="E31" s="126"/>
      <c r="F31" s="126"/>
      <c r="G31" s="126"/>
      <c r="H31" s="126"/>
      <c r="I31" s="126"/>
      <c r="J31" s="126"/>
      <c r="K31" s="151"/>
      <c r="L31" s="126"/>
      <c r="M31" s="151"/>
      <c r="N31" s="126"/>
      <c r="O31" s="151"/>
      <c r="P31" s="126"/>
      <c r="Q31" s="151"/>
      <c r="R31" s="13"/>
      <c r="S31" s="151"/>
      <c r="T31" s="151"/>
      <c r="U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row>
    <row r="32" spans="1:53" x14ac:dyDescent="0.25">
      <c r="A32" s="708" t="s">
        <v>1569</v>
      </c>
      <c r="B32" s="12" t="s">
        <v>1537</v>
      </c>
      <c r="C32" s="94">
        <v>14325</v>
      </c>
      <c r="D32" s="247">
        <f>6600+6600</f>
        <v>13200</v>
      </c>
      <c r="E32" s="247">
        <v>12000</v>
      </c>
      <c r="F32" s="247">
        <v>10725</v>
      </c>
      <c r="G32" s="247">
        <v>9375</v>
      </c>
      <c r="H32" s="247">
        <v>8025</v>
      </c>
      <c r="I32" s="247">
        <v>6675</v>
      </c>
      <c r="J32" s="247">
        <v>5250</v>
      </c>
      <c r="K32" s="32">
        <v>3750</v>
      </c>
      <c r="L32" s="247">
        <v>3750</v>
      </c>
      <c r="M32" s="32">
        <v>2500</v>
      </c>
      <c r="N32" s="247">
        <v>2500</v>
      </c>
      <c r="O32" s="32">
        <v>1250</v>
      </c>
      <c r="P32" s="94">
        <v>1250</v>
      </c>
      <c r="Q32" s="32"/>
      <c r="R32" s="94"/>
      <c r="S32" s="36">
        <f t="shared" ref="S32:S53" si="4">+AA32</f>
        <v>0</v>
      </c>
      <c r="T32" s="36"/>
      <c r="U32" s="36"/>
      <c r="W32" s="14">
        <f>1875+1875</f>
        <v>3750</v>
      </c>
      <c r="X32" s="14">
        <f>1250+1250</f>
        <v>2500</v>
      </c>
      <c r="Y32" s="14">
        <f>625+625</f>
        <v>1250</v>
      </c>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row>
    <row r="33" spans="1:52" x14ac:dyDescent="0.25">
      <c r="A33" s="708" t="s">
        <v>1570</v>
      </c>
      <c r="B33" s="12" t="s">
        <v>1539</v>
      </c>
      <c r="C33" s="109">
        <v>2262.5</v>
      </c>
      <c r="D33" s="248">
        <f>1037.5+1037.5</f>
        <v>2075</v>
      </c>
      <c r="E33" s="248">
        <v>1875</v>
      </c>
      <c r="F33" s="248">
        <v>1662.5</v>
      </c>
      <c r="G33" s="248">
        <v>1437.5</v>
      </c>
      <c r="H33" s="248">
        <v>1212.5</v>
      </c>
      <c r="I33" s="248">
        <v>987.5</v>
      </c>
      <c r="J33" s="248">
        <v>750</v>
      </c>
      <c r="K33" s="211">
        <v>500</v>
      </c>
      <c r="L33" s="248">
        <v>500</v>
      </c>
      <c r="M33" s="211">
        <v>250</v>
      </c>
      <c r="N33" s="248">
        <v>250</v>
      </c>
      <c r="O33" s="211">
        <v>0</v>
      </c>
      <c r="P33" s="109"/>
      <c r="Q33" s="211"/>
      <c r="R33" s="109"/>
      <c r="S33" s="36">
        <f t="shared" si="4"/>
        <v>0</v>
      </c>
      <c r="T33" s="36"/>
      <c r="U33" s="36"/>
      <c r="W33" s="36">
        <v>500</v>
      </c>
      <c r="X33" s="36">
        <v>250</v>
      </c>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idden="1" x14ac:dyDescent="0.25">
      <c r="A34" s="708" t="s">
        <v>1571</v>
      </c>
      <c r="B34" s="12" t="s">
        <v>1541</v>
      </c>
      <c r="C34" s="109">
        <v>4144.22</v>
      </c>
      <c r="D34" s="248">
        <v>2496.9499999999998</v>
      </c>
      <c r="E34" s="248">
        <v>1096.1600000000001</v>
      </c>
      <c r="F34" s="248">
        <v>1006.08</v>
      </c>
      <c r="G34" s="248">
        <v>365.85</v>
      </c>
      <c r="H34" s="248">
        <v>9695.77</v>
      </c>
      <c r="I34" s="248">
        <v>0</v>
      </c>
      <c r="J34" s="248"/>
      <c r="K34" s="211"/>
      <c r="L34" s="248"/>
      <c r="M34" s="211"/>
      <c r="N34" s="248"/>
      <c r="O34" s="211"/>
      <c r="P34" s="109"/>
      <c r="Q34" s="211"/>
      <c r="R34" s="109"/>
      <c r="S34" s="36">
        <f t="shared" si="4"/>
        <v>0</v>
      </c>
      <c r="T34" s="36"/>
      <c r="U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idden="1" x14ac:dyDescent="0.25">
      <c r="A35" s="708" t="s">
        <v>1572</v>
      </c>
      <c r="B35" s="12" t="s">
        <v>1573</v>
      </c>
      <c r="C35" s="109">
        <v>122.19</v>
      </c>
      <c r="D35" s="248">
        <v>44.59</v>
      </c>
      <c r="E35" s="248">
        <v>78.03</v>
      </c>
      <c r="F35" s="248">
        <v>55.73</v>
      </c>
      <c r="G35" s="248">
        <v>33.44</v>
      </c>
      <c r="H35" s="248">
        <v>11.15</v>
      </c>
      <c r="I35" s="248">
        <v>0</v>
      </c>
      <c r="J35" s="248"/>
      <c r="K35" s="211"/>
      <c r="L35" s="248"/>
      <c r="M35" s="211"/>
      <c r="N35" s="248"/>
      <c r="O35" s="211"/>
      <c r="P35" s="109"/>
      <c r="Q35" s="211"/>
      <c r="R35" s="109"/>
      <c r="S35" s="36">
        <f t="shared" si="4"/>
        <v>0</v>
      </c>
      <c r="T35" s="36"/>
      <c r="U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x14ac:dyDescent="0.25">
      <c r="A36" s="708" t="s">
        <v>1574</v>
      </c>
      <c r="B36" s="12" t="s">
        <v>1543</v>
      </c>
      <c r="C36" s="109">
        <v>8675</v>
      </c>
      <c r="D36" s="247">
        <f>3125+2750+900+775</f>
        <v>7550</v>
      </c>
      <c r="E36" s="247">
        <v>6675</v>
      </c>
      <c r="F36" s="247">
        <v>5925</v>
      </c>
      <c r="G36" s="247">
        <v>5175</v>
      </c>
      <c r="H36" s="247">
        <v>4500</v>
      </c>
      <c r="I36" s="247">
        <v>3900</v>
      </c>
      <c r="J36" s="248">
        <v>3300</v>
      </c>
      <c r="K36" s="211">
        <v>2700</v>
      </c>
      <c r="L36" s="248">
        <v>2700</v>
      </c>
      <c r="M36" s="211">
        <v>2200</v>
      </c>
      <c r="N36" s="248">
        <v>2200</v>
      </c>
      <c r="O36" s="211">
        <v>1800</v>
      </c>
      <c r="P36" s="109">
        <v>1800</v>
      </c>
      <c r="Q36" s="211">
        <v>1400</v>
      </c>
      <c r="R36" s="109">
        <v>800</v>
      </c>
      <c r="S36" s="36">
        <f t="shared" si="4"/>
        <v>1000</v>
      </c>
      <c r="T36" s="36"/>
      <c r="U36" s="36"/>
      <c r="W36" s="36">
        <f>1400+1200+100</f>
        <v>2700</v>
      </c>
      <c r="X36" s="36">
        <v>2200</v>
      </c>
      <c r="Y36" s="36">
        <v>1800</v>
      </c>
      <c r="Z36" s="36">
        <v>1400</v>
      </c>
      <c r="AA36" s="36">
        <v>1000</v>
      </c>
      <c r="AB36" s="36">
        <v>600</v>
      </c>
      <c r="AC36" s="36">
        <v>200</v>
      </c>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x14ac:dyDescent="0.25">
      <c r="A37" s="708" t="s">
        <v>1575</v>
      </c>
      <c r="B37" s="60" t="s">
        <v>1375</v>
      </c>
      <c r="C37" s="109">
        <v>8786.7199999999993</v>
      </c>
      <c r="D37" s="248">
        <v>8258.9699999999993</v>
      </c>
      <c r="E37" s="248">
        <v>7720.61</v>
      </c>
      <c r="F37" s="248">
        <v>7171.36</v>
      </c>
      <c r="G37" s="248">
        <v>6571.41</v>
      </c>
      <c r="H37" s="248">
        <v>6039.35</v>
      </c>
      <c r="I37" s="248">
        <v>5456.13</v>
      </c>
      <c r="J37" s="248">
        <v>4861.13</v>
      </c>
      <c r="K37" s="211">
        <v>4255</v>
      </c>
      <c r="L37" s="248">
        <v>4254.1099999999997</v>
      </c>
      <c r="M37" s="211">
        <v>3635</v>
      </c>
      <c r="N37" s="248">
        <v>3634.82</v>
      </c>
      <c r="O37" s="211">
        <v>3004</v>
      </c>
      <c r="P37" s="109">
        <v>3003.04</v>
      </c>
      <c r="Q37" s="211">
        <v>2359</v>
      </c>
      <c r="R37" s="109">
        <v>1342.14</v>
      </c>
      <c r="S37" s="36">
        <f t="shared" si="4"/>
        <v>1701</v>
      </c>
      <c r="T37" s="36"/>
      <c r="U37" s="36"/>
      <c r="W37" s="211">
        <f>+'Split Debt Service'!G42</f>
        <v>4255</v>
      </c>
      <c r="X37" s="211">
        <f>ROUND((+'Split Debt Service'!H42),0)</f>
        <v>3635</v>
      </c>
      <c r="Y37" s="211">
        <f>+'Split Debt Service'!I42</f>
        <v>3004</v>
      </c>
      <c r="Z37" s="211">
        <f>+'Split Debt Service'!J42</f>
        <v>2359</v>
      </c>
      <c r="AA37" s="211">
        <f>+'Split Debt Service'!K42</f>
        <v>1701</v>
      </c>
      <c r="AB37" s="211">
        <f>+'Split Debt Service'!L42</f>
        <v>1030</v>
      </c>
      <c r="AC37" s="211">
        <f>+'Split Debt Service'!M42</f>
        <v>346</v>
      </c>
      <c r="AD37" s="211">
        <f>+'Split Debt Service'!N42</f>
        <v>0</v>
      </c>
      <c r="AE37" s="211">
        <f>+'Split Debt Service'!O42</f>
        <v>0</v>
      </c>
      <c r="AF37" s="211">
        <f>+'Split Debt Service'!P42</f>
        <v>0</v>
      </c>
      <c r="AG37" s="211">
        <f>+'Split Debt Service'!Q42</f>
        <v>0</v>
      </c>
      <c r="AH37" s="211">
        <f>+'Split Debt Service'!R42</f>
        <v>0</v>
      </c>
      <c r="AI37" s="211">
        <f>+'Split Debt Service'!S42</f>
        <v>0</v>
      </c>
      <c r="AJ37" s="211">
        <f>+'Split Debt Service'!T42</f>
        <v>0</v>
      </c>
      <c r="AK37" s="211">
        <f>+'Split Debt Service'!U42</f>
        <v>0</v>
      </c>
      <c r="AL37" s="211">
        <f>+'Split Debt Service'!V42</f>
        <v>0</v>
      </c>
      <c r="AM37" s="211">
        <f>+'Split Debt Service'!W42</f>
        <v>0</v>
      </c>
      <c r="AN37" s="211">
        <f>+'Split Debt Service'!X42</f>
        <v>0</v>
      </c>
      <c r="AO37" s="211">
        <f>+'Split Debt Service'!Y42</f>
        <v>0</v>
      </c>
      <c r="AP37" s="211">
        <f>+'Split Debt Service'!Z42</f>
        <v>0</v>
      </c>
      <c r="AQ37" s="211">
        <f>+'Split Debt Service'!AA42</f>
        <v>0</v>
      </c>
      <c r="AR37" s="211">
        <f>+'Split Debt Service'!AB42</f>
        <v>0</v>
      </c>
      <c r="AS37" s="211">
        <f>+'Split Debt Service'!AC42</f>
        <v>0</v>
      </c>
      <c r="AT37" s="211">
        <f>+'Split Debt Service'!AD42</f>
        <v>0</v>
      </c>
      <c r="AU37" s="211">
        <f>+'Split Debt Service'!AE42</f>
        <v>0</v>
      </c>
      <c r="AV37" s="211">
        <f>+'Split Debt Service'!AF42</f>
        <v>0</v>
      </c>
      <c r="AW37" s="211">
        <f>+'Split Debt Service'!AG42</f>
        <v>0</v>
      </c>
      <c r="AX37" s="211">
        <f>+'Split Debt Service'!AH42</f>
        <v>0</v>
      </c>
      <c r="AY37" s="211">
        <f>+'Split Debt Service'!AI42</f>
        <v>0</v>
      </c>
      <c r="AZ37" s="211">
        <f>+'Split Debt Service'!AJ42</f>
        <v>0</v>
      </c>
    </row>
    <row r="38" spans="1:52" x14ac:dyDescent="0.25">
      <c r="A38" s="708" t="s">
        <v>1576</v>
      </c>
      <c r="B38" s="60" t="s">
        <v>1397</v>
      </c>
      <c r="C38" s="109">
        <v>545.9</v>
      </c>
      <c r="D38" s="248">
        <v>619.41</v>
      </c>
      <c r="E38" s="248">
        <v>579.04</v>
      </c>
      <c r="F38" s="248">
        <v>537.85</v>
      </c>
      <c r="G38" s="248">
        <v>495.82</v>
      </c>
      <c r="H38" s="248">
        <v>452.95</v>
      </c>
      <c r="I38" s="248">
        <v>409.21</v>
      </c>
      <c r="J38" s="248">
        <v>364.58</v>
      </c>
      <c r="K38" s="211">
        <v>319</v>
      </c>
      <c r="L38" s="248">
        <v>319.05</v>
      </c>
      <c r="M38" s="211">
        <v>273</v>
      </c>
      <c r="N38" s="248">
        <v>272.60000000000002</v>
      </c>
      <c r="O38" s="211">
        <v>226</v>
      </c>
      <c r="P38" s="109">
        <v>225.23</v>
      </c>
      <c r="Q38" s="211">
        <v>177</v>
      </c>
      <c r="R38" s="109">
        <v>100.65</v>
      </c>
      <c r="S38" s="36">
        <f t="shared" si="4"/>
        <v>128</v>
      </c>
      <c r="T38" s="36"/>
      <c r="U38" s="36"/>
      <c r="W38" s="211">
        <f>+'Split Debt Service'!G43</f>
        <v>319</v>
      </c>
      <c r="X38" s="211">
        <f>ROUND((+'Split Debt Service'!H43),0)</f>
        <v>273</v>
      </c>
      <c r="Y38" s="211">
        <f>+'Split Debt Service'!I43</f>
        <v>226</v>
      </c>
      <c r="Z38" s="211">
        <f>+'Split Debt Service'!J43</f>
        <v>177</v>
      </c>
      <c r="AA38" s="211">
        <f>+'Split Debt Service'!K43</f>
        <v>128</v>
      </c>
      <c r="AB38" s="211">
        <f>+'Split Debt Service'!L43</f>
        <v>77</v>
      </c>
      <c r="AC38" s="211">
        <f>+'Split Debt Service'!M43</f>
        <v>266</v>
      </c>
      <c r="AD38" s="211">
        <f>+'Split Debt Service'!N43</f>
        <v>0</v>
      </c>
      <c r="AE38" s="211">
        <f>+'Split Debt Service'!O43</f>
        <v>0</v>
      </c>
      <c r="AF38" s="211">
        <f>+'Split Debt Service'!P43</f>
        <v>0</v>
      </c>
      <c r="AG38" s="211">
        <f>+'Split Debt Service'!Q43</f>
        <v>0</v>
      </c>
      <c r="AH38" s="211">
        <f>+'Split Debt Service'!R43</f>
        <v>0</v>
      </c>
      <c r="AI38" s="211">
        <f>+'Split Debt Service'!S43</f>
        <v>0</v>
      </c>
      <c r="AJ38" s="211">
        <f>+'Split Debt Service'!T43</f>
        <v>0</v>
      </c>
      <c r="AK38" s="211">
        <f>+'Split Debt Service'!U43</f>
        <v>0</v>
      </c>
      <c r="AL38" s="211">
        <f>+'Split Debt Service'!V43</f>
        <v>0</v>
      </c>
      <c r="AM38" s="211">
        <f>+'Split Debt Service'!W43</f>
        <v>0</v>
      </c>
      <c r="AN38" s="211">
        <f>+'Split Debt Service'!X43</f>
        <v>0</v>
      </c>
      <c r="AO38" s="211">
        <f>+'Split Debt Service'!Y43</f>
        <v>0</v>
      </c>
      <c r="AP38" s="211">
        <f>+'Split Debt Service'!Z43</f>
        <v>0</v>
      </c>
      <c r="AQ38" s="211">
        <f>+'Split Debt Service'!AA43</f>
        <v>0</v>
      </c>
      <c r="AR38" s="211">
        <f>+'Split Debt Service'!AB43</f>
        <v>0</v>
      </c>
      <c r="AS38" s="211">
        <f>+'Split Debt Service'!AC43</f>
        <v>0</v>
      </c>
      <c r="AT38" s="211">
        <f>+'Split Debt Service'!AD43</f>
        <v>0</v>
      </c>
      <c r="AU38" s="211">
        <f>+'Split Debt Service'!AE43</f>
        <v>0</v>
      </c>
      <c r="AV38" s="211">
        <f>+'Split Debt Service'!AF43</f>
        <v>0</v>
      </c>
      <c r="AW38" s="211">
        <f>+'Split Debt Service'!AG43</f>
        <v>0</v>
      </c>
      <c r="AX38" s="211">
        <f>+'Split Debt Service'!AH43</f>
        <v>0</v>
      </c>
      <c r="AY38" s="211">
        <f>+'Split Debt Service'!AI43</f>
        <v>0</v>
      </c>
      <c r="AZ38" s="211">
        <f>+'Split Debt Service'!AJ43</f>
        <v>0</v>
      </c>
    </row>
    <row r="39" spans="1:52" x14ac:dyDescent="0.25">
      <c r="A39" s="708" t="s">
        <v>1577</v>
      </c>
      <c r="B39" s="60" t="s">
        <v>1376</v>
      </c>
      <c r="C39" s="109">
        <v>24734.01</v>
      </c>
      <c r="D39" s="248">
        <v>24023.5</v>
      </c>
      <c r="E39" s="248">
        <v>23295.65</v>
      </c>
      <c r="F39" s="248">
        <v>22550.01</v>
      </c>
      <c r="G39" s="248">
        <v>21786.15</v>
      </c>
      <c r="H39" s="248">
        <v>21003.63</v>
      </c>
      <c r="I39" s="248">
        <v>20201.97</v>
      </c>
      <c r="J39" s="248">
        <v>19380.72</v>
      </c>
      <c r="K39" s="211">
        <v>18540</v>
      </c>
      <c r="L39" s="248">
        <v>18539.419999999998</v>
      </c>
      <c r="M39" s="211">
        <v>17678</v>
      </c>
      <c r="N39" s="248">
        <v>17677.560000000001</v>
      </c>
      <c r="O39" s="211">
        <v>16795</v>
      </c>
      <c r="P39" s="109">
        <v>16794.64</v>
      </c>
      <c r="Q39" s="211">
        <v>15890</v>
      </c>
      <c r="R39" s="109">
        <v>8173.93</v>
      </c>
      <c r="S39" s="36">
        <f t="shared" si="4"/>
        <v>14964</v>
      </c>
      <c r="T39" s="36"/>
      <c r="U39" s="36"/>
      <c r="W39" s="211">
        <f>+'Split Debt Service'!G44</f>
        <v>18540</v>
      </c>
      <c r="X39" s="211">
        <f>ROUND((+'Split Debt Service'!H44),0)</f>
        <v>17678</v>
      </c>
      <c r="Y39" s="211">
        <f>+'Split Debt Service'!I44</f>
        <v>16795</v>
      </c>
      <c r="Z39" s="211">
        <f>+'Split Debt Service'!J44</f>
        <v>15890</v>
      </c>
      <c r="AA39" s="211">
        <f>+'Split Debt Service'!K44</f>
        <v>14964</v>
      </c>
      <c r="AB39" s="211">
        <f>+'Split Debt Service'!L44</f>
        <v>14015</v>
      </c>
      <c r="AC39" s="211">
        <f>+'Split Debt Service'!M44</f>
        <v>13042</v>
      </c>
      <c r="AD39" s="211">
        <f>+'Split Debt Service'!N44</f>
        <v>12046.119999999999</v>
      </c>
      <c r="AE39" s="211">
        <f>+'Split Debt Service'!O44</f>
        <v>11026</v>
      </c>
      <c r="AF39" s="211">
        <f>+'Split Debt Service'!P44</f>
        <v>9980</v>
      </c>
      <c r="AG39" s="211">
        <f>+'Split Debt Service'!Q44</f>
        <v>8909</v>
      </c>
      <c r="AH39" s="211">
        <f>+'Split Debt Service'!R44</f>
        <v>7812</v>
      </c>
      <c r="AI39" s="211">
        <f>+'Split Debt Service'!S44</f>
        <v>6688</v>
      </c>
      <c r="AJ39" s="211">
        <f>+'Split Debt Service'!T44</f>
        <v>5536</v>
      </c>
      <c r="AK39" s="211">
        <f>+'Split Debt Service'!U44</f>
        <v>4357</v>
      </c>
      <c r="AL39" s="211">
        <f>+'Split Debt Service'!V44</f>
        <v>3148</v>
      </c>
      <c r="AM39" s="211">
        <f>+'Split Debt Service'!W44</f>
        <v>1910</v>
      </c>
      <c r="AN39" s="211">
        <f>+'Split Debt Service'!X44</f>
        <v>642</v>
      </c>
      <c r="AO39" s="211">
        <f>+'Split Debt Service'!Y44</f>
        <v>0</v>
      </c>
      <c r="AP39" s="211">
        <f>+'Split Debt Service'!Z44</f>
        <v>0</v>
      </c>
      <c r="AQ39" s="211">
        <f>+'Split Debt Service'!AA44</f>
        <v>0</v>
      </c>
      <c r="AR39" s="211">
        <f>+'Split Debt Service'!AB44</f>
        <v>0</v>
      </c>
      <c r="AS39" s="211">
        <f>+'Split Debt Service'!AC44</f>
        <v>0</v>
      </c>
      <c r="AT39" s="211">
        <f>+'Split Debt Service'!AD44</f>
        <v>0</v>
      </c>
      <c r="AU39" s="211">
        <f>+'Split Debt Service'!AE44</f>
        <v>0</v>
      </c>
      <c r="AV39" s="211">
        <f>+'Split Debt Service'!AF44</f>
        <v>0</v>
      </c>
      <c r="AW39" s="211">
        <f>+'Split Debt Service'!AG44</f>
        <v>0</v>
      </c>
      <c r="AX39" s="211">
        <f>+'Split Debt Service'!AH44</f>
        <v>0</v>
      </c>
      <c r="AY39" s="211">
        <f>+'Split Debt Service'!AI44</f>
        <v>0</v>
      </c>
      <c r="AZ39" s="211">
        <f>+'Split Debt Service'!AJ44</f>
        <v>0</v>
      </c>
    </row>
    <row r="40" spans="1:52" x14ac:dyDescent="0.25">
      <c r="A40" s="708" t="s">
        <v>1578</v>
      </c>
      <c r="B40" s="60" t="s">
        <v>1399</v>
      </c>
      <c r="C40" s="109">
        <v>1536.9</v>
      </c>
      <c r="D40" s="248">
        <v>1548.49</v>
      </c>
      <c r="E40" s="248">
        <v>1447.54</v>
      </c>
      <c r="F40" s="248">
        <v>1401.21</v>
      </c>
      <c r="G40" s="248">
        <v>1353.74</v>
      </c>
      <c r="H40" s="248">
        <v>1305.1099999999999</v>
      </c>
      <c r="I40" s="248">
        <v>1255.3</v>
      </c>
      <c r="J40" s="248">
        <v>1204.27</v>
      </c>
      <c r="K40" s="211">
        <v>1152</v>
      </c>
      <c r="L40" s="248">
        <v>1151.99</v>
      </c>
      <c r="M40" s="211">
        <v>1099</v>
      </c>
      <c r="N40" s="248">
        <v>1098.43</v>
      </c>
      <c r="O40" s="211">
        <v>1044</v>
      </c>
      <c r="P40" s="109">
        <v>1043.57</v>
      </c>
      <c r="Q40" s="211">
        <v>988</v>
      </c>
      <c r="R40" s="109">
        <v>507.91</v>
      </c>
      <c r="S40" s="36">
        <v>930</v>
      </c>
      <c r="T40" s="36"/>
      <c r="U40" s="36"/>
      <c r="W40" s="211">
        <f>+'Split Debt Service'!G45</f>
        <v>1152</v>
      </c>
      <c r="X40" s="211">
        <f>ROUND((+'Split Debt Service'!H45),0)</f>
        <v>1099</v>
      </c>
      <c r="Y40" s="211">
        <f>+'Split Debt Service'!I45</f>
        <v>1044</v>
      </c>
      <c r="Z40" s="211">
        <f>+'Split Debt Service'!J45</f>
        <v>988</v>
      </c>
      <c r="AA40" s="211">
        <f>+'Split Debt Service'!K45</f>
        <v>870</v>
      </c>
      <c r="AB40" s="211">
        <f>+'Split Debt Service'!L45</f>
        <v>871</v>
      </c>
      <c r="AC40" s="211">
        <f>+'Split Debt Service'!M45</f>
        <v>811</v>
      </c>
      <c r="AD40" s="211">
        <f>+'Split Debt Service'!N45</f>
        <v>749</v>
      </c>
      <c r="AE40" s="211">
        <f>+'Split Debt Service'!O45</f>
        <v>685</v>
      </c>
      <c r="AF40" s="211">
        <f>+'Split Debt Service'!P45</f>
        <v>620</v>
      </c>
      <c r="AG40" s="211">
        <f>+'Split Debt Service'!Q45</f>
        <v>554</v>
      </c>
      <c r="AH40" s="211">
        <f>+'Split Debt Service'!R45</f>
        <v>485</v>
      </c>
      <c r="AI40" s="211">
        <f>+'Split Debt Service'!S45</f>
        <v>416</v>
      </c>
      <c r="AJ40" s="211">
        <f>+'Split Debt Service'!T45</f>
        <v>344</v>
      </c>
      <c r="AK40" s="211">
        <f>+'Split Debt Service'!U45</f>
        <v>271</v>
      </c>
      <c r="AL40" s="211">
        <f>+'Split Debt Service'!V45</f>
        <v>196</v>
      </c>
      <c r="AM40" s="211">
        <f>+'Split Debt Service'!W45</f>
        <v>119</v>
      </c>
      <c r="AN40" s="211">
        <f>+'Split Debt Service'!X45</f>
        <v>40</v>
      </c>
      <c r="AO40" s="211">
        <f>+'Split Debt Service'!Y45</f>
        <v>0</v>
      </c>
      <c r="AP40" s="211">
        <f>+'Split Debt Service'!Z45</f>
        <v>0</v>
      </c>
      <c r="AQ40" s="211">
        <f>+'Split Debt Service'!AA45</f>
        <v>0</v>
      </c>
      <c r="AR40" s="211">
        <f>+'Split Debt Service'!AB45</f>
        <v>0</v>
      </c>
      <c r="AS40" s="211">
        <f>+'Split Debt Service'!AC45</f>
        <v>0</v>
      </c>
      <c r="AT40" s="211">
        <f>+'Split Debt Service'!AD45</f>
        <v>0</v>
      </c>
      <c r="AU40" s="211">
        <f>+'Split Debt Service'!AE45</f>
        <v>0</v>
      </c>
      <c r="AV40" s="211">
        <f>+'Split Debt Service'!AF45</f>
        <v>0</v>
      </c>
      <c r="AW40" s="211">
        <f>+'Split Debt Service'!AG45</f>
        <v>0</v>
      </c>
      <c r="AX40" s="211">
        <f>+'Split Debt Service'!AH45</f>
        <v>0</v>
      </c>
      <c r="AY40" s="211">
        <f>+'Split Debt Service'!AI45</f>
        <v>0</v>
      </c>
      <c r="AZ40" s="211">
        <f>+'Split Debt Service'!AJ45</f>
        <v>0</v>
      </c>
    </row>
    <row r="41" spans="1:52" x14ac:dyDescent="0.25">
      <c r="A41" s="708" t="s">
        <v>1579</v>
      </c>
      <c r="B41" s="60" t="s">
        <v>1377</v>
      </c>
      <c r="C41" s="109">
        <v>25310.43</v>
      </c>
      <c r="D41" s="248">
        <v>25310.43</v>
      </c>
      <c r="E41" s="248">
        <v>24954.14</v>
      </c>
      <c r="F41" s="248">
        <v>24582.26</v>
      </c>
      <c r="G41" s="248">
        <v>24194.12</v>
      </c>
      <c r="H41" s="248">
        <v>23788.99</v>
      </c>
      <c r="I41" s="248">
        <v>23366.14</v>
      </c>
      <c r="J41" s="248">
        <v>27785.46</v>
      </c>
      <c r="K41" s="211">
        <v>16148</v>
      </c>
      <c r="L41" s="248">
        <v>16147.59</v>
      </c>
      <c r="M41" s="211">
        <v>15154</v>
      </c>
      <c r="N41" s="248">
        <v>15153.76</v>
      </c>
      <c r="O41" s="211">
        <v>14554</v>
      </c>
      <c r="P41" s="109">
        <v>14553.79</v>
      </c>
      <c r="Q41" s="211">
        <v>13954</v>
      </c>
      <c r="R41" s="109">
        <v>6976.89</v>
      </c>
      <c r="S41" s="36">
        <f t="shared" si="4"/>
        <v>13204</v>
      </c>
      <c r="T41" s="36"/>
      <c r="U41" s="36"/>
      <c r="W41" s="211">
        <f>+'Split Debt Service'!G46</f>
        <v>16148</v>
      </c>
      <c r="X41" s="211">
        <f>ROUND((+'Split Debt Service'!H46),0)</f>
        <v>15154</v>
      </c>
      <c r="Y41" s="211">
        <f>+'Split Debt Service'!I46</f>
        <v>14554</v>
      </c>
      <c r="Z41" s="211">
        <f>+'Split Debt Service'!J46</f>
        <v>13954</v>
      </c>
      <c r="AA41" s="211">
        <f>+'Split Debt Service'!K46</f>
        <v>13204</v>
      </c>
      <c r="AB41" s="211">
        <f>+'Split Debt Service'!L46</f>
        <v>12454</v>
      </c>
      <c r="AC41" s="211">
        <f>+'Split Debt Service'!M46</f>
        <v>11704</v>
      </c>
      <c r="AD41" s="211">
        <f>+'Split Debt Service'!N46</f>
        <v>10954</v>
      </c>
      <c r="AE41" s="211">
        <f>+'Split Debt Service'!O46</f>
        <v>10054</v>
      </c>
      <c r="AF41" s="211">
        <f>+'Split Debt Service'!P46</f>
        <v>9154</v>
      </c>
      <c r="AG41" s="211">
        <f>+'Split Debt Service'!Q46</f>
        <v>8254</v>
      </c>
      <c r="AH41" s="211">
        <f>+'Split Debt Service'!R46</f>
        <v>7834</v>
      </c>
      <c r="AI41" s="211">
        <f>+'Split Debt Service'!S46</f>
        <v>7414</v>
      </c>
      <c r="AJ41" s="211">
        <f>+'Split Debt Service'!T46</f>
        <v>6994</v>
      </c>
      <c r="AK41" s="211">
        <f>+'Split Debt Service'!U46</f>
        <v>6548</v>
      </c>
      <c r="AL41" s="211">
        <f>+'Split Debt Service'!V46</f>
        <v>6101</v>
      </c>
      <c r="AM41" s="211">
        <f>+'Split Debt Service'!W46</f>
        <v>5629</v>
      </c>
      <c r="AN41" s="211">
        <f>+'Split Debt Service'!X46</f>
        <v>5130</v>
      </c>
      <c r="AO41" s="211">
        <f>+'Split Debt Service'!Y46</f>
        <v>4560</v>
      </c>
      <c r="AP41" s="211">
        <f>+'Split Debt Service'!Z46</f>
        <v>3990</v>
      </c>
      <c r="AQ41" s="211">
        <f>+'Split Debt Service'!AA46</f>
        <v>3390</v>
      </c>
      <c r="AR41" s="211">
        <f>+'Split Debt Service'!AB46</f>
        <v>2790</v>
      </c>
      <c r="AS41" s="211">
        <f>+'Split Debt Service'!AC46</f>
        <v>2160</v>
      </c>
      <c r="AT41" s="211">
        <f>+'Split Debt Service'!AD46</f>
        <v>1451</v>
      </c>
      <c r="AU41" s="211">
        <f>+'Split Debt Service'!AE46</f>
        <v>743</v>
      </c>
      <c r="AV41" s="211">
        <f>+'Split Debt Service'!AF46</f>
        <v>0</v>
      </c>
      <c r="AW41" s="211">
        <f>+'Split Debt Service'!AG46</f>
        <v>0</v>
      </c>
      <c r="AX41" s="211">
        <f>+'Split Debt Service'!AH46</f>
        <v>0</v>
      </c>
      <c r="AY41" s="211">
        <f>+'Split Debt Service'!AI46</f>
        <v>0</v>
      </c>
      <c r="AZ41" s="211">
        <f>+'Split Debt Service'!AJ46</f>
        <v>0</v>
      </c>
    </row>
    <row r="42" spans="1:52" x14ac:dyDescent="0.25">
      <c r="A42" s="708" t="s">
        <v>1580</v>
      </c>
      <c r="B42" s="60" t="s">
        <v>1378</v>
      </c>
      <c r="C42" s="35">
        <v>23710.799999999999</v>
      </c>
      <c r="D42" s="248">
        <v>23412.71</v>
      </c>
      <c r="E42" s="248">
        <v>23102.63</v>
      </c>
      <c r="F42" s="248">
        <v>22779.73</v>
      </c>
      <c r="G42" s="248">
        <v>22443.54</v>
      </c>
      <c r="H42" s="248">
        <v>22093.47</v>
      </c>
      <c r="I42" s="248">
        <v>21728.97</v>
      </c>
      <c r="J42" s="248">
        <v>21349.43</v>
      </c>
      <c r="K42" s="211">
        <v>20954</v>
      </c>
      <c r="L42" s="248">
        <v>20954.22</v>
      </c>
      <c r="M42" s="211">
        <v>20543</v>
      </c>
      <c r="N42" s="248">
        <v>20542.72</v>
      </c>
      <c r="O42" s="211">
        <v>20114</v>
      </c>
      <c r="P42" s="109">
        <v>20114.25</v>
      </c>
      <c r="Q42" s="211">
        <v>19669</v>
      </c>
      <c r="R42" s="109">
        <v>19668.099999999999</v>
      </c>
      <c r="S42" s="36">
        <f t="shared" si="4"/>
        <v>19204</v>
      </c>
      <c r="T42" s="36"/>
      <c r="U42" s="36"/>
      <c r="W42" s="211">
        <f>+'Split Debt Service'!G47</f>
        <v>20954</v>
      </c>
      <c r="X42" s="211">
        <f>ROUND((+'Split Debt Service'!H47),0)</f>
        <v>20543</v>
      </c>
      <c r="Y42" s="211">
        <f>+'Split Debt Service'!I47</f>
        <v>20114</v>
      </c>
      <c r="Z42" s="211">
        <f>+'Split Debt Service'!J47</f>
        <v>19669</v>
      </c>
      <c r="AA42" s="211">
        <f>+'Split Debt Service'!K47</f>
        <v>19204</v>
      </c>
      <c r="AB42" s="211">
        <f>+'Split Debt Service'!L47</f>
        <v>18720</v>
      </c>
      <c r="AC42" s="211">
        <f>+'Split Debt Service'!M47</f>
        <v>18217</v>
      </c>
      <c r="AD42" s="211">
        <f>+'Split Debt Service'!N47</f>
        <v>17692</v>
      </c>
      <c r="AE42" s="211">
        <f>+'Split Debt Service'!O47</f>
        <v>17146</v>
      </c>
      <c r="AF42" s="211">
        <f>+'Split Debt Service'!P47</f>
        <v>16577</v>
      </c>
      <c r="AG42" s="211">
        <f>+'Split Debt Service'!Q47</f>
        <v>15985</v>
      </c>
      <c r="AH42" s="211">
        <f>+'Split Debt Service'!R47</f>
        <v>15369</v>
      </c>
      <c r="AI42" s="211">
        <f>+'Split Debt Service'!S47</f>
        <v>14727</v>
      </c>
      <c r="AJ42" s="211">
        <f>+'Split Debt Service'!T47</f>
        <v>14059</v>
      </c>
      <c r="AK42" s="211">
        <f>+'Split Debt Service'!U47</f>
        <v>13363</v>
      </c>
      <c r="AL42" s="211">
        <f>+'Split Debt Service'!V47</f>
        <v>12638</v>
      </c>
      <c r="AM42" s="211">
        <f>+'Split Debt Service'!W47</f>
        <v>11883</v>
      </c>
      <c r="AN42" s="211">
        <f>+'Split Debt Service'!X47</f>
        <v>11098</v>
      </c>
      <c r="AO42" s="211">
        <f>+'Split Debt Service'!Y47</f>
        <v>10280</v>
      </c>
      <c r="AP42" s="211">
        <f>+'Split Debt Service'!Z47</f>
        <v>9428</v>
      </c>
      <c r="AQ42" s="211">
        <f>+'Split Debt Service'!AA47</f>
        <v>8540</v>
      </c>
      <c r="AR42" s="211">
        <f>+'Split Debt Service'!AB47</f>
        <v>7617</v>
      </c>
      <c r="AS42" s="211">
        <f>+'Split Debt Service'!AC47</f>
        <v>6655</v>
      </c>
      <c r="AT42" s="211">
        <f>+'Split Debt Service'!AD47</f>
        <v>5654</v>
      </c>
      <c r="AU42" s="211">
        <f>+'Split Debt Service'!AE47</f>
        <v>4612</v>
      </c>
      <c r="AV42" s="211">
        <f>+'Split Debt Service'!AF47</f>
        <v>1726</v>
      </c>
      <c r="AW42" s="211">
        <f>+'Split Debt Service'!AG47</f>
        <v>2395</v>
      </c>
      <c r="AX42" s="211">
        <f>+'Split Debt Service'!AH47</f>
        <v>1218</v>
      </c>
      <c r="AY42" s="211">
        <f>+'Split Debt Service'!AI47</f>
        <v>0</v>
      </c>
      <c r="AZ42" s="211">
        <f>+'Split Debt Service'!AJ47</f>
        <v>0</v>
      </c>
    </row>
    <row r="43" spans="1:52" hidden="1" x14ac:dyDescent="0.25">
      <c r="A43" s="708" t="s">
        <v>1581</v>
      </c>
      <c r="B43" s="12" t="s">
        <v>1549</v>
      </c>
      <c r="C43" s="109">
        <v>18050.560000000001</v>
      </c>
      <c r="D43" s="248">
        <v>14609.79</v>
      </c>
      <c r="E43" s="248">
        <v>11041.41</v>
      </c>
      <c r="F43" s="248">
        <v>7320.51</v>
      </c>
      <c r="G43" s="248">
        <v>1534.09</v>
      </c>
      <c r="H43" s="248"/>
      <c r="I43" s="248">
        <v>0</v>
      </c>
      <c r="J43" s="248"/>
      <c r="K43" s="211"/>
      <c r="L43" s="248"/>
      <c r="M43" s="211"/>
      <c r="N43" s="248"/>
      <c r="O43" s="211"/>
      <c r="P43" s="109"/>
      <c r="Q43" s="211"/>
      <c r="R43" s="109"/>
      <c r="S43" s="36">
        <f t="shared" si="4"/>
        <v>0</v>
      </c>
      <c r="T43" s="36"/>
      <c r="U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idden="1" x14ac:dyDescent="0.25">
      <c r="A44" s="708" t="s">
        <v>1582</v>
      </c>
      <c r="B44" s="12" t="s">
        <v>1583</v>
      </c>
      <c r="C44" s="109">
        <v>493.92</v>
      </c>
      <c r="D44" s="248">
        <v>400.92</v>
      </c>
      <c r="E44" s="248">
        <v>305.18</v>
      </c>
      <c r="F44" s="248">
        <v>206.52</v>
      </c>
      <c r="G44" s="248">
        <v>104.82</v>
      </c>
      <c r="H44" s="248"/>
      <c r="I44" s="248">
        <v>0</v>
      </c>
      <c r="J44" s="248"/>
      <c r="K44" s="211"/>
      <c r="L44" s="248"/>
      <c r="M44" s="211"/>
      <c r="N44" s="248"/>
      <c r="O44" s="211"/>
      <c r="P44" s="109"/>
      <c r="Q44" s="211"/>
      <c r="R44" s="109"/>
      <c r="S44" s="36">
        <f t="shared" si="4"/>
        <v>0</v>
      </c>
      <c r="T44" s="36"/>
      <c r="U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x14ac:dyDescent="0.25">
      <c r="A45" s="708" t="s">
        <v>1584</v>
      </c>
      <c r="B45" s="12" t="s">
        <v>1551</v>
      </c>
      <c r="C45" s="109"/>
      <c r="D45" s="248"/>
      <c r="E45" s="248">
        <v>44234.86</v>
      </c>
      <c r="F45" s="248">
        <v>52400</v>
      </c>
      <c r="G45" s="248">
        <v>50750</v>
      </c>
      <c r="H45" s="248">
        <v>49100</v>
      </c>
      <c r="I45" s="248">
        <v>47299.25</v>
      </c>
      <c r="J45" s="248">
        <v>45500</v>
      </c>
      <c r="K45" s="211">
        <v>43550</v>
      </c>
      <c r="L45" s="248">
        <v>43550</v>
      </c>
      <c r="M45" s="211">
        <v>41600</v>
      </c>
      <c r="N45" s="248">
        <v>41600</v>
      </c>
      <c r="O45" s="211">
        <v>39500</v>
      </c>
      <c r="P45" s="109">
        <v>39500</v>
      </c>
      <c r="Q45" s="211">
        <v>37400</v>
      </c>
      <c r="R45" s="109">
        <v>18700</v>
      </c>
      <c r="S45" s="36">
        <f t="shared" si="4"/>
        <v>35150</v>
      </c>
      <c r="T45" s="36"/>
      <c r="U45" s="36"/>
      <c r="W45" s="36">
        <v>43550</v>
      </c>
      <c r="X45" s="36">
        <v>41600</v>
      </c>
      <c r="Y45" s="36">
        <v>39500</v>
      </c>
      <c r="Z45" s="36">
        <v>37400</v>
      </c>
      <c r="AA45" s="36">
        <v>35150</v>
      </c>
      <c r="AB45" s="36">
        <v>32338</v>
      </c>
      <c r="AC45" s="36">
        <v>29338</v>
      </c>
      <c r="AD45" s="36">
        <v>26338</v>
      </c>
      <c r="AE45" s="36">
        <v>23150</v>
      </c>
      <c r="AF45" s="36">
        <v>19775</v>
      </c>
      <c r="AG45" s="36">
        <v>16400</v>
      </c>
      <c r="AH45" s="36">
        <v>12600</v>
      </c>
      <c r="AI45" s="36">
        <v>8600</v>
      </c>
      <c r="AJ45" s="36">
        <v>4400</v>
      </c>
      <c r="AK45" s="36"/>
      <c r="AL45" s="36"/>
      <c r="AM45" s="36"/>
      <c r="AN45" s="36"/>
      <c r="AO45" s="36"/>
      <c r="AP45" s="36"/>
      <c r="AQ45" s="36"/>
      <c r="AR45" s="36"/>
      <c r="AS45" s="36"/>
      <c r="AT45" s="36"/>
      <c r="AU45" s="36"/>
      <c r="AV45" s="36"/>
      <c r="AW45" s="36"/>
      <c r="AX45" s="36"/>
      <c r="AY45" s="36"/>
      <c r="AZ45" s="36"/>
    </row>
    <row r="46" spans="1:52" x14ac:dyDescent="0.25">
      <c r="A46" s="708" t="s">
        <v>1585</v>
      </c>
      <c r="B46" s="12" t="s">
        <v>1553</v>
      </c>
      <c r="C46" s="109"/>
      <c r="D46" s="248"/>
      <c r="E46" s="248"/>
      <c r="F46" s="248"/>
      <c r="G46" s="248"/>
      <c r="H46" s="248"/>
      <c r="I46" s="248">
        <v>10817.49</v>
      </c>
      <c r="J46" s="248">
        <v>31020.58</v>
      </c>
      <c r="K46" s="211">
        <v>29726</v>
      </c>
      <c r="L46" s="248">
        <v>29725.94</v>
      </c>
      <c r="M46" s="211">
        <v>28403</v>
      </c>
      <c r="N46" s="248">
        <v>28403.16</v>
      </c>
      <c r="O46" s="211">
        <v>27052</v>
      </c>
      <c r="P46" s="109">
        <v>27051.64</v>
      </c>
      <c r="Q46" s="211">
        <v>25671</v>
      </c>
      <c r="R46" s="109">
        <v>13184.31</v>
      </c>
      <c r="S46" s="36">
        <f t="shared" si="4"/>
        <v>24259.84</v>
      </c>
      <c r="T46" s="36"/>
      <c r="U46" s="36"/>
      <c r="W46" s="36">
        <f>15190.11+14535.83</f>
        <v>29725.940000000002</v>
      </c>
      <c r="X46" s="36">
        <f>ROUND((14535.83+13867.33),0)</f>
        <v>28403</v>
      </c>
      <c r="Y46" s="36">
        <f>13867.33+13184.31</f>
        <v>27051.64</v>
      </c>
      <c r="Z46" s="36">
        <f>13184.31+12486.44</f>
        <v>25670.75</v>
      </c>
      <c r="AA46" s="36">
        <f>12486.44+11773.4</f>
        <v>24259.84</v>
      </c>
      <c r="AB46" s="36">
        <f>11773.4+11044.87</f>
        <v>22818.27</v>
      </c>
      <c r="AC46" s="36">
        <f>11044.87+10300.5</f>
        <v>21345.370000000003</v>
      </c>
      <c r="AD46" s="36">
        <f>10300.5+9539.96</f>
        <v>19840.46</v>
      </c>
      <c r="AE46" s="36">
        <f>5939.96+8762.89</f>
        <v>14702.849999999999</v>
      </c>
      <c r="AF46" s="36">
        <f>8762.89+7968.93</f>
        <v>16731.82</v>
      </c>
      <c r="AG46" s="36">
        <f>7968.93+7157.71</f>
        <v>15126.64</v>
      </c>
      <c r="AH46" s="36">
        <f>7157.71+6328.86</f>
        <v>13486.57</v>
      </c>
      <c r="AI46" s="36">
        <f>6328.86+5482</f>
        <v>11810.86</v>
      </c>
      <c r="AJ46" s="36">
        <f>5482+4616.73</f>
        <v>10098.73</v>
      </c>
      <c r="AK46" s="36">
        <f>4616.73+3732.66</f>
        <v>8349.39</v>
      </c>
      <c r="AL46" s="36">
        <f>3732.66+2829.37</f>
        <v>6562.03</v>
      </c>
      <c r="AM46" s="36">
        <f>2839.37+1906.45</f>
        <v>4745.82</v>
      </c>
      <c r="AN46" s="36">
        <f>1906.45+963.47</f>
        <v>2869.92</v>
      </c>
      <c r="AO46" s="36">
        <v>963.47</v>
      </c>
      <c r="AP46" s="36"/>
      <c r="AQ46" s="36"/>
      <c r="AR46" s="36"/>
      <c r="AS46" s="36"/>
      <c r="AT46" s="36"/>
      <c r="AU46" s="36"/>
      <c r="AV46" s="36"/>
      <c r="AW46" s="36"/>
      <c r="AX46" s="36"/>
      <c r="AY46" s="36"/>
      <c r="AZ46" s="36"/>
    </row>
    <row r="47" spans="1:52" x14ac:dyDescent="0.25">
      <c r="A47" s="708" t="s">
        <v>1586</v>
      </c>
      <c r="B47" s="12" t="s">
        <v>1587</v>
      </c>
      <c r="C47" s="109"/>
      <c r="D47" s="248"/>
      <c r="E47" s="248"/>
      <c r="F47" s="248"/>
      <c r="G47" s="248"/>
      <c r="H47" s="248"/>
      <c r="I47" s="248">
        <v>8726.5499999999993</v>
      </c>
      <c r="J47" s="248">
        <v>2326.5500000000002</v>
      </c>
      <c r="K47" s="211">
        <v>2229</v>
      </c>
      <c r="L47" s="248">
        <v>2229.4499999999998</v>
      </c>
      <c r="M47" s="211">
        <v>2130</v>
      </c>
      <c r="N47" s="248">
        <v>2130.2399999999998</v>
      </c>
      <c r="O47" s="211">
        <v>2029</v>
      </c>
      <c r="P47" s="109">
        <v>2028.87</v>
      </c>
      <c r="Q47" s="211">
        <v>1925</v>
      </c>
      <c r="R47" s="109">
        <v>988.82</v>
      </c>
      <c r="S47" s="36">
        <f t="shared" si="4"/>
        <v>1819.49</v>
      </c>
      <c r="T47" s="36"/>
      <c r="U47" s="36"/>
      <c r="W47" s="36">
        <f>1090.19+1139.28</f>
        <v>2229.4700000000003</v>
      </c>
      <c r="X47" s="36">
        <f>ROUND((1040.05+1090.19),0)</f>
        <v>2130</v>
      </c>
      <c r="Y47" s="36">
        <f>988.82+1040.05</f>
        <v>2028.87</v>
      </c>
      <c r="Z47" s="36">
        <f>936.48+988.82</f>
        <v>1925.3000000000002</v>
      </c>
      <c r="AA47" s="36">
        <f>883.01+936.48</f>
        <v>1819.49</v>
      </c>
      <c r="AB47" s="36">
        <f>828.37+883.01</f>
        <v>1711.38</v>
      </c>
      <c r="AC47" s="36">
        <f>772.54+828.37</f>
        <v>1600.9099999999999</v>
      </c>
      <c r="AD47" s="36">
        <f>715.5+772.54</f>
        <v>1488.04</v>
      </c>
      <c r="AE47" s="36">
        <f>257.22+715.5</f>
        <v>972.72</v>
      </c>
      <c r="AF47" s="36">
        <f>597.67+657.22</f>
        <v>1254.8899999999999</v>
      </c>
      <c r="AG47" s="36">
        <f>536.83+597.67</f>
        <v>1134.5</v>
      </c>
      <c r="AH47" s="36">
        <f>474.66+536.83</f>
        <v>1011.49</v>
      </c>
      <c r="AI47" s="36">
        <f>411.15+474.66</f>
        <v>885.81</v>
      </c>
      <c r="AJ47" s="36">
        <f>346.25+411.15</f>
        <v>757.4</v>
      </c>
      <c r="AK47" s="36">
        <f>279.95+346.25</f>
        <v>626.20000000000005</v>
      </c>
      <c r="AL47" s="36">
        <f>212.2+279.95</f>
        <v>492.15</v>
      </c>
      <c r="AM47" s="36">
        <f>142.98+212.2</f>
        <v>355.17999999999995</v>
      </c>
      <c r="AN47" s="36">
        <f>72.26+142.98</f>
        <v>215.24</v>
      </c>
      <c r="AO47" s="36">
        <v>72.260000000000005</v>
      </c>
      <c r="AP47" s="36"/>
      <c r="AQ47" s="36"/>
      <c r="AR47" s="36"/>
      <c r="AS47" s="36"/>
      <c r="AT47" s="36"/>
      <c r="AU47" s="36"/>
      <c r="AV47" s="36"/>
      <c r="AW47" s="36"/>
      <c r="AX47" s="36"/>
      <c r="AY47" s="36"/>
      <c r="AZ47" s="36"/>
    </row>
    <row r="48" spans="1:52" x14ac:dyDescent="0.25">
      <c r="A48" s="708" t="s">
        <v>1588</v>
      </c>
      <c r="B48" s="12" t="s">
        <v>1555</v>
      </c>
      <c r="C48" s="109"/>
      <c r="D48" s="248"/>
      <c r="E48" s="248"/>
      <c r="F48" s="248"/>
      <c r="G48" s="248"/>
      <c r="H48" s="248"/>
      <c r="I48" s="248">
        <v>0</v>
      </c>
      <c r="J48" s="248">
        <v>7138.34</v>
      </c>
      <c r="K48" s="211">
        <v>5192</v>
      </c>
      <c r="L48" s="248">
        <v>5191.26</v>
      </c>
      <c r="M48" s="211">
        <v>4992</v>
      </c>
      <c r="N48" s="248">
        <v>4991.26</v>
      </c>
      <c r="O48" s="211">
        <v>4767</v>
      </c>
      <c r="P48" s="109">
        <v>4766.25</v>
      </c>
      <c r="Q48" s="211">
        <v>4517</v>
      </c>
      <c r="R48" s="109">
        <v>2320.63</v>
      </c>
      <c r="S48" s="36">
        <f t="shared" si="4"/>
        <v>4323</v>
      </c>
      <c r="T48" s="36"/>
      <c r="U48" s="36"/>
      <c r="W48" s="541">
        <v>5192</v>
      </c>
      <c r="X48" s="541">
        <v>4992</v>
      </c>
      <c r="Y48" s="541">
        <v>4767</v>
      </c>
      <c r="Z48" s="541">
        <v>4517</v>
      </c>
      <c r="AA48" s="541">
        <v>4323</v>
      </c>
      <c r="AB48" s="541">
        <v>4185</v>
      </c>
      <c r="AC48" s="541">
        <v>3992</v>
      </c>
      <c r="AD48" s="541">
        <v>3792</v>
      </c>
      <c r="AE48" s="541">
        <v>3627</v>
      </c>
      <c r="AF48" s="36">
        <v>3447</v>
      </c>
      <c r="AG48" s="36">
        <v>3267</v>
      </c>
      <c r="AH48" s="36">
        <v>3087</v>
      </c>
      <c r="AI48" s="36">
        <v>2907</v>
      </c>
      <c r="AJ48" s="36">
        <v>2712</v>
      </c>
      <c r="AK48" s="36">
        <v>2497</v>
      </c>
      <c r="AL48" s="36">
        <v>2274</v>
      </c>
      <c r="AM48" s="36">
        <v>2047</v>
      </c>
      <c r="AN48" s="36">
        <v>1819</v>
      </c>
      <c r="AO48" s="36">
        <v>1570</v>
      </c>
      <c r="AP48" s="36">
        <v>1295</v>
      </c>
      <c r="AQ48" s="36">
        <v>1015</v>
      </c>
      <c r="AR48" s="36">
        <v>735</v>
      </c>
      <c r="AS48" s="36">
        <v>738</v>
      </c>
      <c r="AT48" s="36">
        <v>140</v>
      </c>
      <c r="AU48" s="36"/>
      <c r="AV48" s="36"/>
      <c r="AW48" s="36"/>
      <c r="AX48" s="36"/>
      <c r="AY48" s="36"/>
      <c r="AZ48" s="36"/>
    </row>
    <row r="49" spans="1:52" x14ac:dyDescent="0.25">
      <c r="A49" s="708" t="s">
        <v>1589</v>
      </c>
      <c r="B49" s="12" t="s">
        <v>1557</v>
      </c>
      <c r="C49" s="109"/>
      <c r="D49" s="248"/>
      <c r="E49" s="248"/>
      <c r="F49" s="248"/>
      <c r="G49" s="248"/>
      <c r="H49" s="248"/>
      <c r="I49" s="248">
        <v>0</v>
      </c>
      <c r="J49" s="248">
        <v>17480</v>
      </c>
      <c r="K49" s="211">
        <v>12704</v>
      </c>
      <c r="L49" s="248">
        <v>12703.76</v>
      </c>
      <c r="M49" s="211">
        <v>12204</v>
      </c>
      <c r="N49" s="248">
        <v>12203.76</v>
      </c>
      <c r="O49" s="211">
        <v>11679</v>
      </c>
      <c r="P49" s="109">
        <v>11678.76</v>
      </c>
      <c r="Q49" s="211">
        <v>11104</v>
      </c>
      <c r="R49" s="109">
        <v>5701.88</v>
      </c>
      <c r="S49" s="36">
        <f t="shared" si="4"/>
        <v>10639</v>
      </c>
      <c r="T49" s="36"/>
      <c r="U49" s="36"/>
      <c r="W49" s="541">
        <v>12704</v>
      </c>
      <c r="X49" s="541">
        <v>12204</v>
      </c>
      <c r="Y49" s="541">
        <v>11679</v>
      </c>
      <c r="Z49" s="541">
        <v>11104</v>
      </c>
      <c r="AA49" s="541">
        <v>10639</v>
      </c>
      <c r="AB49" s="541">
        <v>10309</v>
      </c>
      <c r="AC49" s="541">
        <v>9819</v>
      </c>
      <c r="AD49" s="541">
        <v>9299</v>
      </c>
      <c r="AE49" s="541">
        <v>8894</v>
      </c>
      <c r="AF49" s="36">
        <v>8474</v>
      </c>
      <c r="AG49" s="36">
        <v>8039</v>
      </c>
      <c r="AH49" s="36">
        <v>7589</v>
      </c>
      <c r="AI49" s="36">
        <v>7139</v>
      </c>
      <c r="AJ49" s="36">
        <v>6674</v>
      </c>
      <c r="AK49" s="36">
        <v>6184</v>
      </c>
      <c r="AL49" s="36">
        <v>5658</v>
      </c>
      <c r="AM49" s="36">
        <v>5089</v>
      </c>
      <c r="AN49" s="36">
        <v>4504</v>
      </c>
      <c r="AO49" s="36">
        <v>3891</v>
      </c>
      <c r="AP49" s="36">
        <v>3238</v>
      </c>
      <c r="AQ49" s="36">
        <v>2555</v>
      </c>
      <c r="AR49" s="36">
        <v>1838</v>
      </c>
      <c r="AS49" s="36">
        <v>1103</v>
      </c>
      <c r="AT49" s="36">
        <v>368</v>
      </c>
      <c r="AU49" s="36"/>
      <c r="AV49" s="36"/>
      <c r="AW49" s="36"/>
      <c r="AX49" s="36"/>
      <c r="AY49" s="36"/>
      <c r="AZ49" s="36"/>
    </row>
    <row r="50" spans="1:52" x14ac:dyDescent="0.25">
      <c r="A50" s="708" t="s">
        <v>1590</v>
      </c>
      <c r="B50" s="12" t="s">
        <v>1559</v>
      </c>
      <c r="C50" s="109"/>
      <c r="D50" s="248"/>
      <c r="E50" s="248"/>
      <c r="F50" s="248"/>
      <c r="G50" s="248"/>
      <c r="H50" s="248"/>
      <c r="I50" s="248"/>
      <c r="J50" s="248">
        <v>16835</v>
      </c>
      <c r="K50" s="211">
        <v>12220</v>
      </c>
      <c r="L50" s="248">
        <v>12220</v>
      </c>
      <c r="M50" s="211">
        <v>11720</v>
      </c>
      <c r="N50" s="248">
        <v>11720</v>
      </c>
      <c r="O50" s="211">
        <v>11195</v>
      </c>
      <c r="P50" s="109">
        <v>11195</v>
      </c>
      <c r="Q50" s="211">
        <v>10645</v>
      </c>
      <c r="R50" s="109">
        <v>5460</v>
      </c>
      <c r="S50" s="36">
        <f t="shared" si="4"/>
        <v>10219</v>
      </c>
      <c r="T50" s="36"/>
      <c r="U50" s="36"/>
      <c r="W50" s="541">
        <v>12220</v>
      </c>
      <c r="X50" s="541">
        <v>11720</v>
      </c>
      <c r="Y50" s="541">
        <v>11195</v>
      </c>
      <c r="Z50" s="541">
        <v>10645</v>
      </c>
      <c r="AA50" s="541">
        <v>10219</v>
      </c>
      <c r="AB50" s="541">
        <v>9903</v>
      </c>
      <c r="AC50" s="541">
        <v>9438</v>
      </c>
      <c r="AD50" s="541">
        <v>8943</v>
      </c>
      <c r="AE50" s="541">
        <v>8553</v>
      </c>
      <c r="AF50" s="36">
        <v>8148</v>
      </c>
      <c r="AG50" s="36">
        <v>7728</v>
      </c>
      <c r="AH50" s="36">
        <v>7308</v>
      </c>
      <c r="AI50" s="36">
        <v>6873</v>
      </c>
      <c r="AJ50" s="36">
        <v>6423</v>
      </c>
      <c r="AK50" s="36">
        <v>5948</v>
      </c>
      <c r="AL50" s="36">
        <v>5438</v>
      </c>
      <c r="AM50" s="36">
        <v>4902</v>
      </c>
      <c r="AN50" s="36">
        <v>4349</v>
      </c>
      <c r="AO50" s="36">
        <v>3769</v>
      </c>
      <c r="AP50" s="36">
        <v>3133</v>
      </c>
      <c r="AQ50" s="36">
        <v>2468</v>
      </c>
      <c r="AR50" s="36">
        <v>1785</v>
      </c>
      <c r="AS50" s="36">
        <v>1068</v>
      </c>
      <c r="AT50" s="36">
        <v>350</v>
      </c>
      <c r="AU50" s="36"/>
      <c r="AV50" s="36"/>
      <c r="AW50" s="36"/>
      <c r="AX50" s="36"/>
      <c r="AY50" s="36"/>
      <c r="AZ50" s="36"/>
    </row>
    <row r="51" spans="1:52" x14ac:dyDescent="0.25">
      <c r="A51" s="708" t="s">
        <v>1591</v>
      </c>
      <c r="B51" s="12" t="s">
        <v>1561</v>
      </c>
      <c r="C51" s="109"/>
      <c r="D51" s="248"/>
      <c r="E51" s="248"/>
      <c r="F51" s="248"/>
      <c r="G51" s="248"/>
      <c r="H51" s="248"/>
      <c r="I51" s="248"/>
      <c r="J51" s="248">
        <v>4640</v>
      </c>
      <c r="K51" s="211">
        <v>3374</v>
      </c>
      <c r="L51" s="248">
        <v>3373.76</v>
      </c>
      <c r="M51" s="211">
        <v>3224</v>
      </c>
      <c r="N51" s="248">
        <v>3223.75</v>
      </c>
      <c r="O51" s="211">
        <v>3074</v>
      </c>
      <c r="P51" s="109">
        <v>3073.76</v>
      </c>
      <c r="Q51" s="211">
        <v>2924</v>
      </c>
      <c r="R51" s="109">
        <v>1499.37</v>
      </c>
      <c r="S51" s="36">
        <f t="shared" si="4"/>
        <v>2808</v>
      </c>
      <c r="T51" s="36"/>
      <c r="U51" s="36"/>
      <c r="W51" s="541">
        <v>3374</v>
      </c>
      <c r="X51" s="541">
        <v>3224</v>
      </c>
      <c r="Y51" s="541">
        <v>3074</v>
      </c>
      <c r="Z51" s="541">
        <v>2924</v>
      </c>
      <c r="AA51" s="541">
        <v>2808</v>
      </c>
      <c r="AB51" s="541">
        <v>2725</v>
      </c>
      <c r="AC51" s="541">
        <v>2609</v>
      </c>
      <c r="AD51" s="541">
        <v>2474</v>
      </c>
      <c r="AE51" s="541">
        <v>2354</v>
      </c>
      <c r="AF51" s="36">
        <v>2234</v>
      </c>
      <c r="AG51" s="36">
        <v>2114</v>
      </c>
      <c r="AH51" s="36">
        <v>1994</v>
      </c>
      <c r="AI51" s="36">
        <v>1874</v>
      </c>
      <c r="AJ51" s="36">
        <v>1754</v>
      </c>
      <c r="AK51" s="36">
        <v>1632</v>
      </c>
      <c r="AL51" s="36">
        <v>1504</v>
      </c>
      <c r="AM51" s="36">
        <v>1358</v>
      </c>
      <c r="AN51" s="36">
        <v>1195</v>
      </c>
      <c r="AO51" s="36">
        <v>1030</v>
      </c>
      <c r="AP51" s="36">
        <v>858</v>
      </c>
      <c r="AQ51" s="36">
        <v>683</v>
      </c>
      <c r="AR51" s="36">
        <v>490</v>
      </c>
      <c r="AS51" s="36">
        <v>580</v>
      </c>
      <c r="AT51" s="36">
        <v>88</v>
      </c>
      <c r="AU51" s="36"/>
      <c r="AV51" s="36"/>
      <c r="AW51" s="36"/>
      <c r="AX51" s="36"/>
      <c r="AY51" s="36"/>
      <c r="AZ51" s="36"/>
    </row>
    <row r="52" spans="1:52" x14ac:dyDescent="0.25">
      <c r="A52" s="708" t="s">
        <v>2027</v>
      </c>
      <c r="B52" s="12" t="s">
        <v>1563</v>
      </c>
      <c r="C52" s="109"/>
      <c r="D52" s="248"/>
      <c r="E52" s="248"/>
      <c r="F52" s="248"/>
      <c r="G52" s="248"/>
      <c r="H52" s="248"/>
      <c r="I52" s="248"/>
      <c r="J52" s="248">
        <v>18190</v>
      </c>
      <c r="K52" s="211">
        <v>13237</v>
      </c>
      <c r="L52" s="248">
        <v>13236.26</v>
      </c>
      <c r="M52" s="211">
        <v>12712</v>
      </c>
      <c r="N52" s="248">
        <v>12711.26</v>
      </c>
      <c r="O52" s="211">
        <v>12162</v>
      </c>
      <c r="P52" s="109">
        <v>12161.26</v>
      </c>
      <c r="Q52" s="211">
        <v>11587</v>
      </c>
      <c r="R52" s="109">
        <v>5943.13</v>
      </c>
      <c r="S52" s="36">
        <f t="shared" si="4"/>
        <v>11122</v>
      </c>
      <c r="T52" s="36"/>
      <c r="U52" s="36"/>
      <c r="W52" s="541">
        <v>13237</v>
      </c>
      <c r="X52" s="541">
        <v>12712</v>
      </c>
      <c r="Y52" s="541">
        <v>12162</v>
      </c>
      <c r="Z52" s="541">
        <v>11587</v>
      </c>
      <c r="AA52" s="541">
        <v>11122</v>
      </c>
      <c r="AB52" s="541">
        <v>10778</v>
      </c>
      <c r="AC52" s="541">
        <v>10274</v>
      </c>
      <c r="AD52" s="541">
        <v>9739</v>
      </c>
      <c r="AE52" s="541">
        <v>9319</v>
      </c>
      <c r="AF52" s="36">
        <v>8884</v>
      </c>
      <c r="AG52" s="36">
        <v>8434</v>
      </c>
      <c r="AH52" s="36">
        <v>7969</v>
      </c>
      <c r="AI52" s="36">
        <v>7489</v>
      </c>
      <c r="AJ52" s="36">
        <v>6994</v>
      </c>
      <c r="AK52" s="36">
        <v>6474</v>
      </c>
      <c r="AL52" s="36">
        <v>5915</v>
      </c>
      <c r="AM52" s="36">
        <v>5330</v>
      </c>
      <c r="AN52" s="36">
        <v>4729</v>
      </c>
      <c r="AO52" s="36">
        <v>1083</v>
      </c>
      <c r="AP52" s="36">
        <v>3395</v>
      </c>
      <c r="AQ52" s="36">
        <v>2678</v>
      </c>
      <c r="AR52" s="36">
        <v>1925</v>
      </c>
      <c r="AS52" s="36">
        <v>1155</v>
      </c>
      <c r="AT52" s="36">
        <v>385</v>
      </c>
      <c r="AU52" s="36"/>
      <c r="AV52" s="36"/>
      <c r="AW52" s="36"/>
      <c r="AX52" s="36"/>
      <c r="AY52" s="36"/>
      <c r="AZ52" s="36"/>
    </row>
    <row r="53" spans="1:52" ht="13.8" thickBot="1" x14ac:dyDescent="0.3">
      <c r="A53" s="725" t="s">
        <v>2028</v>
      </c>
      <c r="B53" s="27" t="s">
        <v>1565</v>
      </c>
      <c r="C53" s="109"/>
      <c r="D53" s="248"/>
      <c r="E53" s="248"/>
      <c r="F53" s="248"/>
      <c r="G53" s="248"/>
      <c r="H53" s="248"/>
      <c r="I53" s="248">
        <v>0.75</v>
      </c>
      <c r="J53" s="248">
        <v>3020</v>
      </c>
      <c r="K53" s="211">
        <v>2184</v>
      </c>
      <c r="L53" s="248">
        <v>2183.75</v>
      </c>
      <c r="M53" s="211">
        <v>2084</v>
      </c>
      <c r="N53" s="248">
        <v>2083.75</v>
      </c>
      <c r="O53" s="211">
        <v>1984</v>
      </c>
      <c r="P53" s="109">
        <v>1983.76</v>
      </c>
      <c r="Q53" s="211">
        <v>1884</v>
      </c>
      <c r="R53" s="109">
        <v>966.88</v>
      </c>
      <c r="S53" s="36">
        <f t="shared" si="4"/>
        <v>1807</v>
      </c>
      <c r="T53" s="36"/>
      <c r="U53" s="36"/>
      <c r="W53" s="541">
        <v>2184</v>
      </c>
      <c r="X53" s="541">
        <v>2084</v>
      </c>
      <c r="Y53" s="541">
        <v>1984</v>
      </c>
      <c r="Z53" s="541">
        <v>1884</v>
      </c>
      <c r="AA53" s="541">
        <v>1807</v>
      </c>
      <c r="AB53" s="541">
        <v>1752</v>
      </c>
      <c r="AC53" s="541">
        <v>1674</v>
      </c>
      <c r="AD53" s="541">
        <v>1594</v>
      </c>
      <c r="AE53" s="541">
        <v>1534</v>
      </c>
      <c r="AF53" s="36">
        <v>1474</v>
      </c>
      <c r="AG53" s="36">
        <v>1399</v>
      </c>
      <c r="AH53" s="36">
        <v>1309</v>
      </c>
      <c r="AI53" s="36">
        <v>1219</v>
      </c>
      <c r="AJ53" s="36">
        <v>1129</v>
      </c>
      <c r="AK53" s="36">
        <v>1037</v>
      </c>
      <c r="AL53" s="36">
        <v>942</v>
      </c>
      <c r="AM53" s="36">
        <v>844</v>
      </c>
      <c r="AN53" s="36">
        <v>747</v>
      </c>
      <c r="AO53" s="36">
        <v>664</v>
      </c>
      <c r="AP53" s="36">
        <v>558</v>
      </c>
      <c r="AQ53" s="36">
        <v>572</v>
      </c>
      <c r="AR53" s="36">
        <v>350</v>
      </c>
      <c r="AS53" s="36">
        <v>210</v>
      </c>
      <c r="AT53" s="36">
        <v>70</v>
      </c>
      <c r="AU53" s="36"/>
      <c r="AV53" s="36"/>
      <c r="AW53" s="36"/>
      <c r="AX53" s="36"/>
      <c r="AY53" s="36"/>
      <c r="AZ53" s="36"/>
    </row>
    <row r="54" spans="1:52" ht="13.8" hidden="1" thickBot="1" x14ac:dyDescent="0.3">
      <c r="A54" s="708" t="s">
        <v>1566</v>
      </c>
      <c r="B54" s="12" t="s">
        <v>1592</v>
      </c>
      <c r="C54" s="109"/>
      <c r="D54" s="248"/>
      <c r="E54" s="248"/>
      <c r="F54" s="248"/>
      <c r="G54" s="248"/>
      <c r="H54" s="248"/>
      <c r="I54" s="248"/>
      <c r="J54" s="248"/>
      <c r="K54" s="211"/>
      <c r="L54" s="248"/>
      <c r="M54" s="211"/>
      <c r="N54" s="248"/>
      <c r="O54" s="211"/>
      <c r="P54" s="109"/>
      <c r="Q54" s="211"/>
      <c r="R54" s="109"/>
      <c r="S54" s="36">
        <f>+Z54</f>
        <v>0</v>
      </c>
      <c r="T54" s="36"/>
      <c r="U54" s="36"/>
      <c r="W54" s="541"/>
      <c r="X54" s="541"/>
      <c r="Y54" s="541"/>
      <c r="Z54" s="541"/>
      <c r="AA54" s="541"/>
      <c r="AB54" s="541"/>
      <c r="AC54" s="541"/>
      <c r="AD54" s="541"/>
      <c r="AE54" s="541"/>
      <c r="AF54" s="36"/>
      <c r="AG54" s="36"/>
      <c r="AH54" s="36"/>
      <c r="AI54" s="36"/>
      <c r="AJ54" s="36"/>
      <c r="AK54" s="36"/>
      <c r="AL54" s="36"/>
      <c r="AM54" s="36"/>
      <c r="AN54" s="36"/>
      <c r="AO54" s="36"/>
      <c r="AP54" s="36"/>
      <c r="AQ54" s="36"/>
      <c r="AR54" s="36"/>
      <c r="AS54" s="36"/>
      <c r="AT54" s="36"/>
      <c r="AU54" s="36"/>
      <c r="AV54" s="36"/>
      <c r="AW54" s="36"/>
      <c r="AX54" s="36"/>
      <c r="AY54" s="36"/>
      <c r="AZ54" s="36"/>
    </row>
    <row r="55" spans="1:52" ht="13.8" hidden="1" thickBot="1" x14ac:dyDescent="0.3">
      <c r="A55" s="708"/>
      <c r="B55" s="12"/>
      <c r="C55" s="110"/>
      <c r="D55" s="249"/>
      <c r="E55" s="249"/>
      <c r="F55" s="249"/>
      <c r="G55" s="249"/>
      <c r="H55" s="249"/>
      <c r="I55" s="809"/>
      <c r="J55" s="809"/>
      <c r="K55" s="810"/>
      <c r="L55" s="809"/>
      <c r="M55" s="810"/>
      <c r="N55" s="809"/>
      <c r="O55" s="810"/>
      <c r="P55" s="1071"/>
      <c r="Q55" s="810"/>
      <c r="R55" s="109"/>
      <c r="S55" s="810"/>
      <c r="T55" s="811"/>
      <c r="U55" s="811"/>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row>
    <row r="56" spans="1:52" ht="13.8" thickTop="1" x14ac:dyDescent="0.25">
      <c r="A56" s="708"/>
      <c r="B56" s="17" t="s">
        <v>1394</v>
      </c>
      <c r="C56" s="18">
        <f t="shared" ref="C56:R56" si="5">SUM(C32:C55)</f>
        <v>132698.15000000002</v>
      </c>
      <c r="D56" s="18">
        <f t="shared" si="5"/>
        <v>123550.76</v>
      </c>
      <c r="E56" s="18">
        <f t="shared" si="5"/>
        <v>158405.25</v>
      </c>
      <c r="F56" s="18">
        <f t="shared" si="5"/>
        <v>158323.76</v>
      </c>
      <c r="G56" s="18">
        <f t="shared" si="5"/>
        <v>145620.48000000001</v>
      </c>
      <c r="H56" s="18">
        <f t="shared" si="5"/>
        <v>147227.92000000001</v>
      </c>
      <c r="I56" s="812">
        <f t="shared" si="5"/>
        <v>150824.25999999998</v>
      </c>
      <c r="J56" s="812">
        <f t="shared" ref="J56" si="6">SUM(J32:J55)</f>
        <v>230396.05999999997</v>
      </c>
      <c r="K56" s="813">
        <f t="shared" ref="K56:O56" si="7">SUM(K32:K55)</f>
        <v>192734</v>
      </c>
      <c r="L56" s="812">
        <f t="shared" si="7"/>
        <v>192730.56000000006</v>
      </c>
      <c r="M56" s="813">
        <f t="shared" si="7"/>
        <v>182401</v>
      </c>
      <c r="N56" s="812">
        <f t="shared" ref="N56" si="8">SUM(N32:N55)</f>
        <v>182397.07000000004</v>
      </c>
      <c r="O56" s="813">
        <f t="shared" si="7"/>
        <v>172229</v>
      </c>
      <c r="P56" s="814">
        <f t="shared" ref="P56:Q56" si="9">SUM(P32:P55)</f>
        <v>172223.82000000004</v>
      </c>
      <c r="Q56" s="813">
        <f t="shared" si="9"/>
        <v>162094</v>
      </c>
      <c r="R56" s="814">
        <f t="shared" si="5"/>
        <v>92334.640000000014</v>
      </c>
      <c r="S56" s="813">
        <f>SUM(S32:S55)</f>
        <v>153278.33000000002</v>
      </c>
      <c r="T56" s="813">
        <f>SUM(T31:T55)</f>
        <v>0</v>
      </c>
      <c r="U56" s="813">
        <f>SUM(U31:U55)</f>
        <v>0</v>
      </c>
      <c r="W56" s="19">
        <f t="shared" ref="W56:AZ56" si="10">SUM(W31:W55)</f>
        <v>192734.41</v>
      </c>
      <c r="X56" s="19">
        <f t="shared" si="10"/>
        <v>182401</v>
      </c>
      <c r="Y56" s="19">
        <f t="shared" si="10"/>
        <v>172228.51</v>
      </c>
      <c r="Z56" s="19">
        <f t="shared" si="10"/>
        <v>162094.04999999999</v>
      </c>
      <c r="AA56" s="19">
        <f t="shared" si="10"/>
        <v>153218.33000000002</v>
      </c>
      <c r="AB56" s="19">
        <f t="shared" si="10"/>
        <v>144286.65000000002</v>
      </c>
      <c r="AC56" s="19">
        <f t="shared" si="10"/>
        <v>134676.28</v>
      </c>
      <c r="AD56" s="19">
        <f t="shared" si="10"/>
        <v>124948.61999999998</v>
      </c>
      <c r="AE56" s="19">
        <f t="shared" si="10"/>
        <v>112017.57</v>
      </c>
      <c r="AF56" s="19">
        <f t="shared" si="10"/>
        <v>106753.71</v>
      </c>
      <c r="AG56" s="19">
        <f t="shared" si="10"/>
        <v>97344.14</v>
      </c>
      <c r="AH56" s="19">
        <f t="shared" si="10"/>
        <v>87854.06</v>
      </c>
      <c r="AI56" s="19">
        <f t="shared" si="10"/>
        <v>78042.67</v>
      </c>
      <c r="AJ56" s="19">
        <f t="shared" si="10"/>
        <v>67875.13</v>
      </c>
      <c r="AK56" s="19">
        <f t="shared" si="10"/>
        <v>57286.59</v>
      </c>
      <c r="AL56" s="19">
        <f t="shared" si="10"/>
        <v>50868.18</v>
      </c>
      <c r="AM56" s="19">
        <f t="shared" si="10"/>
        <v>44212</v>
      </c>
      <c r="AN56" s="19">
        <f t="shared" si="10"/>
        <v>37338.160000000003</v>
      </c>
      <c r="AO56" s="19">
        <f t="shared" si="10"/>
        <v>27882.73</v>
      </c>
      <c r="AP56" s="19">
        <f t="shared" si="10"/>
        <v>25895</v>
      </c>
      <c r="AQ56" s="19">
        <f t="shared" si="10"/>
        <v>21901</v>
      </c>
      <c r="AR56" s="19">
        <f t="shared" si="10"/>
        <v>17530</v>
      </c>
      <c r="AS56" s="19">
        <f t="shared" si="10"/>
        <v>13669</v>
      </c>
      <c r="AT56" s="19">
        <f t="shared" si="10"/>
        <v>8506</v>
      </c>
      <c r="AU56" s="19">
        <f t="shared" si="10"/>
        <v>5355</v>
      </c>
      <c r="AV56" s="19">
        <f t="shared" si="10"/>
        <v>1726</v>
      </c>
      <c r="AW56" s="19">
        <f t="shared" si="10"/>
        <v>2395</v>
      </c>
      <c r="AX56" s="19">
        <f t="shared" si="10"/>
        <v>1218</v>
      </c>
      <c r="AY56" s="19">
        <f t="shared" si="10"/>
        <v>0</v>
      </c>
      <c r="AZ56" s="19">
        <f t="shared" si="10"/>
        <v>0</v>
      </c>
    </row>
    <row r="57" spans="1:52" x14ac:dyDescent="0.25">
      <c r="A57" s="708"/>
      <c r="B57" s="12"/>
      <c r="C57" s="13"/>
      <c r="D57" s="126"/>
      <c r="E57" s="126"/>
      <c r="F57" s="126"/>
      <c r="G57" s="126"/>
      <c r="H57" s="126"/>
      <c r="I57" s="126"/>
      <c r="J57" s="126"/>
      <c r="K57" s="151"/>
      <c r="L57" s="126"/>
      <c r="M57" s="151"/>
      <c r="N57" s="126"/>
      <c r="O57" s="151"/>
      <c r="P57" s="126"/>
      <c r="Q57" s="151"/>
      <c r="R57" s="13"/>
      <c r="S57" s="151"/>
      <c r="T57" s="151"/>
      <c r="U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row>
    <row r="58" spans="1:52" ht="13.8" thickBot="1" x14ac:dyDescent="0.3">
      <c r="A58" s="708" t="s">
        <v>1408</v>
      </c>
      <c r="B58" s="12" t="s">
        <v>1409</v>
      </c>
      <c r="C58" s="15">
        <v>0</v>
      </c>
      <c r="D58" s="15">
        <v>3829.25</v>
      </c>
      <c r="E58" s="15">
        <v>1687.82</v>
      </c>
      <c r="F58" s="15">
        <v>4042.69</v>
      </c>
      <c r="G58" s="15">
        <v>18640.21</v>
      </c>
      <c r="H58" s="15">
        <v>16073.39</v>
      </c>
      <c r="I58" s="15">
        <v>19952.82</v>
      </c>
      <c r="J58" s="15"/>
      <c r="K58" s="16">
        <v>25000</v>
      </c>
      <c r="L58" s="15"/>
      <c r="M58" s="16">
        <v>25000</v>
      </c>
      <c r="N58" s="15"/>
      <c r="O58" s="16">
        <v>25000</v>
      </c>
      <c r="P58" s="15"/>
      <c r="Q58" s="16">
        <v>25000</v>
      </c>
      <c r="R58" s="15"/>
      <c r="S58" s="16">
        <v>25000</v>
      </c>
      <c r="T58" s="16"/>
      <c r="U58" s="16"/>
      <c r="W58" s="16"/>
      <c r="X58" s="16"/>
      <c r="Y58" s="16"/>
      <c r="Z58" s="16"/>
      <c r="AA58" s="16">
        <v>25000</v>
      </c>
      <c r="AB58" s="16">
        <v>25000</v>
      </c>
      <c r="AC58" s="16">
        <v>25000</v>
      </c>
      <c r="AD58" s="16">
        <v>25000</v>
      </c>
      <c r="AE58" s="16">
        <v>25000</v>
      </c>
      <c r="AF58" s="16">
        <v>25000</v>
      </c>
      <c r="AG58" s="16">
        <v>25000</v>
      </c>
      <c r="AH58" s="16">
        <v>25000</v>
      </c>
      <c r="AI58" s="16">
        <v>25000</v>
      </c>
      <c r="AJ58" s="16">
        <v>25000</v>
      </c>
      <c r="AK58" s="16">
        <v>25000</v>
      </c>
      <c r="AL58" s="16">
        <v>25000</v>
      </c>
      <c r="AM58" s="16">
        <v>25000</v>
      </c>
      <c r="AN58" s="16">
        <v>25000</v>
      </c>
      <c r="AO58" s="16">
        <v>25000</v>
      </c>
      <c r="AP58" s="16">
        <v>25000</v>
      </c>
      <c r="AQ58" s="16">
        <v>25000</v>
      </c>
      <c r="AR58" s="16">
        <v>25000</v>
      </c>
      <c r="AS58" s="16">
        <v>25000</v>
      </c>
      <c r="AT58" s="16">
        <v>25000</v>
      </c>
      <c r="AU58" s="16">
        <v>25000</v>
      </c>
      <c r="AV58" s="16">
        <v>25000</v>
      </c>
      <c r="AW58" s="16">
        <v>25000</v>
      </c>
      <c r="AX58" s="16">
        <v>25000</v>
      </c>
      <c r="AY58" s="16">
        <v>25000</v>
      </c>
      <c r="AZ58" s="16">
        <v>25000</v>
      </c>
    </row>
    <row r="59" spans="1:52" x14ac:dyDescent="0.25">
      <c r="A59" s="708"/>
      <c r="B59" s="17" t="s">
        <v>1410</v>
      </c>
      <c r="C59" s="18">
        <f t="shared" ref="C59:R59" si="11">SUM(C58:C58)</f>
        <v>0</v>
      </c>
      <c r="D59" s="18">
        <f t="shared" si="11"/>
        <v>3829.25</v>
      </c>
      <c r="E59" s="18">
        <f t="shared" si="11"/>
        <v>1687.82</v>
      </c>
      <c r="F59" s="18">
        <f>SUM(F58)</f>
        <v>4042.69</v>
      </c>
      <c r="G59" s="18">
        <f>SUM(G58)</f>
        <v>18640.21</v>
      </c>
      <c r="H59" s="18">
        <f>SUM(H58)</f>
        <v>16073.39</v>
      </c>
      <c r="I59" s="18">
        <f t="shared" si="11"/>
        <v>19952.82</v>
      </c>
      <c r="J59" s="18">
        <f t="shared" ref="J59" si="12">SUM(J58:J58)</f>
        <v>0</v>
      </c>
      <c r="K59" s="19">
        <f t="shared" ref="K59:O59" si="13">SUM(K58:K58)</f>
        <v>25000</v>
      </c>
      <c r="L59" s="18">
        <f t="shared" si="13"/>
        <v>0</v>
      </c>
      <c r="M59" s="19">
        <f t="shared" si="13"/>
        <v>25000</v>
      </c>
      <c r="N59" s="18">
        <f t="shared" ref="N59" si="14">SUM(N58:N58)</f>
        <v>0</v>
      </c>
      <c r="O59" s="19">
        <f t="shared" si="13"/>
        <v>25000</v>
      </c>
      <c r="P59" s="18">
        <f t="shared" ref="P59:Q59" si="15">SUM(P58:P58)</f>
        <v>0</v>
      </c>
      <c r="Q59" s="19">
        <f t="shared" si="15"/>
        <v>25000</v>
      </c>
      <c r="R59" s="18">
        <f t="shared" si="11"/>
        <v>0</v>
      </c>
      <c r="S59" s="19">
        <f>SUM(S58:S58)</f>
        <v>25000</v>
      </c>
      <c r="T59" s="19">
        <f>SUM(T57:T58)</f>
        <v>0</v>
      </c>
      <c r="U59" s="19">
        <f>SUM(U57:U58)</f>
        <v>0</v>
      </c>
      <c r="W59" s="19">
        <f t="shared" ref="W59:AZ59" si="16">SUM(W57:W58)</f>
        <v>0</v>
      </c>
      <c r="X59" s="19">
        <f t="shared" si="16"/>
        <v>0</v>
      </c>
      <c r="Y59" s="19">
        <f t="shared" si="16"/>
        <v>0</v>
      </c>
      <c r="Z59" s="19">
        <f t="shared" si="16"/>
        <v>0</v>
      </c>
      <c r="AA59" s="19">
        <f t="shared" si="16"/>
        <v>25000</v>
      </c>
      <c r="AB59" s="19">
        <f t="shared" si="16"/>
        <v>25000</v>
      </c>
      <c r="AC59" s="19">
        <f t="shared" si="16"/>
        <v>25000</v>
      </c>
      <c r="AD59" s="19">
        <f t="shared" si="16"/>
        <v>25000</v>
      </c>
      <c r="AE59" s="19">
        <f t="shared" si="16"/>
        <v>25000</v>
      </c>
      <c r="AF59" s="19">
        <f t="shared" si="16"/>
        <v>25000</v>
      </c>
      <c r="AG59" s="19">
        <f t="shared" si="16"/>
        <v>25000</v>
      </c>
      <c r="AH59" s="19">
        <f t="shared" si="16"/>
        <v>25000</v>
      </c>
      <c r="AI59" s="19">
        <f t="shared" si="16"/>
        <v>25000</v>
      </c>
      <c r="AJ59" s="19">
        <f t="shared" si="16"/>
        <v>25000</v>
      </c>
      <c r="AK59" s="19">
        <f t="shared" si="16"/>
        <v>25000</v>
      </c>
      <c r="AL59" s="19">
        <f t="shared" si="16"/>
        <v>25000</v>
      </c>
      <c r="AM59" s="19">
        <f t="shared" si="16"/>
        <v>25000</v>
      </c>
      <c r="AN59" s="19">
        <f t="shared" si="16"/>
        <v>25000</v>
      </c>
      <c r="AO59" s="19">
        <f t="shared" si="16"/>
        <v>25000</v>
      </c>
      <c r="AP59" s="19">
        <f t="shared" si="16"/>
        <v>25000</v>
      </c>
      <c r="AQ59" s="19">
        <f t="shared" si="16"/>
        <v>25000</v>
      </c>
      <c r="AR59" s="19">
        <f t="shared" si="16"/>
        <v>25000</v>
      </c>
      <c r="AS59" s="19">
        <f t="shared" si="16"/>
        <v>25000</v>
      </c>
      <c r="AT59" s="19">
        <f t="shared" si="16"/>
        <v>25000</v>
      </c>
      <c r="AU59" s="19">
        <f t="shared" si="16"/>
        <v>25000</v>
      </c>
      <c r="AV59" s="19">
        <f t="shared" si="16"/>
        <v>25000</v>
      </c>
      <c r="AW59" s="19">
        <f t="shared" si="16"/>
        <v>25000</v>
      </c>
      <c r="AX59" s="19">
        <f t="shared" si="16"/>
        <v>25000</v>
      </c>
      <c r="AY59" s="19">
        <f t="shared" si="16"/>
        <v>25000</v>
      </c>
      <c r="AZ59" s="19">
        <f t="shared" si="16"/>
        <v>25000</v>
      </c>
    </row>
    <row r="60" spans="1:52" x14ac:dyDescent="0.25">
      <c r="A60" s="708"/>
      <c r="B60" s="12"/>
      <c r="C60" s="13"/>
      <c r="D60" s="13"/>
      <c r="E60" s="13"/>
      <c r="F60" s="13"/>
      <c r="G60" s="13"/>
      <c r="H60" s="13"/>
      <c r="I60" s="13"/>
      <c r="J60" s="13"/>
      <c r="K60" s="14"/>
      <c r="L60" s="13"/>
      <c r="M60" s="14"/>
      <c r="N60" s="13"/>
      <c r="O60" s="14"/>
      <c r="P60" s="13"/>
      <c r="Q60" s="14"/>
      <c r="R60" s="13"/>
      <c r="S60" s="14"/>
      <c r="T60" s="14"/>
      <c r="U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row>
    <row r="61" spans="1:52" ht="13.8" thickBot="1" x14ac:dyDescent="0.3">
      <c r="A61" s="709"/>
      <c r="B61" s="20" t="s">
        <v>1483</v>
      </c>
      <c r="C61" s="21">
        <f t="shared" ref="C61:R61" si="17">+C59+C56+C29</f>
        <v>339561.32000000007</v>
      </c>
      <c r="D61" s="21">
        <f t="shared" si="17"/>
        <v>333169.57</v>
      </c>
      <c r="E61" s="21">
        <f t="shared" si="17"/>
        <v>430365.07</v>
      </c>
      <c r="F61" s="21">
        <f t="shared" si="17"/>
        <v>426045.84</v>
      </c>
      <c r="G61" s="21">
        <f t="shared" si="17"/>
        <v>432071.62</v>
      </c>
      <c r="H61" s="21">
        <f>+H59+H56+H29</f>
        <v>363646.25</v>
      </c>
      <c r="I61" s="21">
        <f t="shared" si="17"/>
        <v>363127.97</v>
      </c>
      <c r="J61" s="21">
        <f t="shared" ref="J61" si="18">+J59+J56+J29</f>
        <v>513019.85</v>
      </c>
      <c r="K61" s="22">
        <f t="shared" ref="K61:O61" si="19">+K59+K56+K29</f>
        <v>520551</v>
      </c>
      <c r="L61" s="21">
        <f t="shared" si="19"/>
        <v>495060.53</v>
      </c>
      <c r="M61" s="22">
        <f t="shared" si="19"/>
        <v>514047</v>
      </c>
      <c r="N61" s="21">
        <f t="shared" ref="N61" si="20">+N59+N56+N29</f>
        <v>489041.95000000007</v>
      </c>
      <c r="O61" s="22">
        <f t="shared" si="19"/>
        <v>505270</v>
      </c>
      <c r="P61" s="21">
        <f t="shared" ref="P61:Q61" si="21">+P59+P56+P29</f>
        <v>480263.57000000007</v>
      </c>
      <c r="Q61" s="22">
        <f t="shared" si="21"/>
        <v>483614</v>
      </c>
      <c r="R61" s="21">
        <f t="shared" si="17"/>
        <v>298854.74</v>
      </c>
      <c r="S61" s="22">
        <f>+S59+S56+S29</f>
        <v>478365.33</v>
      </c>
      <c r="T61" s="22">
        <f>+S61</f>
        <v>478365.33</v>
      </c>
      <c r="U61" s="22">
        <f>+S61</f>
        <v>478365.33</v>
      </c>
      <c r="W61" s="22">
        <f t="shared" ref="W61:AZ61" si="22">+W59+W56+W29</f>
        <v>495551.41000000003</v>
      </c>
      <c r="X61" s="22">
        <f t="shared" si="22"/>
        <v>489047</v>
      </c>
      <c r="Y61" s="22">
        <f t="shared" si="22"/>
        <v>480268.51</v>
      </c>
      <c r="Z61" s="22">
        <f t="shared" si="22"/>
        <v>458614.05</v>
      </c>
      <c r="AA61" s="22">
        <f t="shared" si="22"/>
        <v>478305.33</v>
      </c>
      <c r="AB61" s="22">
        <f t="shared" si="22"/>
        <v>480025.65</v>
      </c>
      <c r="AC61" s="22">
        <f t="shared" si="22"/>
        <v>475159.28</v>
      </c>
      <c r="AD61" s="22">
        <f t="shared" si="22"/>
        <v>435005.62</v>
      </c>
      <c r="AE61" s="22">
        <f t="shared" si="22"/>
        <v>432294.57</v>
      </c>
      <c r="AF61" s="22">
        <f t="shared" si="22"/>
        <v>432334.71</v>
      </c>
      <c r="AG61" s="22">
        <f t="shared" si="22"/>
        <v>436314.14</v>
      </c>
      <c r="AH61" s="22">
        <f t="shared" si="22"/>
        <v>436271.06</v>
      </c>
      <c r="AI61" s="22">
        <f t="shared" si="22"/>
        <v>436056.67</v>
      </c>
      <c r="AJ61" s="22">
        <f t="shared" si="22"/>
        <v>437549.13</v>
      </c>
      <c r="AK61" s="22">
        <f t="shared" si="22"/>
        <v>321716.58999999997</v>
      </c>
      <c r="AL61" s="22">
        <f t="shared" si="22"/>
        <v>321153.18</v>
      </c>
      <c r="AM61" s="22">
        <f t="shared" si="22"/>
        <v>321453</v>
      </c>
      <c r="AN61" s="22">
        <f t="shared" si="22"/>
        <v>322639.16000000003</v>
      </c>
      <c r="AO61" s="22">
        <f t="shared" si="22"/>
        <v>265880.73</v>
      </c>
      <c r="AP61" s="22">
        <f t="shared" si="22"/>
        <v>170398</v>
      </c>
      <c r="AQ61" s="22">
        <f t="shared" si="22"/>
        <v>169291</v>
      </c>
      <c r="AR61" s="22">
        <f t="shared" si="22"/>
        <v>170844</v>
      </c>
      <c r="AS61" s="22">
        <f t="shared" si="22"/>
        <v>172944</v>
      </c>
      <c r="AT61" s="22">
        <f t="shared" si="22"/>
        <v>165783</v>
      </c>
      <c r="AU61" s="22">
        <f t="shared" si="22"/>
        <v>83674</v>
      </c>
      <c r="AV61" s="22">
        <f t="shared" si="22"/>
        <v>54131</v>
      </c>
      <c r="AW61" s="22">
        <f t="shared" si="22"/>
        <v>55930</v>
      </c>
      <c r="AX61" s="22">
        <f t="shared" si="22"/>
        <v>55746</v>
      </c>
      <c r="AY61" s="22">
        <f t="shared" si="22"/>
        <v>25000</v>
      </c>
      <c r="AZ61" s="22">
        <f t="shared" si="22"/>
        <v>25000</v>
      </c>
    </row>
    <row r="62" spans="1:52" ht="13.8" thickTop="1" x14ac:dyDescent="0.25">
      <c r="A62" s="703"/>
      <c r="B62" s="4"/>
      <c r="C62" s="23"/>
      <c r="D62" s="23"/>
      <c r="E62" s="23"/>
      <c r="F62" s="23"/>
      <c r="G62" s="23"/>
      <c r="H62" s="23"/>
      <c r="I62" s="23"/>
      <c r="J62" s="23"/>
      <c r="K62" s="23"/>
      <c r="L62" s="23"/>
      <c r="M62" s="23"/>
      <c r="N62" s="23"/>
      <c r="O62" s="23"/>
      <c r="P62" s="23"/>
      <c r="Q62" s="23"/>
      <c r="R62" s="181" t="s">
        <v>732</v>
      </c>
      <c r="S62" s="1001">
        <f>+S61-Q61</f>
        <v>-5248.6699999999837</v>
      </c>
      <c r="T62" s="1002">
        <f>ROUND((+S62/Q61),4)</f>
        <v>-1.09E-2</v>
      </c>
      <c r="U62" s="25"/>
    </row>
    <row r="63" spans="1:52" x14ac:dyDescent="0.25">
      <c r="A63" s="703"/>
      <c r="B63" s="4"/>
      <c r="C63" s="259"/>
      <c r="D63" s="259"/>
      <c r="E63" s="259"/>
      <c r="F63" s="259" t="s">
        <v>1593</v>
      </c>
      <c r="G63" s="988"/>
      <c r="H63" s="988"/>
      <c r="I63" s="259"/>
      <c r="J63" s="259"/>
      <c r="K63" s="259"/>
      <c r="L63" s="259"/>
      <c r="M63" s="259"/>
      <c r="N63" s="259"/>
      <c r="O63" s="259"/>
      <c r="P63" s="259"/>
      <c r="Q63" s="259"/>
      <c r="R63" s="25"/>
      <c r="S63" s="259"/>
      <c r="T63" s="259"/>
      <c r="U63" s="548"/>
    </row>
    <row r="64" spans="1:52" x14ac:dyDescent="0.25">
      <c r="A64" s="703"/>
      <c r="B64" s="4"/>
      <c r="C64" s="259"/>
      <c r="D64" s="259"/>
      <c r="E64" s="259"/>
      <c r="F64" s="259"/>
      <c r="G64" s="988"/>
      <c r="H64" s="988"/>
      <c r="I64" s="259"/>
      <c r="J64" s="259"/>
      <c r="K64" s="259"/>
      <c r="L64" s="259"/>
      <c r="M64" s="259"/>
      <c r="N64" s="259"/>
      <c r="O64" s="259"/>
      <c r="P64" s="259"/>
      <c r="Q64" s="259"/>
      <c r="R64" s="25"/>
      <c r="S64" s="259"/>
      <c r="T64" s="259"/>
      <c r="U64" s="25"/>
    </row>
    <row r="65" spans="1:22" x14ac:dyDescent="0.25">
      <c r="A65" s="703"/>
      <c r="B65" s="4"/>
      <c r="C65" s="23"/>
      <c r="D65" s="23"/>
      <c r="E65" s="23"/>
      <c r="F65" s="23"/>
      <c r="G65" s="23"/>
      <c r="H65" s="23"/>
      <c r="I65" s="23"/>
      <c r="J65" s="23"/>
      <c r="K65" s="23"/>
      <c r="L65" s="23"/>
      <c r="M65" s="23"/>
      <c r="N65" s="23"/>
      <c r="O65" s="23"/>
      <c r="P65" s="23"/>
      <c r="Q65" s="23"/>
      <c r="R65" s="25"/>
      <c r="S65" s="23"/>
      <c r="T65" s="23"/>
      <c r="U65" s="23"/>
      <c r="V65" s="25"/>
    </row>
    <row r="66" spans="1:22" x14ac:dyDescent="0.25">
      <c r="A66" s="703"/>
      <c r="B66" s="4"/>
      <c r="C66" s="23"/>
      <c r="D66" s="23"/>
      <c r="E66" s="23"/>
      <c r="F66" s="23"/>
      <c r="G66" s="23"/>
      <c r="H66" s="23"/>
      <c r="I66" s="23"/>
      <c r="J66" s="23"/>
      <c r="K66" s="194"/>
      <c r="L66" s="23"/>
      <c r="M66" s="23"/>
      <c r="N66" s="23"/>
      <c r="O66" s="23"/>
      <c r="P66" s="23"/>
      <c r="Q66" s="23"/>
      <c r="R66" s="4"/>
      <c r="S66" s="23"/>
      <c r="T66" s="23"/>
      <c r="U66" s="23"/>
      <c r="V66" s="4"/>
    </row>
    <row r="67" spans="1:22" x14ac:dyDescent="0.25">
      <c r="A67" s="703"/>
      <c r="B67" s="4"/>
      <c r="C67" s="23"/>
      <c r="D67" s="23"/>
      <c r="E67" s="23"/>
      <c r="F67" s="23"/>
      <c r="G67" s="23"/>
      <c r="H67" s="23"/>
      <c r="I67" s="23"/>
      <c r="J67" s="23"/>
      <c r="K67" s="23"/>
      <c r="L67" s="23"/>
      <c r="M67" s="23"/>
      <c r="N67" s="23"/>
      <c r="O67" s="23"/>
      <c r="P67" s="23"/>
      <c r="Q67" s="23"/>
      <c r="R67" s="4"/>
      <c r="S67" s="23"/>
      <c r="T67" s="23"/>
      <c r="U67" s="23"/>
      <c r="V67" s="4"/>
    </row>
    <row r="68" spans="1:22" x14ac:dyDescent="0.25">
      <c r="A68" s="703"/>
      <c r="B68" s="4"/>
      <c r="C68" s="23"/>
      <c r="D68" s="23"/>
      <c r="E68" s="23"/>
      <c r="F68" s="23"/>
      <c r="G68" s="23"/>
      <c r="H68" s="23"/>
      <c r="I68" s="23"/>
      <c r="J68" s="23"/>
      <c r="K68" s="23"/>
      <c r="L68" s="23"/>
      <c r="M68" s="23"/>
      <c r="N68" s="23"/>
      <c r="O68" s="23"/>
      <c r="P68" s="23"/>
      <c r="Q68" s="23"/>
      <c r="R68" s="4"/>
      <c r="S68" s="23"/>
      <c r="T68" s="23"/>
      <c r="U68" s="23"/>
      <c r="V68" s="4"/>
    </row>
    <row r="69" spans="1:22" x14ac:dyDescent="0.25">
      <c r="A69" s="703"/>
      <c r="B69" s="4"/>
      <c r="C69" s="23"/>
      <c r="D69" s="23"/>
      <c r="E69" s="23"/>
      <c r="F69" s="23"/>
      <c r="G69" s="23"/>
      <c r="H69" s="23"/>
      <c r="I69" s="23"/>
      <c r="J69" s="23"/>
      <c r="K69" s="23"/>
      <c r="L69" s="23"/>
      <c r="M69" s="23"/>
      <c r="N69" s="23"/>
      <c r="O69" s="23"/>
      <c r="P69" s="23"/>
      <c r="Q69" s="23"/>
      <c r="R69" s="4"/>
      <c r="S69" s="23"/>
      <c r="T69" s="23"/>
      <c r="U69" s="23"/>
      <c r="V69" s="4"/>
    </row>
    <row r="70" spans="1:22" x14ac:dyDescent="0.25">
      <c r="A70" s="703"/>
      <c r="B70" s="4"/>
      <c r="C70" s="23"/>
      <c r="D70" s="23"/>
      <c r="E70" s="23"/>
      <c r="F70" s="23"/>
      <c r="G70" s="23"/>
      <c r="H70" s="23"/>
      <c r="I70" s="23"/>
      <c r="J70" s="23"/>
      <c r="K70" s="23"/>
      <c r="L70" s="23"/>
      <c r="M70" s="23"/>
      <c r="N70" s="23"/>
      <c r="O70" s="23"/>
      <c r="P70" s="23"/>
      <c r="Q70" s="23"/>
      <c r="R70" s="4"/>
      <c r="S70" s="23"/>
      <c r="T70" s="23"/>
      <c r="U70" s="23"/>
      <c r="V70" s="4"/>
    </row>
    <row r="71" spans="1:22" x14ac:dyDescent="0.25">
      <c r="A71" s="703"/>
      <c r="B71" s="4"/>
      <c r="C71" s="23"/>
      <c r="D71" s="23"/>
      <c r="E71" s="23"/>
      <c r="F71" s="23"/>
      <c r="G71" s="23"/>
      <c r="H71" s="23"/>
      <c r="I71" s="23"/>
      <c r="J71" s="23"/>
      <c r="K71" s="23"/>
      <c r="L71" s="23"/>
      <c r="M71" s="23"/>
      <c r="N71" s="23"/>
      <c r="O71" s="23"/>
      <c r="P71" s="23"/>
      <c r="Q71" s="23"/>
      <c r="R71" s="4"/>
      <c r="S71" s="23"/>
      <c r="T71" s="23"/>
      <c r="U71" s="23"/>
      <c r="V71" s="4"/>
    </row>
    <row r="72" spans="1:22" x14ac:dyDescent="0.25">
      <c r="A72" s="703"/>
      <c r="B72" s="4"/>
      <c r="C72" s="23"/>
      <c r="D72" s="23"/>
      <c r="E72" s="23"/>
      <c r="F72" s="23"/>
      <c r="G72" s="23"/>
      <c r="H72" s="23"/>
      <c r="I72" s="23"/>
      <c r="J72" s="23"/>
      <c r="K72" s="23"/>
      <c r="L72" s="23"/>
      <c r="M72" s="23"/>
      <c r="N72" s="23"/>
      <c r="O72" s="23"/>
      <c r="P72" s="23"/>
      <c r="Q72" s="23"/>
      <c r="R72" s="4"/>
      <c r="S72" s="23"/>
      <c r="T72" s="23"/>
      <c r="U72" s="23"/>
      <c r="V72" s="4"/>
    </row>
    <row r="73" spans="1:22" x14ac:dyDescent="0.25">
      <c r="A73" s="703"/>
      <c r="B73" s="4"/>
      <c r="C73" s="23"/>
      <c r="D73" s="23"/>
      <c r="E73" s="23"/>
      <c r="F73" s="23"/>
      <c r="G73" s="23"/>
      <c r="H73" s="23"/>
      <c r="I73" s="23"/>
      <c r="J73" s="23"/>
      <c r="K73" s="23"/>
      <c r="L73" s="23"/>
      <c r="M73" s="23"/>
      <c r="N73" s="23"/>
      <c r="O73" s="23"/>
      <c r="P73" s="23"/>
      <c r="Q73" s="23"/>
      <c r="R73" s="4"/>
      <c r="S73" s="23"/>
      <c r="T73" s="23"/>
      <c r="U73" s="23"/>
      <c r="V73" s="4"/>
    </row>
    <row r="74" spans="1:22" x14ac:dyDescent="0.25">
      <c r="A74" s="703"/>
      <c r="B74" s="4"/>
      <c r="C74" s="23"/>
      <c r="D74" s="23"/>
      <c r="E74" s="23"/>
      <c r="F74" s="23"/>
      <c r="G74" s="23"/>
      <c r="H74" s="23"/>
      <c r="I74" s="23"/>
      <c r="J74" s="23"/>
      <c r="K74" s="23"/>
      <c r="L74" s="23"/>
      <c r="M74" s="23"/>
      <c r="N74" s="23"/>
      <c r="O74" s="23"/>
      <c r="P74" s="23"/>
      <c r="Q74" s="23"/>
      <c r="R74" s="4"/>
      <c r="S74" s="23"/>
      <c r="T74" s="23"/>
      <c r="U74" s="23"/>
      <c r="V74" s="4"/>
    </row>
    <row r="75" spans="1:22" x14ac:dyDescent="0.25">
      <c r="A75" s="703"/>
      <c r="B75" s="4"/>
      <c r="C75" s="23"/>
      <c r="D75" s="23"/>
      <c r="E75" s="23"/>
      <c r="F75" s="23"/>
      <c r="G75" s="23"/>
      <c r="H75" s="23"/>
      <c r="I75" s="23"/>
      <c r="J75" s="23"/>
      <c r="K75" s="23"/>
      <c r="L75" s="23"/>
      <c r="M75" s="23"/>
      <c r="N75" s="23"/>
      <c r="O75" s="23"/>
      <c r="P75" s="23"/>
      <c r="Q75" s="23"/>
      <c r="R75" s="4"/>
      <c r="S75" s="23"/>
      <c r="T75" s="23"/>
      <c r="U75" s="23"/>
      <c r="V75" s="4"/>
    </row>
    <row r="76" spans="1:22" x14ac:dyDescent="0.25">
      <c r="A76" s="703"/>
      <c r="B76" s="4"/>
      <c r="C76" s="23"/>
      <c r="D76" s="23"/>
      <c r="E76" s="23"/>
      <c r="F76" s="23"/>
      <c r="G76" s="23"/>
      <c r="H76" s="23"/>
      <c r="I76" s="23"/>
      <c r="J76" s="23"/>
      <c r="K76" s="23"/>
      <c r="L76" s="23"/>
      <c r="M76" s="23"/>
      <c r="N76" s="23"/>
      <c r="O76" s="23"/>
      <c r="P76" s="23"/>
      <c r="Q76" s="23"/>
      <c r="R76" s="4"/>
      <c r="S76" s="23"/>
      <c r="T76" s="23"/>
      <c r="U76" s="23"/>
      <c r="V76" s="4"/>
    </row>
    <row r="77" spans="1:22" x14ac:dyDescent="0.25">
      <c r="A77" s="703"/>
      <c r="B77" s="4"/>
      <c r="C77" s="23"/>
      <c r="D77" s="23"/>
      <c r="E77" s="23"/>
      <c r="F77" s="23"/>
      <c r="G77" s="23"/>
      <c r="H77" s="23"/>
      <c r="I77" s="23"/>
      <c r="J77" s="23"/>
      <c r="K77" s="23"/>
      <c r="L77" s="23"/>
      <c r="M77" s="23"/>
      <c r="N77" s="23"/>
      <c r="O77" s="23"/>
      <c r="P77" s="23"/>
      <c r="Q77" s="23"/>
      <c r="R77" s="4"/>
      <c r="S77" s="23"/>
      <c r="T77" s="23"/>
      <c r="U77" s="23"/>
      <c r="V77" s="4"/>
    </row>
    <row r="78" spans="1:22" x14ac:dyDescent="0.25">
      <c r="A78" s="703"/>
      <c r="B78" s="4"/>
      <c r="C78" s="23"/>
      <c r="D78" s="23"/>
      <c r="E78" s="23"/>
      <c r="F78" s="23"/>
      <c r="G78" s="23"/>
      <c r="H78" s="23"/>
      <c r="I78" s="23"/>
      <c r="J78" s="23"/>
      <c r="K78" s="23"/>
      <c r="L78" s="23"/>
      <c r="M78" s="23"/>
      <c r="N78" s="23"/>
      <c r="O78" s="23"/>
      <c r="P78" s="23"/>
      <c r="Q78" s="23"/>
      <c r="R78" s="4"/>
      <c r="S78" s="23"/>
      <c r="T78" s="23"/>
      <c r="U78" s="23"/>
      <c r="V78" s="4"/>
    </row>
    <row r="79" spans="1:22" x14ac:dyDescent="0.25">
      <c r="A79" s="703"/>
      <c r="B79" s="4"/>
      <c r="C79" s="23"/>
      <c r="D79" s="23"/>
      <c r="E79" s="23"/>
      <c r="F79" s="23"/>
      <c r="G79" s="23"/>
      <c r="H79" s="23"/>
      <c r="I79" s="23"/>
      <c r="J79" s="23"/>
      <c r="K79" s="23"/>
      <c r="L79" s="23"/>
      <c r="M79" s="23"/>
      <c r="N79" s="23"/>
      <c r="O79" s="23"/>
      <c r="P79" s="23"/>
      <c r="Q79" s="23"/>
      <c r="R79" s="4"/>
      <c r="S79" s="23"/>
      <c r="T79" s="23"/>
      <c r="U79" s="23"/>
      <c r="V79" s="4"/>
    </row>
    <row r="80" spans="1:22" x14ac:dyDescent="0.25">
      <c r="A80" s="703"/>
      <c r="B80" s="4"/>
      <c r="C80" s="23"/>
      <c r="D80" s="23"/>
      <c r="E80" s="23"/>
      <c r="F80" s="23"/>
      <c r="G80" s="23"/>
      <c r="H80" s="23"/>
      <c r="I80" s="23"/>
      <c r="J80" s="23"/>
      <c r="K80" s="23"/>
      <c r="L80" s="23"/>
      <c r="M80" s="23"/>
      <c r="N80" s="23"/>
      <c r="O80" s="23"/>
      <c r="P80" s="23"/>
      <c r="Q80" s="23"/>
      <c r="R80" s="4"/>
      <c r="S80" s="23"/>
      <c r="T80" s="23"/>
      <c r="U80" s="23"/>
      <c r="V80" s="4"/>
    </row>
    <row r="81" spans="1:22" x14ac:dyDescent="0.25">
      <c r="A81" s="703"/>
      <c r="B81" s="4"/>
      <c r="C81" s="23"/>
      <c r="D81" s="23"/>
      <c r="E81" s="23"/>
      <c r="F81" s="23"/>
      <c r="G81" s="23"/>
      <c r="H81" s="23"/>
      <c r="I81" s="23"/>
      <c r="J81" s="23"/>
      <c r="K81" s="23"/>
      <c r="L81" s="23"/>
      <c r="M81" s="23"/>
      <c r="N81" s="23"/>
      <c r="O81" s="23"/>
      <c r="P81" s="23"/>
      <c r="Q81" s="23"/>
      <c r="R81" s="4"/>
      <c r="S81" s="23"/>
      <c r="T81" s="23"/>
      <c r="U81" s="23"/>
      <c r="V81" s="4"/>
    </row>
    <row r="82" spans="1:22" x14ac:dyDescent="0.25">
      <c r="A82" s="703"/>
      <c r="B82" s="4"/>
      <c r="C82" s="23"/>
      <c r="D82" s="23"/>
      <c r="E82" s="23"/>
      <c r="F82" s="23"/>
      <c r="G82" s="23"/>
      <c r="H82" s="23"/>
      <c r="I82" s="23"/>
      <c r="J82" s="23"/>
      <c r="K82" s="23"/>
      <c r="L82" s="23"/>
      <c r="M82" s="23"/>
      <c r="N82" s="23"/>
      <c r="O82" s="23"/>
      <c r="P82" s="23"/>
      <c r="Q82" s="23"/>
      <c r="R82" s="4"/>
      <c r="S82" s="23"/>
      <c r="T82" s="23"/>
      <c r="U82" s="23"/>
      <c r="V82" s="4"/>
    </row>
    <row r="83" spans="1:22" x14ac:dyDescent="0.25">
      <c r="A83" s="703"/>
      <c r="B83" s="4"/>
      <c r="C83" s="23"/>
      <c r="D83" s="23"/>
      <c r="E83" s="23"/>
      <c r="F83" s="23"/>
      <c r="G83" s="23"/>
      <c r="H83" s="23"/>
      <c r="I83" s="23"/>
      <c r="J83" s="23"/>
      <c r="K83" s="23"/>
      <c r="L83" s="23"/>
      <c r="M83" s="23"/>
      <c r="N83" s="23"/>
      <c r="O83" s="23"/>
      <c r="P83" s="23"/>
      <c r="Q83" s="23"/>
      <c r="R83" s="4"/>
      <c r="S83" s="23"/>
      <c r="T83" s="23"/>
      <c r="U83" s="23"/>
      <c r="V83" s="4"/>
    </row>
    <row r="84" spans="1:22" x14ac:dyDescent="0.25">
      <c r="A84" s="703"/>
      <c r="B84" s="4"/>
      <c r="C84" s="23"/>
      <c r="D84" s="23"/>
      <c r="E84" s="23"/>
      <c r="F84" s="23"/>
      <c r="G84" s="23"/>
      <c r="H84" s="23"/>
      <c r="I84" s="23"/>
      <c r="J84" s="23"/>
      <c r="K84" s="23"/>
      <c r="L84" s="23"/>
      <c r="M84" s="23"/>
      <c r="N84" s="23"/>
      <c r="O84" s="23"/>
      <c r="P84" s="23"/>
      <c r="Q84" s="23"/>
      <c r="R84" s="4"/>
      <c r="S84" s="23"/>
      <c r="T84" s="23"/>
      <c r="U84" s="23"/>
      <c r="V84" s="4"/>
    </row>
    <row r="85" spans="1:22" x14ac:dyDescent="0.25">
      <c r="A85" s="703"/>
      <c r="B85" s="4"/>
      <c r="C85" s="23"/>
      <c r="D85" s="23"/>
      <c r="E85" s="23"/>
      <c r="F85" s="23"/>
      <c r="G85" s="23"/>
      <c r="H85" s="23"/>
      <c r="I85" s="23"/>
      <c r="J85" s="23"/>
      <c r="K85" s="23"/>
      <c r="L85" s="23"/>
      <c r="M85" s="23"/>
      <c r="N85" s="23"/>
      <c r="O85" s="23"/>
      <c r="P85" s="23"/>
      <c r="Q85" s="23"/>
      <c r="R85" s="4"/>
      <c r="S85" s="23"/>
      <c r="T85" s="23"/>
      <c r="U85" s="23"/>
      <c r="V85" s="4"/>
    </row>
    <row r="86" spans="1:22" x14ac:dyDescent="0.25">
      <c r="A86" s="703"/>
      <c r="B86" s="4"/>
      <c r="C86" s="23"/>
      <c r="D86" s="23"/>
      <c r="E86" s="23"/>
      <c r="F86" s="23"/>
      <c r="G86" s="23"/>
      <c r="H86" s="23"/>
      <c r="I86" s="23"/>
      <c r="J86" s="23"/>
      <c r="K86" s="23"/>
      <c r="L86" s="23"/>
      <c r="M86" s="23"/>
      <c r="N86" s="23"/>
      <c r="O86" s="23"/>
      <c r="P86" s="23"/>
      <c r="Q86" s="23"/>
      <c r="R86" s="4"/>
      <c r="S86" s="23"/>
      <c r="T86" s="23"/>
      <c r="U86" s="23"/>
      <c r="V86" s="4"/>
    </row>
    <row r="87" spans="1:22" x14ac:dyDescent="0.25">
      <c r="A87" s="703"/>
      <c r="B87" s="4"/>
      <c r="C87" s="23"/>
      <c r="D87" s="23"/>
      <c r="E87" s="23"/>
      <c r="F87" s="23"/>
      <c r="G87" s="23"/>
      <c r="H87" s="23"/>
      <c r="I87" s="23"/>
      <c r="J87" s="23"/>
      <c r="K87" s="23"/>
      <c r="L87" s="23"/>
      <c r="M87" s="23"/>
      <c r="N87" s="23"/>
      <c r="O87" s="23"/>
      <c r="P87" s="23"/>
      <c r="Q87" s="23"/>
      <c r="R87" s="4"/>
      <c r="S87" s="23"/>
      <c r="T87" s="23"/>
      <c r="U87" s="23"/>
      <c r="V87" s="4"/>
    </row>
    <row r="88" spans="1:22" x14ac:dyDescent="0.25">
      <c r="A88" s="703"/>
      <c r="B88" s="4"/>
      <c r="C88" s="23"/>
      <c r="D88" s="23"/>
      <c r="E88" s="23"/>
      <c r="F88" s="23"/>
      <c r="G88" s="23"/>
      <c r="H88" s="23"/>
      <c r="I88" s="23"/>
      <c r="J88" s="23"/>
      <c r="K88" s="23"/>
      <c r="L88" s="23"/>
      <c r="M88" s="23"/>
      <c r="N88" s="23"/>
      <c r="O88" s="23"/>
      <c r="P88" s="23"/>
      <c r="Q88" s="23"/>
      <c r="R88" s="4"/>
      <c r="S88" s="23"/>
      <c r="T88" s="23"/>
      <c r="U88" s="23"/>
      <c r="V88" s="4"/>
    </row>
    <row r="89" spans="1:22" x14ac:dyDescent="0.25">
      <c r="A89" s="703"/>
      <c r="B89" s="4"/>
      <c r="C89" s="23"/>
      <c r="D89" s="23"/>
      <c r="E89" s="23"/>
      <c r="F89" s="23"/>
      <c r="G89" s="23"/>
      <c r="H89" s="23"/>
      <c r="I89" s="23"/>
      <c r="J89" s="23"/>
      <c r="K89" s="23"/>
      <c r="L89" s="23"/>
      <c r="M89" s="23"/>
      <c r="N89" s="23"/>
      <c r="O89" s="23"/>
      <c r="P89" s="23"/>
      <c r="Q89" s="23"/>
      <c r="R89" s="4"/>
      <c r="S89" s="23"/>
      <c r="T89" s="23"/>
      <c r="U89" s="23"/>
      <c r="V89" s="4"/>
    </row>
    <row r="90" spans="1:22" x14ac:dyDescent="0.25">
      <c r="A90" s="703"/>
      <c r="B90" s="4"/>
      <c r="C90" s="23"/>
      <c r="D90" s="23"/>
      <c r="E90" s="23"/>
      <c r="F90" s="23"/>
      <c r="G90" s="23"/>
      <c r="H90" s="23"/>
      <c r="I90" s="23"/>
      <c r="J90" s="23"/>
      <c r="K90" s="23"/>
      <c r="L90" s="23"/>
      <c r="M90" s="23"/>
      <c r="N90" s="23"/>
      <c r="O90" s="23"/>
      <c r="P90" s="23"/>
      <c r="Q90" s="23"/>
      <c r="R90" s="4"/>
      <c r="S90" s="23"/>
      <c r="T90" s="23"/>
      <c r="U90" s="23"/>
      <c r="V90" s="4"/>
    </row>
    <row r="91" spans="1:22" x14ac:dyDescent="0.25">
      <c r="A91" s="703"/>
      <c r="B91" s="4"/>
      <c r="C91" s="23"/>
      <c r="D91" s="23"/>
      <c r="E91" s="23"/>
      <c r="F91" s="23"/>
      <c r="G91" s="23"/>
      <c r="H91" s="23"/>
      <c r="I91" s="23"/>
      <c r="J91" s="23"/>
      <c r="K91" s="23"/>
      <c r="L91" s="23"/>
      <c r="M91" s="23"/>
      <c r="N91" s="23"/>
      <c r="O91" s="23"/>
      <c r="P91" s="23"/>
      <c r="Q91" s="23"/>
      <c r="R91" s="4"/>
      <c r="S91" s="23"/>
      <c r="T91" s="23"/>
      <c r="U91" s="23"/>
      <c r="V91" s="4"/>
    </row>
    <row r="92" spans="1:22" x14ac:dyDescent="0.25">
      <c r="A92" s="703"/>
      <c r="B92" s="4"/>
      <c r="C92" s="23"/>
      <c r="D92" s="23"/>
      <c r="E92" s="23"/>
      <c r="F92" s="23"/>
      <c r="G92" s="23"/>
      <c r="H92" s="23"/>
      <c r="I92" s="23"/>
      <c r="J92" s="23"/>
      <c r="K92" s="23"/>
      <c r="L92" s="23"/>
      <c r="M92" s="23"/>
      <c r="N92" s="23"/>
      <c r="O92" s="23"/>
      <c r="P92" s="23"/>
      <c r="Q92" s="23"/>
      <c r="R92" s="4"/>
      <c r="S92" s="23"/>
      <c r="T92" s="23"/>
      <c r="U92" s="23"/>
      <c r="V92" s="4"/>
    </row>
    <row r="93" spans="1:22" x14ac:dyDescent="0.25">
      <c r="A93" s="703"/>
      <c r="B93" s="4"/>
      <c r="C93" s="23"/>
      <c r="D93" s="23"/>
      <c r="E93" s="23"/>
      <c r="F93" s="23"/>
      <c r="G93" s="23"/>
      <c r="H93" s="23"/>
      <c r="I93" s="23"/>
      <c r="J93" s="23"/>
      <c r="K93" s="23"/>
      <c r="L93" s="23"/>
      <c r="M93" s="23"/>
      <c r="N93" s="23"/>
      <c r="O93" s="23"/>
      <c r="P93" s="23"/>
      <c r="Q93" s="23"/>
      <c r="R93" s="4"/>
      <c r="S93" s="23"/>
      <c r="T93" s="23"/>
      <c r="U93" s="23"/>
      <c r="V93" s="4"/>
    </row>
    <row r="94" spans="1:22" x14ac:dyDescent="0.25">
      <c r="A94" s="703"/>
      <c r="B94" s="4"/>
      <c r="C94" s="23"/>
      <c r="D94" s="23"/>
      <c r="E94" s="23"/>
      <c r="F94" s="23"/>
      <c r="G94" s="23"/>
      <c r="H94" s="23"/>
      <c r="I94" s="23"/>
      <c r="J94" s="23"/>
      <c r="K94" s="23"/>
      <c r="L94" s="23"/>
      <c r="M94" s="23"/>
      <c r="N94" s="23"/>
      <c r="O94" s="23"/>
      <c r="P94" s="23"/>
      <c r="Q94" s="23"/>
      <c r="R94" s="4"/>
      <c r="S94" s="23"/>
      <c r="T94" s="23"/>
      <c r="U94" s="23"/>
      <c r="V94" s="4"/>
    </row>
    <row r="95" spans="1:22" x14ac:dyDescent="0.25">
      <c r="A95" s="703"/>
      <c r="B95" s="4"/>
      <c r="C95" s="23"/>
      <c r="D95" s="23"/>
      <c r="E95" s="23"/>
      <c r="F95" s="23"/>
      <c r="G95" s="23"/>
      <c r="H95" s="23"/>
      <c r="I95" s="23"/>
      <c r="J95" s="23"/>
      <c r="K95" s="23"/>
      <c r="L95" s="23"/>
      <c r="M95" s="23"/>
      <c r="N95" s="23"/>
      <c r="O95" s="23"/>
      <c r="P95" s="23"/>
      <c r="Q95" s="23"/>
      <c r="R95" s="4"/>
      <c r="S95" s="23"/>
      <c r="T95" s="23"/>
      <c r="U95" s="23"/>
      <c r="V95" s="4"/>
    </row>
    <row r="96" spans="1:22" x14ac:dyDescent="0.25">
      <c r="A96" s="703"/>
      <c r="B96" s="4"/>
      <c r="C96" s="23"/>
      <c r="D96" s="23"/>
      <c r="E96" s="23"/>
      <c r="F96" s="23"/>
      <c r="G96" s="23"/>
      <c r="H96" s="23"/>
      <c r="I96" s="23"/>
      <c r="J96" s="23"/>
      <c r="K96" s="23"/>
      <c r="L96" s="23"/>
      <c r="M96" s="23"/>
      <c r="N96" s="23"/>
      <c r="O96" s="23"/>
      <c r="P96" s="23"/>
      <c r="Q96" s="23"/>
      <c r="R96" s="4"/>
      <c r="S96" s="23"/>
      <c r="T96" s="23"/>
      <c r="U96" s="23"/>
      <c r="V96" s="4"/>
    </row>
    <row r="97" spans="1:22" x14ac:dyDescent="0.25">
      <c r="A97" s="703"/>
      <c r="B97" s="4"/>
      <c r="C97" s="23"/>
      <c r="D97" s="23"/>
      <c r="E97" s="23"/>
      <c r="F97" s="23"/>
      <c r="G97" s="23"/>
      <c r="H97" s="23"/>
      <c r="I97" s="23"/>
      <c r="J97" s="23"/>
      <c r="K97" s="23"/>
      <c r="L97" s="23"/>
      <c r="M97" s="23"/>
      <c r="N97" s="23"/>
      <c r="O97" s="23"/>
      <c r="P97" s="23"/>
      <c r="Q97" s="23"/>
      <c r="R97" s="4"/>
      <c r="S97" s="23"/>
      <c r="T97" s="23"/>
      <c r="U97" s="23"/>
      <c r="V97" s="4"/>
    </row>
    <row r="98" spans="1:22" x14ac:dyDescent="0.25">
      <c r="A98" s="703"/>
      <c r="B98" s="4"/>
      <c r="C98" s="23"/>
      <c r="D98" s="23"/>
      <c r="E98" s="23"/>
      <c r="F98" s="23"/>
      <c r="G98" s="23"/>
      <c r="H98" s="23"/>
      <c r="I98" s="23"/>
      <c r="J98" s="23"/>
      <c r="K98" s="23"/>
      <c r="L98" s="23"/>
      <c r="M98" s="23"/>
      <c r="N98" s="23"/>
      <c r="O98" s="23"/>
      <c r="P98" s="23"/>
      <c r="Q98" s="23"/>
      <c r="R98" s="4"/>
      <c r="S98" s="23"/>
      <c r="T98" s="23"/>
      <c r="U98" s="23"/>
      <c r="V98" s="4"/>
    </row>
    <row r="99" spans="1:22" x14ac:dyDescent="0.25">
      <c r="A99" s="703"/>
      <c r="B99" s="4"/>
      <c r="C99" s="23"/>
      <c r="D99" s="23"/>
      <c r="E99" s="23"/>
      <c r="F99" s="23"/>
      <c r="G99" s="23"/>
      <c r="H99" s="23"/>
      <c r="I99" s="23"/>
      <c r="J99" s="23"/>
      <c r="K99" s="23"/>
      <c r="L99" s="23"/>
      <c r="M99" s="23"/>
      <c r="N99" s="23"/>
      <c r="O99" s="23"/>
      <c r="P99" s="23"/>
      <c r="Q99" s="23"/>
      <c r="R99" s="4"/>
      <c r="S99" s="23"/>
      <c r="T99" s="23"/>
      <c r="U99" s="23"/>
      <c r="V99" s="4"/>
    </row>
    <row r="100" spans="1:22" x14ac:dyDescent="0.25">
      <c r="A100" s="703"/>
      <c r="B100" s="4"/>
      <c r="C100" s="23"/>
      <c r="D100" s="23"/>
      <c r="E100" s="23"/>
      <c r="F100" s="23"/>
      <c r="G100" s="23"/>
      <c r="H100" s="23"/>
      <c r="I100" s="23"/>
      <c r="J100" s="23"/>
      <c r="K100" s="23"/>
      <c r="L100" s="23"/>
      <c r="M100" s="23"/>
      <c r="N100" s="23"/>
      <c r="O100" s="23"/>
      <c r="P100" s="23"/>
      <c r="Q100" s="23"/>
      <c r="R100" s="4"/>
      <c r="S100" s="23"/>
      <c r="T100" s="23"/>
      <c r="U100" s="23"/>
      <c r="V100" s="4"/>
    </row>
    <row r="101" spans="1:22" x14ac:dyDescent="0.25">
      <c r="A101" s="703"/>
      <c r="B101" s="4"/>
      <c r="C101" s="23"/>
      <c r="D101" s="23"/>
      <c r="E101" s="23"/>
      <c r="F101" s="23"/>
      <c r="G101" s="23"/>
      <c r="H101" s="23"/>
      <c r="I101" s="23"/>
      <c r="J101" s="23"/>
      <c r="K101" s="23"/>
      <c r="L101" s="23"/>
      <c r="M101" s="23"/>
      <c r="N101" s="23"/>
      <c r="O101" s="23"/>
      <c r="P101" s="23"/>
      <c r="Q101" s="23"/>
      <c r="R101" s="4"/>
      <c r="S101" s="23"/>
      <c r="T101" s="23"/>
      <c r="U101" s="23"/>
      <c r="V101" s="4"/>
    </row>
    <row r="102" spans="1:22" x14ac:dyDescent="0.25">
      <c r="A102" s="703"/>
      <c r="B102" s="4"/>
      <c r="C102" s="23"/>
      <c r="D102" s="23"/>
      <c r="E102" s="23"/>
      <c r="F102" s="23"/>
      <c r="G102" s="23"/>
      <c r="H102" s="23"/>
      <c r="I102" s="23"/>
      <c r="J102" s="23"/>
      <c r="K102" s="23"/>
      <c r="L102" s="23"/>
      <c r="M102" s="23"/>
      <c r="N102" s="23"/>
      <c r="O102" s="23"/>
      <c r="P102" s="23"/>
      <c r="Q102" s="23"/>
      <c r="R102" s="4"/>
      <c r="S102" s="23"/>
      <c r="T102" s="23"/>
      <c r="U102" s="23"/>
      <c r="V102" s="4"/>
    </row>
    <row r="103" spans="1:22" x14ac:dyDescent="0.25">
      <c r="A103" s="703"/>
      <c r="B103" s="4"/>
      <c r="C103" s="23"/>
      <c r="D103" s="23"/>
      <c r="E103" s="23"/>
      <c r="F103" s="23"/>
      <c r="G103" s="23"/>
      <c r="H103" s="23"/>
      <c r="I103" s="23"/>
      <c r="J103" s="23"/>
      <c r="K103" s="23"/>
      <c r="L103" s="23"/>
      <c r="M103" s="23"/>
      <c r="N103" s="23"/>
      <c r="O103" s="23"/>
      <c r="P103" s="23"/>
      <c r="Q103" s="23"/>
      <c r="R103" s="4"/>
      <c r="S103" s="23"/>
      <c r="T103" s="23"/>
      <c r="U103" s="23"/>
      <c r="V103" s="4"/>
    </row>
    <row r="104" spans="1:22" x14ac:dyDescent="0.25">
      <c r="A104" s="703"/>
      <c r="B104" s="4"/>
      <c r="C104" s="23"/>
      <c r="D104" s="23"/>
      <c r="E104" s="23"/>
      <c r="F104" s="23"/>
      <c r="G104" s="23"/>
      <c r="H104" s="23"/>
      <c r="I104" s="23"/>
      <c r="J104" s="23"/>
      <c r="K104" s="23"/>
      <c r="L104" s="23"/>
      <c r="M104" s="23"/>
      <c r="N104" s="23"/>
      <c r="O104" s="23"/>
      <c r="P104" s="23"/>
      <c r="Q104" s="23"/>
      <c r="R104" s="4"/>
      <c r="S104" s="23"/>
      <c r="T104" s="23"/>
      <c r="U104" s="23"/>
      <c r="V104" s="4"/>
    </row>
    <row r="105" spans="1:22" x14ac:dyDescent="0.25">
      <c r="A105" s="703"/>
      <c r="B105" s="4"/>
      <c r="C105" s="23"/>
      <c r="D105" s="23"/>
      <c r="E105" s="23"/>
      <c r="F105" s="23"/>
      <c r="G105" s="23"/>
      <c r="H105" s="23"/>
      <c r="I105" s="23"/>
      <c r="J105" s="23"/>
      <c r="K105" s="23"/>
      <c r="L105" s="23"/>
      <c r="M105" s="23"/>
      <c r="N105" s="23"/>
      <c r="O105" s="23"/>
      <c r="P105" s="23"/>
      <c r="Q105" s="23"/>
      <c r="R105" s="4"/>
      <c r="S105" s="23"/>
      <c r="T105" s="23"/>
      <c r="U105" s="23"/>
      <c r="V105" s="4"/>
    </row>
    <row r="106" spans="1:22" x14ac:dyDescent="0.25">
      <c r="A106" s="703"/>
      <c r="B106" s="4"/>
      <c r="C106" s="23"/>
      <c r="D106" s="23"/>
      <c r="E106" s="23"/>
      <c r="F106" s="23"/>
      <c r="G106" s="23"/>
      <c r="H106" s="23"/>
      <c r="I106" s="23"/>
      <c r="J106" s="23"/>
      <c r="K106" s="23"/>
      <c r="L106" s="23"/>
      <c r="M106" s="23"/>
      <c r="N106" s="23"/>
      <c r="O106" s="23"/>
      <c r="P106" s="23"/>
      <c r="Q106" s="23"/>
      <c r="R106" s="4"/>
      <c r="S106" s="23"/>
      <c r="T106" s="23"/>
      <c r="U106" s="23"/>
      <c r="V106" s="4"/>
    </row>
    <row r="107" spans="1:22" x14ac:dyDescent="0.25">
      <c r="A107" s="703"/>
      <c r="B107" s="4"/>
      <c r="C107" s="23"/>
      <c r="D107" s="23"/>
      <c r="E107" s="23"/>
      <c r="F107" s="23"/>
      <c r="G107" s="23"/>
      <c r="H107" s="23"/>
      <c r="I107" s="23"/>
      <c r="J107" s="23"/>
      <c r="K107" s="23"/>
      <c r="L107" s="23"/>
      <c r="M107" s="23"/>
      <c r="N107" s="23"/>
      <c r="O107" s="23"/>
      <c r="P107" s="23"/>
      <c r="Q107" s="23"/>
      <c r="R107" s="4"/>
      <c r="S107" s="23"/>
      <c r="T107" s="23"/>
      <c r="U107" s="23"/>
      <c r="V107" s="4"/>
    </row>
    <row r="108" spans="1:22" x14ac:dyDescent="0.25">
      <c r="A108" s="703"/>
      <c r="B108" s="4"/>
      <c r="C108" s="23"/>
      <c r="D108" s="23"/>
      <c r="E108" s="23"/>
      <c r="F108" s="23"/>
      <c r="G108" s="23"/>
      <c r="H108" s="23"/>
      <c r="I108" s="23"/>
      <c r="J108" s="23"/>
      <c r="K108" s="23"/>
      <c r="L108" s="23"/>
      <c r="M108" s="23"/>
      <c r="N108" s="23"/>
      <c r="O108" s="23"/>
      <c r="P108" s="23"/>
      <c r="Q108" s="23"/>
      <c r="R108" s="4"/>
      <c r="S108" s="23"/>
      <c r="T108" s="23"/>
      <c r="U108" s="23"/>
      <c r="V108" s="4"/>
    </row>
    <row r="109" spans="1:22" x14ac:dyDescent="0.25">
      <c r="A109" s="703"/>
      <c r="B109" s="4"/>
      <c r="C109" s="23"/>
      <c r="D109" s="23"/>
      <c r="E109" s="23"/>
      <c r="F109" s="23"/>
      <c r="G109" s="23"/>
      <c r="H109" s="23"/>
      <c r="I109" s="23"/>
      <c r="J109" s="23"/>
      <c r="K109" s="23"/>
      <c r="L109" s="23"/>
      <c r="M109" s="23"/>
      <c r="N109" s="23"/>
      <c r="O109" s="23"/>
      <c r="P109" s="23"/>
      <c r="Q109" s="23"/>
      <c r="R109" s="4"/>
      <c r="S109" s="23"/>
      <c r="T109" s="23"/>
      <c r="U109" s="23"/>
      <c r="V109" s="4"/>
    </row>
    <row r="110" spans="1:22" x14ac:dyDescent="0.25">
      <c r="A110" s="703"/>
      <c r="B110" s="4"/>
      <c r="C110" s="23"/>
      <c r="D110" s="23"/>
      <c r="E110" s="23"/>
      <c r="F110" s="23"/>
      <c r="G110" s="23"/>
      <c r="H110" s="23"/>
      <c r="I110" s="23"/>
      <c r="J110" s="23"/>
      <c r="K110" s="23"/>
      <c r="L110" s="23"/>
      <c r="M110" s="23"/>
      <c r="N110" s="23"/>
      <c r="O110" s="23"/>
      <c r="P110" s="23"/>
      <c r="Q110" s="23"/>
      <c r="R110" s="4"/>
      <c r="S110" s="23"/>
      <c r="T110" s="23"/>
      <c r="U110" s="23"/>
      <c r="V110" s="4"/>
    </row>
    <row r="111" spans="1:22" x14ac:dyDescent="0.25">
      <c r="A111" s="703"/>
      <c r="B111" s="4"/>
      <c r="C111" s="23"/>
      <c r="D111" s="23"/>
      <c r="E111" s="23"/>
      <c r="F111" s="23"/>
      <c r="G111" s="23"/>
      <c r="H111" s="23"/>
      <c r="I111" s="23"/>
      <c r="J111" s="23"/>
      <c r="K111" s="23"/>
      <c r="L111" s="23"/>
      <c r="M111" s="23"/>
      <c r="N111" s="23"/>
      <c r="O111" s="23"/>
      <c r="P111" s="23"/>
      <c r="Q111" s="23"/>
      <c r="R111" s="4"/>
      <c r="S111" s="23"/>
      <c r="T111" s="23"/>
      <c r="U111" s="23"/>
      <c r="V111" s="4"/>
    </row>
    <row r="112" spans="1:22" x14ac:dyDescent="0.25">
      <c r="A112" s="703"/>
      <c r="B112" s="4"/>
      <c r="C112" s="23"/>
      <c r="D112" s="23"/>
      <c r="E112" s="23"/>
      <c r="F112" s="23"/>
      <c r="G112" s="23"/>
      <c r="H112" s="23"/>
      <c r="I112" s="23"/>
      <c r="J112" s="23"/>
      <c r="K112" s="23"/>
      <c r="L112" s="23"/>
      <c r="M112" s="23"/>
      <c r="N112" s="23"/>
      <c r="O112" s="23"/>
      <c r="P112" s="23"/>
      <c r="Q112" s="23"/>
      <c r="R112" s="4"/>
      <c r="S112" s="23"/>
      <c r="T112" s="23"/>
      <c r="U112" s="23"/>
      <c r="V112" s="4"/>
    </row>
    <row r="113" spans="1:22" x14ac:dyDescent="0.25">
      <c r="A113" s="703"/>
      <c r="B113" s="4"/>
      <c r="C113" s="23"/>
      <c r="D113" s="23"/>
      <c r="E113" s="23"/>
      <c r="F113" s="23"/>
      <c r="G113" s="23"/>
      <c r="H113" s="23"/>
      <c r="I113" s="23"/>
      <c r="J113" s="23"/>
      <c r="K113" s="23"/>
      <c r="L113" s="23"/>
      <c r="M113" s="23"/>
      <c r="N113" s="23"/>
      <c r="O113" s="23"/>
      <c r="P113" s="23"/>
      <c r="Q113" s="23"/>
      <c r="R113" s="4"/>
      <c r="S113" s="23"/>
      <c r="T113" s="23"/>
      <c r="U113" s="23"/>
      <c r="V113" s="4"/>
    </row>
    <row r="114" spans="1:22" x14ac:dyDescent="0.25">
      <c r="A114" s="703"/>
      <c r="B114" s="4"/>
      <c r="C114" s="23"/>
      <c r="D114" s="23"/>
      <c r="E114" s="23"/>
      <c r="F114" s="23"/>
      <c r="G114" s="23"/>
      <c r="H114" s="23"/>
      <c r="I114" s="23"/>
      <c r="J114" s="23"/>
      <c r="K114" s="23"/>
      <c r="L114" s="23"/>
      <c r="M114" s="23"/>
      <c r="N114" s="23"/>
      <c r="O114" s="23"/>
      <c r="P114" s="23"/>
      <c r="Q114" s="23"/>
      <c r="R114" s="4"/>
      <c r="S114" s="23"/>
      <c r="T114" s="23"/>
      <c r="U114" s="23"/>
      <c r="V114" s="4"/>
    </row>
    <row r="115" spans="1:22" x14ac:dyDescent="0.25">
      <c r="A115" s="703"/>
      <c r="B115" s="4"/>
      <c r="C115" s="23"/>
      <c r="D115" s="23"/>
      <c r="E115" s="23"/>
      <c r="F115" s="23"/>
      <c r="G115" s="23"/>
      <c r="H115" s="23"/>
      <c r="I115" s="23"/>
      <c r="J115" s="23"/>
      <c r="K115" s="23"/>
      <c r="L115" s="23"/>
      <c r="M115" s="23"/>
      <c r="N115" s="23"/>
      <c r="O115" s="23"/>
      <c r="P115" s="23"/>
      <c r="Q115" s="23"/>
      <c r="R115" s="4"/>
      <c r="S115" s="23"/>
      <c r="T115" s="23"/>
      <c r="U115" s="23"/>
      <c r="V115" s="4"/>
    </row>
    <row r="116" spans="1:22" x14ac:dyDescent="0.25">
      <c r="A116" s="703"/>
      <c r="B116" s="4"/>
      <c r="C116" s="23"/>
      <c r="D116" s="23"/>
      <c r="E116" s="23"/>
      <c r="F116" s="23"/>
      <c r="G116" s="23"/>
      <c r="H116" s="23"/>
      <c r="I116" s="23"/>
      <c r="J116" s="23"/>
      <c r="K116" s="23"/>
      <c r="L116" s="23"/>
      <c r="M116" s="23"/>
      <c r="N116" s="23"/>
      <c r="O116" s="23"/>
      <c r="P116" s="23"/>
      <c r="Q116" s="23"/>
      <c r="R116" s="4"/>
      <c r="S116" s="23"/>
      <c r="T116" s="23"/>
      <c r="U116" s="23"/>
      <c r="V116" s="4"/>
    </row>
    <row r="117" spans="1:22" x14ac:dyDescent="0.25">
      <c r="A117" s="703"/>
      <c r="B117" s="4"/>
      <c r="C117" s="23"/>
      <c r="D117" s="23"/>
      <c r="E117" s="23"/>
      <c r="F117" s="23"/>
      <c r="G117" s="23"/>
      <c r="H117" s="23"/>
      <c r="I117" s="23"/>
      <c r="J117" s="23"/>
      <c r="K117" s="23"/>
      <c r="L117" s="23"/>
      <c r="M117" s="23"/>
      <c r="N117" s="23"/>
      <c r="O117" s="23"/>
      <c r="P117" s="23"/>
      <c r="Q117" s="23"/>
      <c r="R117" s="4"/>
      <c r="S117" s="23"/>
      <c r="T117" s="23"/>
      <c r="U117" s="23"/>
      <c r="V117" s="4"/>
    </row>
    <row r="118" spans="1:22" x14ac:dyDescent="0.25">
      <c r="A118" s="703"/>
      <c r="B118" s="4"/>
      <c r="C118" s="23"/>
      <c r="D118" s="23"/>
      <c r="E118" s="23"/>
      <c r="F118" s="23"/>
      <c r="G118" s="23"/>
      <c r="H118" s="23"/>
      <c r="I118" s="23"/>
      <c r="J118" s="23"/>
      <c r="K118" s="23"/>
      <c r="L118" s="23"/>
      <c r="M118" s="23"/>
      <c r="N118" s="23"/>
      <c r="O118" s="23"/>
      <c r="P118" s="23"/>
      <c r="Q118" s="23"/>
      <c r="R118" s="4"/>
      <c r="S118" s="23"/>
      <c r="T118" s="23"/>
      <c r="U118" s="23"/>
      <c r="V118" s="4"/>
    </row>
    <row r="119" spans="1:22" x14ac:dyDescent="0.25">
      <c r="A119" s="703"/>
      <c r="B119" s="4"/>
      <c r="C119" s="23"/>
      <c r="D119" s="23"/>
      <c r="E119" s="23"/>
      <c r="F119" s="23"/>
      <c r="G119" s="23"/>
      <c r="H119" s="23"/>
      <c r="I119" s="23"/>
      <c r="J119" s="23"/>
      <c r="K119" s="23"/>
      <c r="L119" s="23"/>
      <c r="M119" s="23"/>
      <c r="N119" s="23"/>
      <c r="O119" s="23"/>
      <c r="P119" s="23"/>
      <c r="Q119" s="23"/>
      <c r="R119" s="4"/>
      <c r="S119" s="23"/>
      <c r="T119" s="23"/>
      <c r="U119" s="23"/>
      <c r="V119" s="4"/>
    </row>
    <row r="120" spans="1:22" x14ac:dyDescent="0.25">
      <c r="A120" s="703"/>
      <c r="B120" s="4"/>
      <c r="C120" s="23"/>
      <c r="D120" s="23"/>
      <c r="E120" s="23"/>
      <c r="F120" s="23"/>
      <c r="G120" s="23"/>
      <c r="H120" s="23"/>
      <c r="I120" s="23"/>
      <c r="J120" s="23"/>
      <c r="K120" s="23"/>
      <c r="L120" s="23"/>
      <c r="M120" s="23"/>
      <c r="N120" s="23"/>
      <c r="O120" s="23"/>
      <c r="P120" s="23"/>
      <c r="Q120" s="23"/>
      <c r="R120" s="4"/>
      <c r="S120" s="23"/>
      <c r="T120" s="23"/>
      <c r="U120" s="23"/>
      <c r="V120" s="4"/>
    </row>
    <row r="121" spans="1:22" x14ac:dyDescent="0.25">
      <c r="A121" s="703"/>
      <c r="B121" s="4"/>
      <c r="C121" s="23"/>
      <c r="D121" s="23"/>
      <c r="E121" s="23"/>
      <c r="F121" s="23"/>
      <c r="G121" s="23"/>
      <c r="H121" s="23"/>
      <c r="I121" s="23"/>
      <c r="J121" s="23"/>
      <c r="K121" s="23"/>
      <c r="L121" s="23"/>
      <c r="M121" s="23"/>
      <c r="N121" s="23"/>
      <c r="O121" s="23"/>
      <c r="P121" s="23"/>
      <c r="Q121" s="23"/>
      <c r="R121" s="4"/>
      <c r="S121" s="23"/>
      <c r="T121" s="23"/>
      <c r="U121" s="23"/>
      <c r="V121" s="4"/>
    </row>
    <row r="122" spans="1:22" x14ac:dyDescent="0.25">
      <c r="A122" s="703"/>
      <c r="B122" s="4"/>
      <c r="C122" s="23"/>
      <c r="D122" s="23"/>
      <c r="E122" s="23"/>
      <c r="F122" s="23"/>
      <c r="G122" s="23"/>
      <c r="H122" s="23"/>
      <c r="I122" s="23"/>
      <c r="J122" s="23"/>
      <c r="K122" s="23"/>
      <c r="L122" s="23"/>
      <c r="M122" s="23"/>
      <c r="N122" s="23"/>
      <c r="O122" s="23"/>
      <c r="P122" s="23"/>
      <c r="Q122" s="23"/>
      <c r="R122" s="4"/>
      <c r="S122" s="23"/>
      <c r="T122" s="23"/>
      <c r="U122" s="23"/>
      <c r="V122" s="4"/>
    </row>
    <row r="123" spans="1:22" x14ac:dyDescent="0.25">
      <c r="A123" s="703"/>
      <c r="B123" s="4"/>
      <c r="C123" s="23"/>
      <c r="D123" s="23"/>
      <c r="E123" s="23"/>
      <c r="F123" s="23"/>
      <c r="G123" s="23"/>
      <c r="H123" s="23"/>
      <c r="I123" s="23"/>
      <c r="J123" s="23"/>
      <c r="K123" s="23"/>
      <c r="L123" s="23"/>
      <c r="M123" s="23"/>
      <c r="N123" s="23"/>
      <c r="O123" s="23"/>
      <c r="P123" s="23"/>
      <c r="Q123" s="23"/>
      <c r="R123" s="4"/>
      <c r="S123" s="23"/>
      <c r="T123" s="23"/>
      <c r="U123" s="23"/>
      <c r="V123" s="4"/>
    </row>
    <row r="124" spans="1:22" x14ac:dyDescent="0.25">
      <c r="C124" s="194"/>
      <c r="D124" s="194"/>
      <c r="E124" s="194"/>
      <c r="F124" s="194"/>
      <c r="G124" s="194"/>
      <c r="H124" s="194"/>
      <c r="I124" s="194"/>
      <c r="J124" s="194"/>
      <c r="K124" s="194"/>
      <c r="L124" s="194"/>
      <c r="M124" s="194"/>
      <c r="N124" s="194"/>
      <c r="O124" s="194"/>
      <c r="P124" s="194"/>
      <c r="Q124" s="194"/>
    </row>
    <row r="125" spans="1:22" x14ac:dyDescent="0.25">
      <c r="C125" s="194"/>
      <c r="D125" s="194"/>
      <c r="E125" s="194"/>
      <c r="F125" s="194"/>
      <c r="G125" s="194"/>
      <c r="H125" s="194"/>
      <c r="I125" s="194"/>
      <c r="J125" s="194"/>
      <c r="K125" s="194"/>
      <c r="L125" s="194"/>
      <c r="M125" s="194"/>
      <c r="N125" s="194"/>
      <c r="O125" s="194"/>
      <c r="P125" s="194"/>
      <c r="Q125" s="194"/>
    </row>
    <row r="126" spans="1:22" x14ac:dyDescent="0.25">
      <c r="C126" s="194"/>
      <c r="D126" s="194"/>
      <c r="E126" s="194"/>
      <c r="F126" s="194"/>
      <c r="G126" s="194"/>
      <c r="H126" s="194"/>
      <c r="I126" s="194"/>
      <c r="J126" s="194"/>
      <c r="K126" s="194"/>
      <c r="L126" s="194"/>
      <c r="M126" s="194"/>
      <c r="N126" s="194"/>
      <c r="O126" s="194"/>
      <c r="P126" s="194"/>
      <c r="Q126" s="194"/>
    </row>
    <row r="127" spans="1:22" x14ac:dyDescent="0.25">
      <c r="C127" s="194"/>
      <c r="D127" s="194"/>
      <c r="E127" s="194"/>
      <c r="F127" s="194"/>
      <c r="G127" s="194"/>
      <c r="H127" s="194"/>
      <c r="I127" s="194"/>
      <c r="J127" s="194"/>
      <c r="K127" s="194"/>
      <c r="L127" s="194"/>
      <c r="M127" s="194"/>
      <c r="N127" s="194"/>
      <c r="O127" s="194"/>
      <c r="P127" s="194"/>
      <c r="Q127" s="194"/>
    </row>
    <row r="128" spans="1:22" x14ac:dyDescent="0.25">
      <c r="C128" s="194"/>
      <c r="D128" s="194"/>
      <c r="E128" s="194"/>
      <c r="F128" s="194"/>
      <c r="G128" s="194"/>
      <c r="H128" s="194"/>
      <c r="I128" s="194"/>
      <c r="J128" s="194"/>
      <c r="K128" s="194"/>
      <c r="L128" s="194"/>
      <c r="M128" s="194"/>
      <c r="N128" s="194"/>
      <c r="O128" s="194"/>
      <c r="P128" s="194"/>
      <c r="Q128" s="194"/>
    </row>
    <row r="129" spans="3:3" x14ac:dyDescent="0.25">
      <c r="C129" s="194"/>
    </row>
    <row r="130" spans="3:3" x14ac:dyDescent="0.25">
      <c r="C130" s="194"/>
    </row>
    <row r="131" spans="3:3" x14ac:dyDescent="0.25">
      <c r="C131" s="194"/>
    </row>
    <row r="132" spans="3:3" x14ac:dyDescent="0.25">
      <c r="C132" s="194"/>
    </row>
    <row r="133" spans="3:3" x14ac:dyDescent="0.25">
      <c r="C133" s="194"/>
    </row>
    <row r="134" spans="3:3" x14ac:dyDescent="0.25">
      <c r="C134" s="194"/>
    </row>
    <row r="135" spans="3:3" x14ac:dyDescent="0.25">
      <c r="C135" s="194"/>
    </row>
    <row r="136" spans="3:3" x14ac:dyDescent="0.25">
      <c r="C136" s="194"/>
    </row>
    <row r="137" spans="3:3" x14ac:dyDescent="0.25">
      <c r="C137" s="194"/>
    </row>
    <row r="138" spans="3:3" x14ac:dyDescent="0.25">
      <c r="C138" s="194"/>
    </row>
    <row r="139" spans="3:3" x14ac:dyDescent="0.25">
      <c r="C139" s="194"/>
    </row>
    <row r="140" spans="3:3" x14ac:dyDescent="0.25">
      <c r="C140" s="194"/>
    </row>
    <row r="141" spans="3:3" x14ac:dyDescent="0.25">
      <c r="C141" s="194"/>
    </row>
    <row r="142" spans="3:3" x14ac:dyDescent="0.25">
      <c r="C142" s="194"/>
    </row>
    <row r="143" spans="3:3" x14ac:dyDescent="0.25">
      <c r="C143" s="194"/>
    </row>
    <row r="144" spans="3:3" x14ac:dyDescent="0.25">
      <c r="C144" s="194"/>
    </row>
    <row r="145" spans="3:3" x14ac:dyDescent="0.25">
      <c r="C145" s="194"/>
    </row>
    <row r="146" spans="3:3" x14ac:dyDescent="0.25">
      <c r="C146" s="194"/>
    </row>
    <row r="147" spans="3:3" x14ac:dyDescent="0.25">
      <c r="C147" s="194"/>
    </row>
    <row r="148" spans="3:3" x14ac:dyDescent="0.25">
      <c r="C148" s="194"/>
    </row>
    <row r="149" spans="3:3" x14ac:dyDescent="0.25">
      <c r="C149" s="194"/>
    </row>
    <row r="150" spans="3:3" x14ac:dyDescent="0.25">
      <c r="C150" s="194"/>
    </row>
    <row r="151" spans="3:3" x14ac:dyDescent="0.25">
      <c r="C151" s="194"/>
    </row>
    <row r="152" spans="3:3" x14ac:dyDescent="0.25">
      <c r="C152" s="194"/>
    </row>
    <row r="153" spans="3:3" x14ac:dyDescent="0.25">
      <c r="C153" s="194"/>
    </row>
    <row r="154" spans="3:3" x14ac:dyDescent="0.25">
      <c r="C154" s="194"/>
    </row>
    <row r="155" spans="3:3" x14ac:dyDescent="0.25">
      <c r="C155" s="194"/>
    </row>
  </sheetData>
  <phoneticPr fontId="0" type="noConversion"/>
  <hyperlinks>
    <hyperlink ref="A1" location="'Working Budget with funding det'!A1" display="Main " xr:uid="{00000000-0004-0000-3B00-000000000000}"/>
    <hyperlink ref="B1" location="'Table of Contents'!A1" display="TOC" xr:uid="{00000000-0004-0000-3B00-000001000000}"/>
  </hyperlinks>
  <pageMargins left="0.75" right="0.75" top="0.51" bottom="0.5" header="0.5" footer="0.5"/>
  <pageSetup scale="89" fitToHeight="0" orientation="landscape" r:id="rId1"/>
  <headerFooter alignWithMargins="0">
    <oddFooter>&amp;L&amp;D     &amp;T&amp;C&amp;F&amp;R&amp;A</oddFooter>
  </headerFooter>
  <rowBreaks count="1" manualBreakCount="1">
    <brk id="30" max="11"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50"/>
    <pageSetUpPr fitToPage="1"/>
  </sheetPr>
  <dimension ref="A1:X145"/>
  <sheetViews>
    <sheetView workbookViewId="0">
      <selection activeCell="B22" sqref="B22"/>
    </sheetView>
  </sheetViews>
  <sheetFormatPr defaultRowHeight="13.2" x14ac:dyDescent="0.25"/>
  <cols>
    <col min="1" max="1" width="10.33203125" style="703" bestFit="1" customWidth="1"/>
    <col min="2" max="2" width="36.6640625" style="4" customWidth="1"/>
    <col min="3" max="14" width="14.44140625" style="23" hidden="1" customWidth="1"/>
    <col min="15" max="17" width="14.44140625" style="23" customWidth="1"/>
    <col min="18" max="18" width="14.44140625" style="4" customWidth="1"/>
    <col min="19" max="21" width="14.44140625" style="23" customWidth="1"/>
    <col min="22" max="24" width="14.44140625" customWidth="1"/>
    <col min="25" max="25" width="14.6640625" customWidth="1"/>
  </cols>
  <sheetData>
    <row r="1" spans="1:24" x14ac:dyDescent="0.25">
      <c r="A1" s="722" t="s">
        <v>736</v>
      </c>
      <c r="B1" s="290" t="s">
        <v>194</v>
      </c>
      <c r="C1" s="97"/>
      <c r="D1" s="97"/>
      <c r="E1" s="97"/>
      <c r="F1" s="97"/>
      <c r="G1" s="97"/>
      <c r="H1" s="97"/>
      <c r="I1" s="97"/>
      <c r="J1" s="97"/>
      <c r="K1" s="97"/>
      <c r="L1" s="97"/>
      <c r="M1" s="97"/>
      <c r="N1" s="97"/>
      <c r="O1" s="97"/>
      <c r="P1" s="97"/>
      <c r="Q1" s="97"/>
      <c r="S1" s="97"/>
      <c r="T1" s="97"/>
      <c r="U1" s="4"/>
    </row>
    <row r="2" spans="1:24" x14ac:dyDescent="0.25">
      <c r="A2" s="703" t="s">
        <v>1487</v>
      </c>
      <c r="C2" s="97"/>
      <c r="E2" s="97"/>
      <c r="I2" s="97" t="s">
        <v>706</v>
      </c>
      <c r="J2" s="97"/>
      <c r="K2" s="97"/>
      <c r="L2" s="97"/>
      <c r="M2" s="97"/>
      <c r="N2" s="97"/>
      <c r="O2" s="97"/>
      <c r="P2" s="97"/>
      <c r="Q2" s="97"/>
      <c r="R2" s="302" t="s">
        <v>1594</v>
      </c>
      <c r="S2" s="97"/>
      <c r="T2" s="97"/>
      <c r="U2" s="74" t="s">
        <v>1595</v>
      </c>
    </row>
    <row r="3" spans="1:24" ht="13.8" thickBot="1" x14ac:dyDescent="0.3">
      <c r="C3" s="97"/>
      <c r="D3" s="97"/>
      <c r="E3" s="97"/>
      <c r="F3" s="97"/>
      <c r="G3" s="97"/>
      <c r="H3" s="97"/>
      <c r="I3" s="97"/>
      <c r="J3" s="97"/>
      <c r="K3" s="97"/>
      <c r="L3" s="97"/>
      <c r="M3" s="97"/>
      <c r="N3" s="97"/>
      <c r="O3" s="97"/>
      <c r="P3" s="97"/>
      <c r="Q3" s="97"/>
      <c r="S3" s="97"/>
      <c r="T3" s="97"/>
      <c r="U3" s="4"/>
      <c r="X3" s="4"/>
    </row>
    <row r="4" spans="1:24" ht="13.8" thickTop="1" x14ac:dyDescent="0.25">
      <c r="A4" s="704"/>
      <c r="B4" s="524"/>
      <c r="C4" s="303" t="s">
        <v>256</v>
      </c>
      <c r="D4" s="303" t="s">
        <v>256</v>
      </c>
      <c r="E4" s="303" t="s">
        <v>256</v>
      </c>
      <c r="F4" s="303" t="s">
        <v>256</v>
      </c>
      <c r="G4" s="303" t="s">
        <v>256</v>
      </c>
      <c r="H4" s="304" t="s">
        <v>256</v>
      </c>
      <c r="I4" s="228" t="s">
        <v>256</v>
      </c>
      <c r="J4" s="228" t="s">
        <v>256</v>
      </c>
      <c r="K4" s="228" t="s">
        <v>255</v>
      </c>
      <c r="L4" s="228" t="s">
        <v>256</v>
      </c>
      <c r="M4" s="228" t="s">
        <v>255</v>
      </c>
      <c r="N4" s="228" t="s">
        <v>256</v>
      </c>
      <c r="O4" s="228" t="s">
        <v>255</v>
      </c>
      <c r="P4" s="228" t="s">
        <v>256</v>
      </c>
      <c r="Q4" s="228" t="s">
        <v>255</v>
      </c>
      <c r="R4" s="304" t="s">
        <v>708</v>
      </c>
      <c r="S4" s="79" t="s">
        <v>1345</v>
      </c>
      <c r="T4" s="79" t="s">
        <v>1345</v>
      </c>
      <c r="U4" s="7" t="s">
        <v>1345</v>
      </c>
    </row>
    <row r="5" spans="1:24" x14ac:dyDescent="0.25">
      <c r="A5" s="705"/>
      <c r="B5" s="184"/>
      <c r="C5" s="305"/>
      <c r="D5" s="305"/>
      <c r="E5" s="306"/>
      <c r="F5" s="305"/>
      <c r="G5" s="305"/>
      <c r="H5" s="306"/>
      <c r="I5" s="229"/>
      <c r="J5" s="229"/>
      <c r="K5" s="229"/>
      <c r="L5" s="229"/>
      <c r="M5" s="229"/>
      <c r="N5" s="229"/>
      <c r="O5" s="229"/>
      <c r="P5" s="229"/>
      <c r="Q5" s="229"/>
      <c r="R5" s="306" t="s">
        <v>709</v>
      </c>
      <c r="S5" s="83" t="s">
        <v>710</v>
      </c>
      <c r="T5" s="83" t="s">
        <v>711</v>
      </c>
      <c r="U5" s="178" t="s">
        <v>712</v>
      </c>
    </row>
    <row r="6" spans="1:24" x14ac:dyDescent="0.25">
      <c r="A6" s="705"/>
      <c r="B6" s="184"/>
      <c r="C6" s="305"/>
      <c r="D6" s="305"/>
      <c r="E6" s="306"/>
      <c r="F6" s="305"/>
      <c r="G6" s="306"/>
      <c r="H6" s="306"/>
      <c r="I6" s="229"/>
      <c r="J6" s="229"/>
      <c r="K6" s="229"/>
      <c r="L6" s="229"/>
      <c r="M6" s="229"/>
      <c r="N6" s="229"/>
      <c r="O6" s="229"/>
      <c r="P6" s="229"/>
      <c r="Q6" s="229"/>
      <c r="R6" s="306"/>
      <c r="S6" s="83" t="s">
        <v>713</v>
      </c>
      <c r="T6" s="83" t="s">
        <v>481</v>
      </c>
      <c r="U6" s="45" t="s">
        <v>714</v>
      </c>
    </row>
    <row r="7" spans="1:24" ht="13.8" thickBot="1" x14ac:dyDescent="0.3">
      <c r="A7" s="706" t="s">
        <v>715</v>
      </c>
      <c r="B7" s="78"/>
      <c r="C7" s="307" t="s">
        <v>243</v>
      </c>
      <c r="D7" s="307" t="s">
        <v>244</v>
      </c>
      <c r="E7" s="77" t="s">
        <v>245</v>
      </c>
      <c r="F7" s="9" t="s">
        <v>464</v>
      </c>
      <c r="G7" s="77" t="s">
        <v>465</v>
      </c>
      <c r="H7" s="77" t="s">
        <v>248</v>
      </c>
      <c r="I7" s="77" t="s">
        <v>249</v>
      </c>
      <c r="J7" s="77" t="s">
        <v>468</v>
      </c>
      <c r="K7" s="77" t="s">
        <v>251</v>
      </c>
      <c r="L7" s="77" t="s">
        <v>251</v>
      </c>
      <c r="M7" s="77" t="s">
        <v>252</v>
      </c>
      <c r="N7" s="77" t="s">
        <v>252</v>
      </c>
      <c r="O7" s="77" t="s">
        <v>253</v>
      </c>
      <c r="P7" s="77" t="s">
        <v>253</v>
      </c>
      <c r="Q7" s="1051" t="s">
        <v>469</v>
      </c>
      <c r="R7" s="1056">
        <v>45291</v>
      </c>
      <c r="S7" s="77" t="s">
        <v>716</v>
      </c>
      <c r="T7" s="77"/>
      <c r="U7" s="9" t="s">
        <v>481</v>
      </c>
    </row>
    <row r="8" spans="1:24" ht="13.8" thickTop="1" x14ac:dyDescent="0.25">
      <c r="A8" s="707"/>
      <c r="B8" s="156"/>
      <c r="C8" s="310"/>
      <c r="D8" s="316"/>
      <c r="E8" s="309"/>
      <c r="F8" s="338"/>
      <c r="G8" s="309"/>
      <c r="H8" s="309"/>
      <c r="I8" s="143"/>
      <c r="J8" s="143"/>
      <c r="K8" s="143"/>
      <c r="L8" s="143"/>
      <c r="M8" s="143"/>
      <c r="N8" s="143"/>
      <c r="O8" s="143"/>
      <c r="P8" s="143"/>
      <c r="Q8" s="143"/>
      <c r="R8" s="310"/>
      <c r="S8" s="88"/>
      <c r="T8" s="88"/>
      <c r="U8" s="88"/>
    </row>
    <row r="9" spans="1:24" x14ac:dyDescent="0.25">
      <c r="A9" s="708">
        <v>5171</v>
      </c>
      <c r="B9" s="60" t="s">
        <v>1425</v>
      </c>
      <c r="C9" s="311">
        <v>64911</v>
      </c>
      <c r="D9" s="127">
        <v>74513</v>
      </c>
      <c r="E9" s="311">
        <v>74959</v>
      </c>
      <c r="F9" s="127">
        <v>88198</v>
      </c>
      <c r="G9" s="311">
        <v>88560</v>
      </c>
      <c r="H9" s="311">
        <v>77869</v>
      </c>
      <c r="I9" s="311">
        <v>80202</v>
      </c>
      <c r="J9" s="311">
        <v>93202</v>
      </c>
      <c r="K9" s="263">
        <v>85342</v>
      </c>
      <c r="L9" s="311">
        <v>85342</v>
      </c>
      <c r="M9" s="263">
        <v>92209</v>
      </c>
      <c r="N9" s="311">
        <v>92209</v>
      </c>
      <c r="O9" s="263">
        <v>136308</v>
      </c>
      <c r="P9" s="115">
        <v>136308</v>
      </c>
      <c r="Q9" s="263">
        <v>136308</v>
      </c>
      <c r="R9" s="311">
        <v>115400</v>
      </c>
      <c r="S9" s="263">
        <v>150519</v>
      </c>
      <c r="T9" s="263"/>
      <c r="U9" s="263"/>
    </row>
    <row r="10" spans="1:24" x14ac:dyDescent="0.25">
      <c r="A10" s="708">
        <v>5172</v>
      </c>
      <c r="B10" s="60" t="s">
        <v>1426</v>
      </c>
      <c r="C10" s="311">
        <v>5852.95</v>
      </c>
      <c r="D10" s="111">
        <v>4536.74</v>
      </c>
      <c r="E10" s="312">
        <v>5986.32</v>
      </c>
      <c r="F10" s="111">
        <v>8374.77</v>
      </c>
      <c r="G10" s="312">
        <v>8425.42</v>
      </c>
      <c r="H10" s="312">
        <v>9162</v>
      </c>
      <c r="I10" s="312">
        <v>9590</v>
      </c>
      <c r="J10" s="312">
        <v>9613.74</v>
      </c>
      <c r="K10" s="87">
        <v>17000</v>
      </c>
      <c r="L10" s="312">
        <v>10091</v>
      </c>
      <c r="M10" s="87">
        <v>12000</v>
      </c>
      <c r="N10" s="312">
        <v>6993.68</v>
      </c>
      <c r="O10" s="87">
        <v>12000</v>
      </c>
      <c r="P10" s="117">
        <v>6211</v>
      </c>
      <c r="Q10" s="87">
        <v>12000</v>
      </c>
      <c r="R10" s="311">
        <v>6592</v>
      </c>
      <c r="S10" s="87">
        <v>12000</v>
      </c>
      <c r="T10" s="87"/>
      <c r="U10" s="87"/>
    </row>
    <row r="11" spans="1:24" x14ac:dyDescent="0.25">
      <c r="A11" s="708">
        <v>5173</v>
      </c>
      <c r="B11" s="60" t="s">
        <v>1427</v>
      </c>
      <c r="C11" s="311"/>
      <c r="D11" s="111">
        <v>322</v>
      </c>
      <c r="E11" s="312"/>
      <c r="F11" s="111">
        <v>500.42</v>
      </c>
      <c r="G11" s="312"/>
      <c r="H11" s="312"/>
      <c r="I11" s="312">
        <v>0</v>
      </c>
      <c r="J11" s="312"/>
      <c r="K11" s="87">
        <v>28000</v>
      </c>
      <c r="L11" s="312">
        <v>7566</v>
      </c>
      <c r="M11" s="87">
        <v>28000</v>
      </c>
      <c r="N11" s="312">
        <v>1554.34</v>
      </c>
      <c r="O11" s="87">
        <v>28000</v>
      </c>
      <c r="P11" s="117">
        <v>197.52</v>
      </c>
      <c r="Q11" s="87">
        <v>28000</v>
      </c>
      <c r="R11" s="311"/>
      <c r="S11" s="87">
        <v>28000</v>
      </c>
      <c r="T11" s="87"/>
      <c r="U11" s="87"/>
    </row>
    <row r="12" spans="1:24" x14ac:dyDescent="0.25">
      <c r="A12" s="708">
        <v>5174</v>
      </c>
      <c r="B12" s="60" t="s">
        <v>1428</v>
      </c>
      <c r="C12" s="311">
        <v>86130.559999999998</v>
      </c>
      <c r="D12" s="127">
        <v>75924.070000000007</v>
      </c>
      <c r="E12" s="311">
        <v>93076.36</v>
      </c>
      <c r="F12" s="127">
        <v>90104.19</v>
      </c>
      <c r="G12" s="311">
        <v>117708.89</v>
      </c>
      <c r="H12" s="311">
        <v>130930.22</v>
      </c>
      <c r="I12" s="311">
        <v>139043.88</v>
      </c>
      <c r="J12" s="311">
        <v>116261</v>
      </c>
      <c r="K12" s="263">
        <v>153912</v>
      </c>
      <c r="L12" s="311">
        <v>112949.92</v>
      </c>
      <c r="M12" s="263">
        <v>130000</v>
      </c>
      <c r="N12" s="311">
        <v>120237.74</v>
      </c>
      <c r="O12" s="263">
        <v>174000</v>
      </c>
      <c r="P12" s="115">
        <v>129588.74</v>
      </c>
      <c r="Q12" s="263">
        <v>178000</v>
      </c>
      <c r="R12" s="311">
        <v>74106.75</v>
      </c>
      <c r="S12" s="263">
        <v>180000</v>
      </c>
      <c r="T12" s="263"/>
      <c r="U12" s="263"/>
      <c r="V12" s="202" t="s">
        <v>2030</v>
      </c>
    </row>
    <row r="13" spans="1:24" x14ac:dyDescent="0.25">
      <c r="A13" s="708">
        <v>5175</v>
      </c>
      <c r="B13" s="60" t="s">
        <v>1429</v>
      </c>
      <c r="C13" s="311">
        <v>759.92</v>
      </c>
      <c r="D13" s="127">
        <v>630.28</v>
      </c>
      <c r="E13" s="311">
        <v>931.52</v>
      </c>
      <c r="F13" s="127">
        <v>852</v>
      </c>
      <c r="G13" s="311">
        <v>602.08000000000004</v>
      </c>
      <c r="H13" s="311">
        <v>727.04</v>
      </c>
      <c r="I13" s="311">
        <v>431.68</v>
      </c>
      <c r="J13" s="311">
        <v>556.64</v>
      </c>
      <c r="K13" s="263">
        <v>1000</v>
      </c>
      <c r="L13" s="311">
        <v>556.64</v>
      </c>
      <c r="M13" s="263">
        <v>1000</v>
      </c>
      <c r="N13" s="311">
        <v>1056.48</v>
      </c>
      <c r="O13" s="263">
        <v>1000</v>
      </c>
      <c r="P13" s="115">
        <v>1011.04</v>
      </c>
      <c r="Q13" s="263">
        <v>1100</v>
      </c>
      <c r="R13" s="311">
        <v>579.36</v>
      </c>
      <c r="S13" s="263">
        <v>1100</v>
      </c>
      <c r="T13" s="263"/>
      <c r="U13" s="263"/>
    </row>
    <row r="14" spans="1:24" ht="13.8" thickBot="1" x14ac:dyDescent="0.3">
      <c r="A14" s="708">
        <v>5176</v>
      </c>
      <c r="B14" s="60" t="s">
        <v>1430</v>
      </c>
      <c r="C14" s="313">
        <v>4774.32</v>
      </c>
      <c r="D14" s="252">
        <v>4967.07</v>
      </c>
      <c r="E14" s="313">
        <v>6446.86</v>
      </c>
      <c r="F14" s="252">
        <v>6143.82</v>
      </c>
      <c r="G14" s="313">
        <v>5816.1</v>
      </c>
      <c r="H14" s="313">
        <v>5692.45</v>
      </c>
      <c r="I14" s="313">
        <v>5390.92</v>
      </c>
      <c r="J14" s="313">
        <v>5821.74</v>
      </c>
      <c r="K14" s="264">
        <v>6700</v>
      </c>
      <c r="L14" s="313">
        <v>5866.79</v>
      </c>
      <c r="M14" s="264">
        <v>7124</v>
      </c>
      <c r="N14" s="313">
        <v>6291.4</v>
      </c>
      <c r="O14" s="264">
        <v>7844</v>
      </c>
      <c r="P14" s="116">
        <v>6723.13</v>
      </c>
      <c r="Q14" s="264">
        <f>ROUND((+'661 440 CWF'!Q16*0.0145),0)</f>
        <v>8223</v>
      </c>
      <c r="R14" s="313">
        <v>4040.24</v>
      </c>
      <c r="S14" s="264">
        <f>ROUND(((+'661 440 CWF'!S16+'661 449 Hwy'!S12)*0.0145),0)+31</f>
        <v>9100</v>
      </c>
      <c r="T14" s="264"/>
      <c r="U14" s="264"/>
    </row>
    <row r="15" spans="1:24" x14ac:dyDescent="0.25">
      <c r="A15" s="708"/>
      <c r="B15" s="61" t="s">
        <v>718</v>
      </c>
      <c r="C15" s="312">
        <f t="shared" ref="C15:R15" si="0">SUM(C9:C14)</f>
        <v>162428.75000000003</v>
      </c>
      <c r="D15" s="111">
        <f t="shared" si="0"/>
        <v>160893.16</v>
      </c>
      <c r="E15" s="312">
        <f t="shared" si="0"/>
        <v>181400.05999999997</v>
      </c>
      <c r="F15" s="111">
        <f>SUM(F9:F14)</f>
        <v>194173.2</v>
      </c>
      <c r="G15" s="312">
        <f>SUM(G9:G14)</f>
        <v>221112.49</v>
      </c>
      <c r="H15" s="312">
        <f>SUM(H9:H14)</f>
        <v>224380.71000000002</v>
      </c>
      <c r="I15" s="312">
        <f t="shared" si="0"/>
        <v>234658.48</v>
      </c>
      <c r="J15" s="312">
        <f t="shared" si="0"/>
        <v>225455.12</v>
      </c>
      <c r="K15" s="87">
        <f t="shared" ref="K15:O15" si="1">SUM(K9:K14)</f>
        <v>291954</v>
      </c>
      <c r="L15" s="312">
        <f t="shared" si="1"/>
        <v>222372.35</v>
      </c>
      <c r="M15" s="87">
        <f t="shared" si="1"/>
        <v>270333</v>
      </c>
      <c r="N15" s="312">
        <f t="shared" ref="N15" si="2">SUM(N9:N14)</f>
        <v>228342.64</v>
      </c>
      <c r="O15" s="87">
        <f t="shared" si="1"/>
        <v>359152</v>
      </c>
      <c r="P15" s="117">
        <f t="shared" ref="P15" si="3">SUM(P9:P14)</f>
        <v>280039.43</v>
      </c>
      <c r="Q15" s="87">
        <f>SUM(Q9:Q14)</f>
        <v>363631</v>
      </c>
      <c r="R15" s="312">
        <f t="shared" si="0"/>
        <v>200718.34999999998</v>
      </c>
      <c r="S15" s="87">
        <f>SUM(S9:S14)</f>
        <v>380719</v>
      </c>
      <c r="T15" s="87"/>
      <c r="U15" s="87">
        <f>SUM(U9:U14)</f>
        <v>0</v>
      </c>
    </row>
    <row r="16" spans="1:24" x14ac:dyDescent="0.25">
      <c r="A16" s="708"/>
      <c r="B16" s="60"/>
      <c r="C16" s="311"/>
      <c r="D16" s="127"/>
      <c r="E16" s="311"/>
      <c r="F16" s="127"/>
      <c r="G16" s="311"/>
      <c r="H16" s="311"/>
      <c r="I16" s="311"/>
      <c r="J16" s="311"/>
      <c r="K16" s="263"/>
      <c r="L16" s="311"/>
      <c r="M16" s="263"/>
      <c r="N16" s="311"/>
      <c r="O16" s="263"/>
      <c r="P16" s="115"/>
      <c r="Q16" s="263"/>
      <c r="R16" s="311"/>
      <c r="S16" s="263"/>
      <c r="T16" s="263"/>
      <c r="U16" s="263"/>
    </row>
    <row r="17" spans="1:24" x14ac:dyDescent="0.25">
      <c r="A17" s="708"/>
      <c r="B17" s="60"/>
      <c r="C17" s="311"/>
      <c r="D17" s="127"/>
      <c r="E17" s="311"/>
      <c r="F17" s="127"/>
      <c r="G17" s="311"/>
      <c r="H17" s="311"/>
      <c r="I17" s="311"/>
      <c r="J17" s="311"/>
      <c r="K17" s="263"/>
      <c r="L17" s="311"/>
      <c r="M17" s="263"/>
      <c r="N17" s="311"/>
      <c r="O17" s="263"/>
      <c r="P17" s="115"/>
      <c r="Q17" s="263"/>
      <c r="R17" s="311"/>
      <c r="S17" s="263"/>
      <c r="T17" s="263"/>
      <c r="U17" s="263"/>
    </row>
    <row r="18" spans="1:24" ht="13.8" thickBot="1" x14ac:dyDescent="0.3">
      <c r="A18" s="709"/>
      <c r="B18" s="583" t="s">
        <v>1486</v>
      </c>
      <c r="C18" s="314">
        <f t="shared" ref="C18:S18" si="4">+C15</f>
        <v>162428.75000000003</v>
      </c>
      <c r="D18" s="255">
        <f t="shared" si="4"/>
        <v>160893.16</v>
      </c>
      <c r="E18" s="314">
        <f>+E15</f>
        <v>181400.05999999997</v>
      </c>
      <c r="F18" s="255">
        <f>+F15</f>
        <v>194173.2</v>
      </c>
      <c r="G18" s="314">
        <f>+G15</f>
        <v>221112.49</v>
      </c>
      <c r="H18" s="314">
        <f>+H15</f>
        <v>224380.71000000002</v>
      </c>
      <c r="I18" s="314">
        <f t="shared" si="4"/>
        <v>234658.48</v>
      </c>
      <c r="J18" s="314">
        <f t="shared" si="4"/>
        <v>225455.12</v>
      </c>
      <c r="K18" s="315">
        <f t="shared" ref="K18:O18" si="5">+K15</f>
        <v>291954</v>
      </c>
      <c r="L18" s="314">
        <f t="shared" si="5"/>
        <v>222372.35</v>
      </c>
      <c r="M18" s="315">
        <f t="shared" si="5"/>
        <v>270333</v>
      </c>
      <c r="N18" s="314">
        <f t="shared" ref="N18" si="6">+N15</f>
        <v>228342.64</v>
      </c>
      <c r="O18" s="315">
        <f t="shared" si="5"/>
        <v>359152</v>
      </c>
      <c r="P18" s="577">
        <f t="shared" ref="P18" si="7">+P15</f>
        <v>280039.43</v>
      </c>
      <c r="Q18" s="315">
        <f t="shared" ref="Q18" si="8">+Q15</f>
        <v>363631</v>
      </c>
      <c r="R18" s="314">
        <f t="shared" si="4"/>
        <v>200718.34999999998</v>
      </c>
      <c r="S18" s="315">
        <f t="shared" si="4"/>
        <v>380719</v>
      </c>
      <c r="T18" s="315">
        <f>+S18</f>
        <v>380719</v>
      </c>
      <c r="U18" s="315">
        <f>+S18</f>
        <v>380719</v>
      </c>
    </row>
    <row r="19" spans="1:24" ht="13.8" thickTop="1" x14ac:dyDescent="0.25">
      <c r="B19" s="74"/>
      <c r="C19" s="24"/>
      <c r="D19" s="24"/>
      <c r="E19" s="24"/>
      <c r="F19" s="24"/>
      <c r="G19" s="24"/>
      <c r="H19" s="24"/>
      <c r="I19" s="24"/>
      <c r="J19" s="24"/>
      <c r="K19" s="24"/>
      <c r="L19" s="24"/>
      <c r="M19" s="24"/>
      <c r="N19" s="24"/>
      <c r="O19" s="24"/>
      <c r="P19" s="24"/>
      <c r="Q19" s="24"/>
      <c r="R19" s="181" t="s">
        <v>732</v>
      </c>
      <c r="S19" s="1001">
        <f>+S18-Q18</f>
        <v>17088</v>
      </c>
      <c r="T19" s="1002">
        <f>ROUND((+S19/Q18),4)</f>
        <v>4.7E-2</v>
      </c>
      <c r="V19" s="25"/>
      <c r="W19" s="25"/>
      <c r="X19" s="25"/>
    </row>
    <row r="20" spans="1:24" x14ac:dyDescent="0.25">
      <c r="A20" s="1243">
        <v>45257</v>
      </c>
      <c r="B20" s="4" t="s">
        <v>2296</v>
      </c>
      <c r="C20" s="24"/>
      <c r="D20" s="24"/>
      <c r="E20" s="24"/>
      <c r="F20" s="24"/>
      <c r="G20" s="24"/>
      <c r="H20" s="24"/>
      <c r="I20" s="24"/>
      <c r="J20" s="24"/>
      <c r="K20" s="24"/>
      <c r="L20" s="24"/>
      <c r="M20" s="24"/>
      <c r="N20" s="24"/>
      <c r="O20" s="24"/>
      <c r="P20" s="24"/>
      <c r="Q20" s="24"/>
      <c r="R20" s="25"/>
      <c r="S20" s="24"/>
      <c r="T20" s="24"/>
      <c r="U20" s="24"/>
      <c r="V20" s="25"/>
      <c r="W20" s="25"/>
      <c r="X20" s="25"/>
    </row>
    <row r="21" spans="1:24" x14ac:dyDescent="0.25">
      <c r="A21" s="54">
        <v>45322</v>
      </c>
      <c r="B21" s="4" t="s">
        <v>2579</v>
      </c>
      <c r="C21" s="24"/>
      <c r="D21" s="24"/>
      <c r="E21" s="24"/>
      <c r="F21" s="24"/>
      <c r="G21" s="24"/>
      <c r="H21" s="24"/>
      <c r="I21" s="24"/>
      <c r="J21" s="24"/>
      <c r="K21" s="24"/>
      <c r="L21" s="24"/>
      <c r="M21" s="24"/>
      <c r="N21" s="24"/>
      <c r="O21" s="24"/>
      <c r="P21" s="24"/>
      <c r="Q21" s="24"/>
      <c r="R21" s="25"/>
      <c r="S21" s="24"/>
      <c r="T21" s="24"/>
      <c r="U21" s="24"/>
      <c r="V21" s="25"/>
      <c r="W21" s="25"/>
      <c r="X21" s="25"/>
    </row>
    <row r="22" spans="1:24" x14ac:dyDescent="0.25">
      <c r="A22" s="54"/>
      <c r="C22" s="24"/>
      <c r="D22" s="24"/>
      <c r="E22" s="24"/>
      <c r="F22" s="24"/>
      <c r="G22" s="24"/>
      <c r="H22" s="24"/>
      <c r="I22" s="24"/>
      <c r="J22" s="24"/>
      <c r="K22" s="24"/>
      <c r="L22" s="24"/>
      <c r="M22" s="24"/>
      <c r="N22" s="24"/>
      <c r="O22" s="24"/>
      <c r="P22" s="24"/>
      <c r="Q22" s="24"/>
      <c r="R22" s="25"/>
      <c r="S22" s="24"/>
      <c r="T22" s="24"/>
      <c r="U22" s="24"/>
      <c r="V22" s="25"/>
      <c r="W22" s="25"/>
      <c r="X22" s="25"/>
    </row>
    <row r="23" spans="1:24" x14ac:dyDescent="0.25">
      <c r="A23" s="54"/>
      <c r="C23" s="24"/>
      <c r="D23" s="24"/>
      <c r="E23" s="24"/>
      <c r="F23" s="24"/>
      <c r="G23" s="24"/>
      <c r="H23" s="24"/>
      <c r="I23" s="24"/>
      <c r="J23" s="24"/>
      <c r="K23" s="24"/>
      <c r="L23" s="24"/>
      <c r="M23" s="24"/>
      <c r="N23" s="24"/>
      <c r="O23" s="24"/>
      <c r="P23" s="24"/>
      <c r="Q23" s="24"/>
      <c r="R23" s="25"/>
      <c r="S23" s="24"/>
      <c r="T23" s="24"/>
      <c r="U23" s="24"/>
      <c r="V23" s="25"/>
      <c r="W23" s="25"/>
      <c r="X23" s="25"/>
    </row>
    <row r="24" spans="1:24" ht="14.4" thickBot="1" x14ac:dyDescent="0.3">
      <c r="A24" s="714"/>
      <c r="C24" s="24"/>
      <c r="D24" s="24"/>
      <c r="E24" s="24"/>
      <c r="F24" s="24"/>
      <c r="G24" s="24"/>
      <c r="H24" s="24"/>
      <c r="I24" s="24"/>
      <c r="J24" s="24"/>
      <c r="K24" s="24"/>
      <c r="L24" s="24"/>
      <c r="M24" s="24"/>
      <c r="N24" s="24"/>
      <c r="O24" s="24"/>
      <c r="P24" s="24"/>
      <c r="Q24" s="24"/>
      <c r="R24" s="25"/>
      <c r="S24" s="24"/>
      <c r="T24" s="24"/>
      <c r="U24" s="24"/>
      <c r="V24" s="25"/>
      <c r="W24" s="25"/>
      <c r="X24" s="25"/>
    </row>
    <row r="25" spans="1:24" ht="13.8" thickTop="1" x14ac:dyDescent="0.25">
      <c r="A25" s="718"/>
      <c r="B25" s="349"/>
      <c r="C25" s="350" t="s">
        <v>256</v>
      </c>
      <c r="D25" s="351" t="s">
        <v>256</v>
      </c>
      <c r="E25" s="350" t="s">
        <v>256</v>
      </c>
      <c r="O25" s="352" t="s">
        <v>255</v>
      </c>
      <c r="P25" s="353" t="s">
        <v>716</v>
      </c>
      <c r="Q25" s="354" t="s">
        <v>730</v>
      </c>
      <c r="R25" s="353" t="s">
        <v>731</v>
      </c>
      <c r="S25" s="355"/>
      <c r="T25" s="550"/>
      <c r="U25" s="354"/>
      <c r="V25" s="25"/>
      <c r="W25" s="25"/>
      <c r="X25" s="25"/>
    </row>
    <row r="26" spans="1:24" ht="13.8" thickBot="1" x14ac:dyDescent="0.3">
      <c r="A26" s="719"/>
      <c r="B26" s="428"/>
      <c r="C26" s="429" t="s">
        <v>243</v>
      </c>
      <c r="D26" s="429" t="s">
        <v>244</v>
      </c>
      <c r="E26" s="415" t="s">
        <v>245</v>
      </c>
      <c r="O26" s="359" t="s">
        <v>469</v>
      </c>
      <c r="P26" s="359" t="s">
        <v>1345</v>
      </c>
      <c r="Q26" s="415" t="s">
        <v>732</v>
      </c>
      <c r="R26" s="417" t="s">
        <v>732</v>
      </c>
      <c r="S26" s="361" t="s">
        <v>733</v>
      </c>
      <c r="T26" s="551"/>
      <c r="U26" s="359"/>
      <c r="V26" s="25"/>
      <c r="W26" s="25"/>
      <c r="X26" s="25"/>
    </row>
    <row r="27" spans="1:24" ht="13.8" thickTop="1" x14ac:dyDescent="0.25">
      <c r="A27" s="723"/>
      <c r="B27" s="430"/>
      <c r="C27" s="421"/>
      <c r="D27" s="420"/>
      <c r="E27" s="420"/>
      <c r="O27" s="420"/>
      <c r="P27" s="420"/>
      <c r="Q27" s="431"/>
      <c r="R27" s="421"/>
      <c r="S27" s="426"/>
      <c r="T27" s="919"/>
      <c r="U27" s="427"/>
      <c r="V27" s="25"/>
      <c r="W27" s="25"/>
      <c r="X27" s="25"/>
    </row>
    <row r="28" spans="1:24" x14ac:dyDescent="0.25">
      <c r="A28" s="724">
        <v>5171</v>
      </c>
      <c r="B28" s="397" t="s">
        <v>1425</v>
      </c>
      <c r="C28" s="373">
        <v>64911</v>
      </c>
      <c r="D28" s="373">
        <v>74513</v>
      </c>
      <c r="E28" s="373">
        <v>74959</v>
      </c>
      <c r="O28" s="372">
        <f t="shared" ref="O28:O33" si="9">+Q9</f>
        <v>136308</v>
      </c>
      <c r="P28" s="393">
        <f t="shared" ref="P28:P33" si="10">+S9</f>
        <v>150519</v>
      </c>
      <c r="Q28" s="372">
        <f t="shared" ref="Q28:Q33" si="11">+P28-O28</f>
        <v>14211</v>
      </c>
      <c r="R28" s="374">
        <f t="shared" ref="R28:R33" si="12">IF(O28+P28&lt;&gt;0,IF(O28&lt;&gt;0,IF(Q28&lt;&gt;0,ROUND((+Q28/O28),4),""),1),"")</f>
        <v>0.1043</v>
      </c>
      <c r="S28" s="367"/>
      <c r="T28" s="553"/>
      <c r="U28" s="368"/>
      <c r="V28" s="25"/>
      <c r="W28" s="25"/>
      <c r="X28" s="25"/>
    </row>
    <row r="29" spans="1:24" x14ac:dyDescent="0.25">
      <c r="A29" s="724">
        <v>5172</v>
      </c>
      <c r="B29" s="397" t="s">
        <v>1426</v>
      </c>
      <c r="C29" s="373">
        <v>5852.95</v>
      </c>
      <c r="D29" s="373">
        <v>4536.74</v>
      </c>
      <c r="E29" s="373">
        <v>5986.32</v>
      </c>
      <c r="O29" s="372">
        <f t="shared" si="9"/>
        <v>12000</v>
      </c>
      <c r="P29" s="393">
        <f t="shared" si="10"/>
        <v>12000</v>
      </c>
      <c r="Q29" s="372">
        <f t="shared" si="11"/>
        <v>0</v>
      </c>
      <c r="R29" s="374" t="str">
        <f t="shared" si="12"/>
        <v/>
      </c>
      <c r="S29" s="379"/>
      <c r="T29" s="920"/>
      <c r="U29" s="396"/>
      <c r="V29" s="25"/>
      <c r="W29" s="25"/>
      <c r="X29" s="25"/>
    </row>
    <row r="30" spans="1:24" x14ac:dyDescent="0.25">
      <c r="A30" s="724">
        <v>5173</v>
      </c>
      <c r="B30" s="397" t="s">
        <v>1427</v>
      </c>
      <c r="C30" s="373"/>
      <c r="D30" s="373">
        <v>322</v>
      </c>
      <c r="E30" s="373"/>
      <c r="O30" s="372">
        <f t="shared" si="9"/>
        <v>28000</v>
      </c>
      <c r="P30" s="393">
        <f t="shared" si="10"/>
        <v>28000</v>
      </c>
      <c r="Q30" s="372">
        <f t="shared" si="11"/>
        <v>0</v>
      </c>
      <c r="R30" s="374" t="str">
        <f t="shared" si="12"/>
        <v/>
      </c>
      <c r="S30" s="379"/>
      <c r="T30" s="920"/>
      <c r="U30" s="396"/>
      <c r="V30" s="25"/>
      <c r="W30" s="25"/>
      <c r="X30" s="25"/>
    </row>
    <row r="31" spans="1:24" x14ac:dyDescent="0.25">
      <c r="A31" s="724">
        <v>5174</v>
      </c>
      <c r="B31" s="397" t="s">
        <v>1428</v>
      </c>
      <c r="C31" s="373">
        <v>86130.559999999998</v>
      </c>
      <c r="D31" s="373">
        <v>75924.070000000007</v>
      </c>
      <c r="E31" s="373">
        <v>93076.36</v>
      </c>
      <c r="O31" s="372">
        <f t="shared" si="9"/>
        <v>178000</v>
      </c>
      <c r="P31" s="393">
        <f t="shared" si="10"/>
        <v>180000</v>
      </c>
      <c r="Q31" s="372">
        <f t="shared" si="11"/>
        <v>2000</v>
      </c>
      <c r="R31" s="374">
        <f t="shared" si="12"/>
        <v>1.12E-2</v>
      </c>
      <c r="S31" s="367" t="s">
        <v>2326</v>
      </c>
      <c r="T31" s="553"/>
      <c r="U31" s="368"/>
      <c r="V31" s="25"/>
      <c r="W31" s="25"/>
      <c r="X31" s="25"/>
    </row>
    <row r="32" spans="1:24" x14ac:dyDescent="0.25">
      <c r="A32" s="724">
        <v>5175</v>
      </c>
      <c r="B32" s="397" t="s">
        <v>1429</v>
      </c>
      <c r="C32" s="373">
        <v>759.92</v>
      </c>
      <c r="D32" s="373">
        <v>630.28</v>
      </c>
      <c r="E32" s="373">
        <v>931.52</v>
      </c>
      <c r="O32" s="372">
        <f t="shared" si="9"/>
        <v>1100</v>
      </c>
      <c r="P32" s="393">
        <f t="shared" si="10"/>
        <v>1100</v>
      </c>
      <c r="Q32" s="372">
        <f t="shared" si="11"/>
        <v>0</v>
      </c>
      <c r="R32" s="374" t="str">
        <f t="shared" si="12"/>
        <v/>
      </c>
      <c r="S32" s="367"/>
      <c r="T32" s="553"/>
      <c r="U32" s="368"/>
      <c r="V32" s="25"/>
      <c r="W32" s="25"/>
      <c r="X32" s="25"/>
    </row>
    <row r="33" spans="1:24" x14ac:dyDescent="0.25">
      <c r="A33" s="724">
        <v>5176</v>
      </c>
      <c r="B33" s="397" t="s">
        <v>1430</v>
      </c>
      <c r="C33" s="373">
        <v>4774.32</v>
      </c>
      <c r="D33" s="373">
        <v>4967.07</v>
      </c>
      <c r="E33" s="373">
        <v>6446.86</v>
      </c>
      <c r="O33" s="372">
        <f t="shared" si="9"/>
        <v>8223</v>
      </c>
      <c r="P33" s="393">
        <f t="shared" si="10"/>
        <v>9100</v>
      </c>
      <c r="Q33" s="372">
        <f t="shared" si="11"/>
        <v>877</v>
      </c>
      <c r="R33" s="374">
        <f t="shared" si="12"/>
        <v>0.1067</v>
      </c>
      <c r="S33" s="367"/>
      <c r="T33" s="553"/>
      <c r="U33" s="368"/>
      <c r="V33" s="25"/>
      <c r="W33" s="25"/>
      <c r="X33" s="25"/>
    </row>
    <row r="34" spans="1:24" x14ac:dyDescent="0.25">
      <c r="A34" s="724"/>
      <c r="B34" s="397"/>
      <c r="C34" s="373"/>
      <c r="D34" s="373"/>
      <c r="E34" s="373"/>
      <c r="O34" s="372"/>
      <c r="P34" s="393"/>
      <c r="Q34" s="372"/>
      <c r="R34" s="373"/>
      <c r="S34" s="367"/>
      <c r="T34" s="553"/>
      <c r="U34" s="368"/>
      <c r="V34" s="25"/>
      <c r="W34" s="25"/>
      <c r="X34" s="25"/>
    </row>
    <row r="35" spans="1:24" x14ac:dyDescent="0.25">
      <c r="R35" s="25"/>
      <c r="V35" s="25"/>
      <c r="W35" s="25"/>
      <c r="X35" s="25"/>
    </row>
    <row r="36" spans="1:24" x14ac:dyDescent="0.25">
      <c r="B36" s="4" t="s">
        <v>735</v>
      </c>
      <c r="O36" s="597">
        <f>SUM(O28:O35)</f>
        <v>363631</v>
      </c>
      <c r="P36" s="597">
        <f>SUM(P28:P35)</f>
        <v>380719</v>
      </c>
      <c r="Q36" s="25">
        <f>+P36-O36</f>
        <v>17088</v>
      </c>
      <c r="R36" s="598">
        <f>IF(O36+P36&lt;&gt;0,IF(O36&lt;&gt;0,IF(Q36&lt;&gt;0,ROUND((+Q36/O36),4),""),1),"")</f>
        <v>4.7E-2</v>
      </c>
      <c r="V36" s="25"/>
      <c r="W36" s="25"/>
      <c r="X36" s="25"/>
    </row>
    <row r="37" spans="1:24" x14ac:dyDescent="0.25">
      <c r="R37" s="25"/>
      <c r="V37" s="25"/>
      <c r="W37" s="25"/>
      <c r="X37" s="25"/>
    </row>
    <row r="38" spans="1:24" x14ac:dyDescent="0.25">
      <c r="R38" s="25"/>
      <c r="V38" s="25"/>
      <c r="W38" s="25"/>
      <c r="X38" s="25"/>
    </row>
    <row r="39" spans="1:24" x14ac:dyDescent="0.25">
      <c r="R39" s="25"/>
      <c r="V39" s="25"/>
      <c r="W39" s="25"/>
      <c r="X39" s="25"/>
    </row>
    <row r="40" spans="1:24" x14ac:dyDescent="0.25">
      <c r="R40" s="25"/>
      <c r="V40" s="25"/>
      <c r="W40" s="25"/>
      <c r="X40" s="25"/>
    </row>
    <row r="41" spans="1:24" x14ac:dyDescent="0.25">
      <c r="R41" s="25"/>
      <c r="V41" s="25"/>
      <c r="W41" s="25"/>
      <c r="X41" s="25"/>
    </row>
    <row r="42" spans="1:24" x14ac:dyDescent="0.25">
      <c r="R42" s="25"/>
      <c r="V42" s="25"/>
      <c r="W42" s="25"/>
      <c r="X42" s="25"/>
    </row>
    <row r="43" spans="1:24" x14ac:dyDescent="0.25">
      <c r="R43" s="25"/>
      <c r="V43" s="25"/>
      <c r="W43" s="25"/>
      <c r="X43" s="25"/>
    </row>
    <row r="44" spans="1:24" x14ac:dyDescent="0.25">
      <c r="R44" s="25"/>
      <c r="V44" s="25"/>
      <c r="W44" s="25"/>
      <c r="X44" s="25"/>
    </row>
    <row r="45" spans="1:24" x14ac:dyDescent="0.25">
      <c r="R45" s="25"/>
      <c r="V45" s="25"/>
      <c r="W45" s="25"/>
      <c r="X45" s="25"/>
    </row>
    <row r="46" spans="1:24" x14ac:dyDescent="0.25">
      <c r="R46" s="25"/>
      <c r="V46" s="25"/>
      <c r="W46" s="25"/>
      <c r="X46" s="25"/>
    </row>
    <row r="47" spans="1:24" x14ac:dyDescent="0.25">
      <c r="R47" s="25"/>
      <c r="V47" s="25"/>
      <c r="W47" s="25"/>
      <c r="X47" s="25"/>
    </row>
    <row r="48" spans="1:24" x14ac:dyDescent="0.25">
      <c r="R48" s="25"/>
      <c r="V48" s="25"/>
      <c r="W48" s="25"/>
      <c r="X48" s="25"/>
    </row>
    <row r="49" spans="18:24" x14ac:dyDescent="0.25">
      <c r="R49" s="25"/>
      <c r="V49" s="25"/>
      <c r="W49" s="25"/>
      <c r="X49" s="25"/>
    </row>
    <row r="50" spans="18:24" x14ac:dyDescent="0.25">
      <c r="R50" s="25"/>
      <c r="V50" s="25"/>
      <c r="W50" s="25"/>
      <c r="X50" s="25"/>
    </row>
    <row r="51" spans="18:24" x14ac:dyDescent="0.25">
      <c r="R51" s="25"/>
      <c r="V51" s="25"/>
      <c r="W51" s="25"/>
      <c r="X51" s="25"/>
    </row>
    <row r="52" spans="18:24" x14ac:dyDescent="0.25">
      <c r="R52" s="25"/>
      <c r="V52" s="25"/>
      <c r="W52" s="25"/>
      <c r="X52" s="25"/>
    </row>
    <row r="53" spans="18:24" x14ac:dyDescent="0.25">
      <c r="R53" s="25"/>
      <c r="V53" s="25"/>
      <c r="W53" s="25"/>
      <c r="X53" s="25"/>
    </row>
    <row r="54" spans="18:24" x14ac:dyDescent="0.25">
      <c r="R54" s="25"/>
      <c r="V54" s="25"/>
      <c r="W54" s="25"/>
      <c r="X54" s="25"/>
    </row>
    <row r="55" spans="18:24" x14ac:dyDescent="0.25">
      <c r="R55" s="25"/>
      <c r="V55" s="25"/>
      <c r="W55" s="25"/>
      <c r="X55" s="25"/>
    </row>
    <row r="56" spans="18:24" x14ac:dyDescent="0.25">
      <c r="R56" s="25"/>
      <c r="V56" s="25"/>
      <c r="W56" s="25"/>
      <c r="X56" s="25"/>
    </row>
    <row r="57" spans="18:24" x14ac:dyDescent="0.25">
      <c r="R57" s="25"/>
      <c r="V57" s="25"/>
      <c r="W57" s="25"/>
      <c r="X57" s="25"/>
    </row>
    <row r="58" spans="18:24" x14ac:dyDescent="0.25">
      <c r="R58" s="25"/>
      <c r="V58" s="25"/>
      <c r="W58" s="25"/>
      <c r="X58" s="25"/>
    </row>
    <row r="59" spans="18:24" x14ac:dyDescent="0.25">
      <c r="R59" s="25"/>
      <c r="V59" s="25"/>
      <c r="W59" s="25"/>
      <c r="X59" s="25"/>
    </row>
    <row r="60" spans="18:24" x14ac:dyDescent="0.25">
      <c r="R60" s="25"/>
      <c r="V60" s="25"/>
      <c r="W60" s="25"/>
      <c r="X60" s="25"/>
    </row>
    <row r="61" spans="18:24" x14ac:dyDescent="0.25">
      <c r="R61" s="25"/>
      <c r="V61" s="25"/>
      <c r="W61" s="25"/>
      <c r="X61" s="25"/>
    </row>
    <row r="62" spans="18:24" x14ac:dyDescent="0.25">
      <c r="R62" s="25"/>
      <c r="V62" s="25"/>
      <c r="W62" s="25"/>
      <c r="X62" s="25"/>
    </row>
    <row r="63" spans="18:24" x14ac:dyDescent="0.25">
      <c r="R63" s="25"/>
      <c r="V63" s="25"/>
      <c r="W63" s="25"/>
      <c r="X63" s="25"/>
    </row>
    <row r="64" spans="18:24" x14ac:dyDescent="0.25">
      <c r="R64" s="25"/>
      <c r="V64" s="25"/>
      <c r="W64" s="25"/>
      <c r="X64" s="25"/>
    </row>
    <row r="65" spans="18:24" x14ac:dyDescent="0.25">
      <c r="R65" s="25"/>
      <c r="V65" s="25"/>
      <c r="W65" s="25"/>
      <c r="X65" s="25"/>
    </row>
    <row r="66" spans="18:24" x14ac:dyDescent="0.25">
      <c r="R66" s="25"/>
      <c r="V66" s="25"/>
      <c r="W66" s="25"/>
      <c r="X66" s="25"/>
    </row>
    <row r="67" spans="18:24" x14ac:dyDescent="0.25">
      <c r="R67" s="25"/>
      <c r="V67" s="25"/>
      <c r="W67" s="25"/>
      <c r="X67" s="25"/>
    </row>
    <row r="68" spans="18:24" x14ac:dyDescent="0.25">
      <c r="R68" s="25"/>
      <c r="V68" s="25"/>
      <c r="W68" s="25"/>
      <c r="X68" s="25"/>
    </row>
    <row r="69" spans="18:24" x14ac:dyDescent="0.25">
      <c r="R69" s="25"/>
      <c r="V69" s="25"/>
      <c r="W69" s="25"/>
      <c r="X69" s="25"/>
    </row>
    <row r="70" spans="18:24" x14ac:dyDescent="0.25">
      <c r="R70" s="25"/>
      <c r="V70" s="25"/>
      <c r="W70" s="25"/>
      <c r="X70" s="25"/>
    </row>
    <row r="71" spans="18:24" x14ac:dyDescent="0.25">
      <c r="R71" s="25"/>
      <c r="V71" s="25"/>
      <c r="W71" s="25"/>
      <c r="X71" s="25"/>
    </row>
    <row r="72" spans="18:24" x14ac:dyDescent="0.25">
      <c r="R72" s="25"/>
      <c r="V72" s="25"/>
      <c r="W72" s="25"/>
      <c r="X72" s="25"/>
    </row>
    <row r="73" spans="18:24" x14ac:dyDescent="0.25">
      <c r="R73" s="25"/>
      <c r="V73" s="25"/>
      <c r="W73" s="25"/>
      <c r="X73" s="25"/>
    </row>
    <row r="74" spans="18:24" x14ac:dyDescent="0.25">
      <c r="R74" s="25"/>
      <c r="V74" s="25"/>
      <c r="W74" s="25"/>
      <c r="X74" s="25"/>
    </row>
    <row r="75" spans="18:24" x14ac:dyDescent="0.25">
      <c r="R75" s="25"/>
      <c r="V75" s="25"/>
      <c r="W75" s="25"/>
      <c r="X75" s="25"/>
    </row>
    <row r="76" spans="18:24" x14ac:dyDescent="0.25">
      <c r="R76" s="25"/>
      <c r="V76" s="25"/>
      <c r="W76" s="25"/>
      <c r="X76" s="25"/>
    </row>
    <row r="77" spans="18:24" x14ac:dyDescent="0.25">
      <c r="R77" s="25"/>
      <c r="V77" s="25"/>
      <c r="W77" s="25"/>
      <c r="X77" s="25"/>
    </row>
    <row r="78" spans="18:24" x14ac:dyDescent="0.25">
      <c r="R78" s="25"/>
      <c r="V78" s="25"/>
      <c r="W78" s="25"/>
      <c r="X78" s="25"/>
    </row>
    <row r="79" spans="18:24" x14ac:dyDescent="0.25">
      <c r="R79" s="25"/>
      <c r="V79" s="25"/>
      <c r="W79" s="25"/>
      <c r="X79" s="25"/>
    </row>
    <row r="80" spans="18:24" x14ac:dyDescent="0.25">
      <c r="R80" s="25"/>
      <c r="V80" s="25"/>
      <c r="W80" s="25"/>
      <c r="X80" s="25"/>
    </row>
    <row r="81" spans="18:24" x14ac:dyDescent="0.25">
      <c r="R81" s="25"/>
      <c r="V81" s="25"/>
      <c r="W81" s="25"/>
      <c r="X81" s="25"/>
    </row>
    <row r="82" spans="18:24" x14ac:dyDescent="0.25">
      <c r="R82" s="25"/>
      <c r="V82" s="25"/>
      <c r="W82" s="25"/>
      <c r="X82" s="25"/>
    </row>
    <row r="83" spans="18:24" x14ac:dyDescent="0.25">
      <c r="V83" s="4"/>
      <c r="W83" s="4"/>
      <c r="X83" s="4"/>
    </row>
    <row r="84" spans="18:24" x14ac:dyDescent="0.25">
      <c r="V84" s="4"/>
      <c r="W84" s="4"/>
      <c r="X84" s="4"/>
    </row>
    <row r="85" spans="18:24" x14ac:dyDescent="0.25">
      <c r="V85" s="4"/>
      <c r="W85" s="4"/>
      <c r="X85" s="4"/>
    </row>
    <row r="86" spans="18:24" x14ac:dyDescent="0.25">
      <c r="V86" s="4"/>
      <c r="W86" s="4"/>
      <c r="X86" s="4"/>
    </row>
    <row r="87" spans="18:24" x14ac:dyDescent="0.25">
      <c r="V87" s="4"/>
      <c r="W87" s="4"/>
      <c r="X87" s="4"/>
    </row>
    <row r="88" spans="18:24" x14ac:dyDescent="0.25">
      <c r="V88" s="4"/>
      <c r="W88" s="4"/>
      <c r="X88" s="4"/>
    </row>
    <row r="89" spans="18:24" x14ac:dyDescent="0.25">
      <c r="V89" s="4"/>
      <c r="W89" s="4"/>
      <c r="X89" s="4"/>
    </row>
    <row r="90" spans="18:24" x14ac:dyDescent="0.25">
      <c r="V90" s="4"/>
      <c r="W90" s="4"/>
      <c r="X90" s="4"/>
    </row>
    <row r="91" spans="18:24" x14ac:dyDescent="0.25">
      <c r="V91" s="4"/>
      <c r="W91" s="4"/>
      <c r="X91" s="4"/>
    </row>
    <row r="92" spans="18:24" x14ac:dyDescent="0.25">
      <c r="V92" s="4"/>
      <c r="W92" s="4"/>
      <c r="X92" s="4"/>
    </row>
    <row r="93" spans="18:24" x14ac:dyDescent="0.25">
      <c r="V93" s="4"/>
      <c r="W93" s="4"/>
      <c r="X93" s="4"/>
    </row>
    <row r="94" spans="18:24" x14ac:dyDescent="0.25">
      <c r="V94" s="4"/>
      <c r="W94" s="4"/>
      <c r="X94" s="4"/>
    </row>
    <row r="95" spans="18:24" x14ac:dyDescent="0.25">
      <c r="V95" s="4"/>
      <c r="W95" s="4"/>
      <c r="X95" s="4"/>
    </row>
    <row r="96" spans="18:24" x14ac:dyDescent="0.25">
      <c r="V96" s="4"/>
      <c r="W96" s="4"/>
      <c r="X96" s="4"/>
    </row>
    <row r="97" spans="22:24" x14ac:dyDescent="0.25">
      <c r="V97" s="4"/>
      <c r="W97" s="4"/>
      <c r="X97" s="4"/>
    </row>
    <row r="98" spans="22:24" x14ac:dyDescent="0.25">
      <c r="V98" s="4"/>
      <c r="W98" s="4"/>
      <c r="X98" s="4"/>
    </row>
    <row r="99" spans="22:24" x14ac:dyDescent="0.25">
      <c r="V99" s="4"/>
      <c r="W99" s="4"/>
      <c r="X99" s="4"/>
    </row>
    <row r="100" spans="22:24" x14ac:dyDescent="0.25">
      <c r="V100" s="4"/>
      <c r="W100" s="4"/>
      <c r="X100" s="4"/>
    </row>
    <row r="101" spans="22:24" x14ac:dyDescent="0.25">
      <c r="V101" s="4"/>
      <c r="W101" s="4"/>
      <c r="X101" s="4"/>
    </row>
    <row r="102" spans="22:24" x14ac:dyDescent="0.25">
      <c r="V102" s="4"/>
      <c r="W102" s="4"/>
      <c r="X102" s="4"/>
    </row>
    <row r="103" spans="22:24" x14ac:dyDescent="0.25">
      <c r="V103" s="4"/>
      <c r="W103" s="4"/>
      <c r="X103" s="4"/>
    </row>
    <row r="104" spans="22:24" x14ac:dyDescent="0.25">
      <c r="V104" s="4"/>
      <c r="W104" s="4"/>
      <c r="X104" s="4"/>
    </row>
    <row r="105" spans="22:24" x14ac:dyDescent="0.25">
      <c r="V105" s="4"/>
      <c r="W105" s="4"/>
      <c r="X105" s="4"/>
    </row>
    <row r="106" spans="22:24" x14ac:dyDescent="0.25">
      <c r="V106" s="4"/>
      <c r="W106" s="4"/>
      <c r="X106" s="4"/>
    </row>
    <row r="107" spans="22:24" x14ac:dyDescent="0.25">
      <c r="V107" s="4"/>
      <c r="W107" s="4"/>
      <c r="X107" s="4"/>
    </row>
    <row r="108" spans="22:24" x14ac:dyDescent="0.25">
      <c r="V108" s="4"/>
      <c r="W108" s="4"/>
      <c r="X108" s="4"/>
    </row>
    <row r="109" spans="22:24" x14ac:dyDescent="0.25">
      <c r="V109" s="4"/>
      <c r="W109" s="4"/>
      <c r="X109" s="4"/>
    </row>
    <row r="110" spans="22:24" x14ac:dyDescent="0.25">
      <c r="V110" s="4"/>
      <c r="W110" s="4"/>
      <c r="X110" s="4"/>
    </row>
    <row r="111" spans="22:24" x14ac:dyDescent="0.25">
      <c r="V111" s="4"/>
      <c r="W111" s="4"/>
      <c r="X111" s="4"/>
    </row>
    <row r="112" spans="22:24" x14ac:dyDescent="0.25">
      <c r="V112" s="4"/>
      <c r="W112" s="4"/>
      <c r="X112" s="4"/>
    </row>
    <row r="113" spans="22:24" x14ac:dyDescent="0.25">
      <c r="V113" s="4"/>
      <c r="W113" s="4"/>
      <c r="X113" s="4"/>
    </row>
    <row r="114" spans="22:24" x14ac:dyDescent="0.25">
      <c r="V114" s="4"/>
      <c r="W114" s="4"/>
      <c r="X114" s="4"/>
    </row>
    <row r="115" spans="22:24" x14ac:dyDescent="0.25">
      <c r="V115" s="4"/>
      <c r="W115" s="4"/>
      <c r="X115" s="4"/>
    </row>
    <row r="116" spans="22:24" x14ac:dyDescent="0.25">
      <c r="V116" s="4"/>
      <c r="W116" s="4"/>
      <c r="X116" s="4"/>
    </row>
    <row r="117" spans="22:24" x14ac:dyDescent="0.25">
      <c r="V117" s="4"/>
      <c r="W117" s="4"/>
      <c r="X117" s="4"/>
    </row>
    <row r="118" spans="22:24" x14ac:dyDescent="0.25">
      <c r="V118" s="4"/>
      <c r="W118" s="4"/>
      <c r="X118" s="4"/>
    </row>
    <row r="119" spans="22:24" x14ac:dyDescent="0.25">
      <c r="V119" s="4"/>
      <c r="W119" s="4"/>
      <c r="X119" s="4"/>
    </row>
    <row r="120" spans="22:24" x14ac:dyDescent="0.25">
      <c r="V120" s="4"/>
      <c r="W120" s="4"/>
      <c r="X120" s="4"/>
    </row>
    <row r="121" spans="22:24" x14ac:dyDescent="0.25">
      <c r="V121" s="4"/>
      <c r="W121" s="4"/>
      <c r="X121" s="4"/>
    </row>
    <row r="122" spans="22:24" x14ac:dyDescent="0.25">
      <c r="V122" s="4"/>
      <c r="W122" s="4"/>
      <c r="X122" s="4"/>
    </row>
    <row r="123" spans="22:24" x14ac:dyDescent="0.25">
      <c r="V123" s="4"/>
      <c r="W123" s="4"/>
      <c r="X123" s="4"/>
    </row>
    <row r="124" spans="22:24" x14ac:dyDescent="0.25">
      <c r="V124" s="4"/>
      <c r="W124" s="4"/>
      <c r="X124" s="4"/>
    </row>
    <row r="125" spans="22:24" x14ac:dyDescent="0.25">
      <c r="V125" s="4"/>
      <c r="W125" s="4"/>
      <c r="X125" s="4"/>
    </row>
    <row r="126" spans="22:24" x14ac:dyDescent="0.25">
      <c r="V126" s="4"/>
      <c r="W126" s="4"/>
      <c r="X126" s="4"/>
    </row>
    <row r="127" spans="22:24" x14ac:dyDescent="0.25">
      <c r="V127" s="4"/>
      <c r="W127" s="4"/>
      <c r="X127" s="4"/>
    </row>
    <row r="128" spans="22:24" x14ac:dyDescent="0.25">
      <c r="V128" s="4"/>
      <c r="W128" s="4"/>
      <c r="X128" s="4"/>
    </row>
    <row r="129" spans="22:24" x14ac:dyDescent="0.25">
      <c r="V129" s="4"/>
      <c r="W129" s="4"/>
      <c r="X129" s="4"/>
    </row>
    <row r="130" spans="22:24" x14ac:dyDescent="0.25">
      <c r="V130" s="4"/>
      <c r="W130" s="4"/>
      <c r="X130" s="4"/>
    </row>
    <row r="131" spans="22:24" x14ac:dyDescent="0.25">
      <c r="V131" s="4"/>
      <c r="W131" s="4"/>
      <c r="X131" s="4"/>
    </row>
    <row r="132" spans="22:24" x14ac:dyDescent="0.25">
      <c r="V132" s="4"/>
      <c r="W132" s="4"/>
      <c r="X132" s="4"/>
    </row>
    <row r="133" spans="22:24" x14ac:dyDescent="0.25">
      <c r="V133" s="4"/>
      <c r="W133" s="4"/>
      <c r="X133" s="4"/>
    </row>
    <row r="134" spans="22:24" x14ac:dyDescent="0.25">
      <c r="V134" s="4"/>
      <c r="W134" s="4"/>
      <c r="X134" s="4"/>
    </row>
    <row r="135" spans="22:24" x14ac:dyDescent="0.25">
      <c r="V135" s="4"/>
      <c r="W135" s="4"/>
      <c r="X135" s="4"/>
    </row>
    <row r="136" spans="22:24" x14ac:dyDescent="0.25">
      <c r="V136" s="4"/>
      <c r="W136" s="4"/>
      <c r="X136" s="4"/>
    </row>
    <row r="137" spans="22:24" x14ac:dyDescent="0.25">
      <c r="V137" s="4"/>
      <c r="W137" s="4"/>
      <c r="X137" s="4"/>
    </row>
    <row r="138" spans="22:24" x14ac:dyDescent="0.25">
      <c r="V138" s="4"/>
      <c r="W138" s="4"/>
      <c r="X138" s="4"/>
    </row>
    <row r="139" spans="22:24" x14ac:dyDescent="0.25">
      <c r="V139" s="4"/>
      <c r="W139" s="4"/>
      <c r="X139" s="4"/>
    </row>
    <row r="140" spans="22:24" x14ac:dyDescent="0.25">
      <c r="V140" s="4"/>
      <c r="W140" s="4"/>
      <c r="X140" s="4"/>
    </row>
    <row r="141" spans="22:24" x14ac:dyDescent="0.25">
      <c r="V141" s="4"/>
      <c r="W141" s="4"/>
      <c r="X141" s="4"/>
    </row>
    <row r="142" spans="22:24" x14ac:dyDescent="0.25">
      <c r="V142" s="4"/>
      <c r="W142" s="4"/>
      <c r="X142" s="4"/>
    </row>
    <row r="143" spans="22:24" x14ac:dyDescent="0.25">
      <c r="V143" s="4"/>
      <c r="W143" s="4"/>
      <c r="X143" s="4"/>
    </row>
    <row r="144" spans="22:24" x14ac:dyDescent="0.25">
      <c r="V144" s="4"/>
      <c r="W144" s="4"/>
      <c r="X144" s="4"/>
    </row>
    <row r="145" spans="22:24" x14ac:dyDescent="0.25">
      <c r="V145" s="4"/>
      <c r="W145" s="4"/>
      <c r="X145" s="4"/>
    </row>
  </sheetData>
  <phoneticPr fontId="0" type="noConversion"/>
  <hyperlinks>
    <hyperlink ref="A1" location="'Working Budget with funding det'!A1" display="Main " xr:uid="{00000000-0004-0000-3C00-000000000000}"/>
    <hyperlink ref="B1" location="'Table of Contents'!A1" display="TOC" xr:uid="{00000000-0004-0000-3C00-000001000000}"/>
  </hyperlinks>
  <pageMargins left="0.75" right="0.75" top="1" bottom="1" header="0.5" footer="0.5"/>
  <pageSetup scale="91" orientation="landscape" horizontalDpi="300" verticalDpi="300" r:id="rId1"/>
  <headerFooter alignWithMargins="0">
    <oddFooter>&amp;L&amp;D     &amp;T&amp;C&amp;F&amp;R&amp;A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pageSetUpPr fitToPage="1"/>
  </sheetPr>
  <dimension ref="A1:N61"/>
  <sheetViews>
    <sheetView topLeftCell="A17" workbookViewId="0">
      <selection activeCell="S33" sqref="S33"/>
    </sheetView>
  </sheetViews>
  <sheetFormatPr defaultRowHeight="13.2" x14ac:dyDescent="0.25"/>
  <cols>
    <col min="1" max="1" width="13.44140625" style="843" customWidth="1"/>
    <col min="2" max="2" width="3.44140625" customWidth="1"/>
    <col min="3" max="3" width="4" customWidth="1"/>
    <col min="4" max="4" width="14.77734375" customWidth="1"/>
    <col min="5" max="5" width="11" customWidth="1"/>
  </cols>
  <sheetData>
    <row r="1" spans="1:14" x14ac:dyDescent="0.25">
      <c r="B1" s="4" t="s">
        <v>1596</v>
      </c>
      <c r="C1" s="4"/>
      <c r="D1" s="4"/>
      <c r="E1" s="4"/>
      <c r="F1" s="4"/>
      <c r="G1" s="4"/>
      <c r="H1" s="4"/>
      <c r="I1" s="4"/>
      <c r="J1" s="4"/>
      <c r="K1" s="1087" t="s">
        <v>2630</v>
      </c>
      <c r="L1" s="1087"/>
      <c r="M1" s="1087"/>
      <c r="N1" s="4"/>
    </row>
    <row r="2" spans="1:14" x14ac:dyDescent="0.25">
      <c r="B2" s="4"/>
      <c r="C2" s="4"/>
      <c r="D2" s="4"/>
      <c r="E2" s="4"/>
      <c r="F2" s="4"/>
      <c r="G2" s="4"/>
      <c r="H2" s="4"/>
      <c r="I2" s="4"/>
      <c r="J2" s="4"/>
      <c r="K2" s="4"/>
      <c r="L2" s="4"/>
      <c r="M2" s="4"/>
      <c r="N2" s="4"/>
    </row>
    <row r="3" spans="1:14" x14ac:dyDescent="0.25">
      <c r="B3" s="4" t="s">
        <v>1597</v>
      </c>
      <c r="C3" s="4" t="s">
        <v>1598</v>
      </c>
      <c r="D3" s="4"/>
      <c r="E3" s="4"/>
      <c r="F3" s="4"/>
      <c r="G3" s="4"/>
      <c r="H3" s="4"/>
      <c r="I3" s="4"/>
      <c r="J3" s="4"/>
      <c r="K3" s="4"/>
      <c r="L3" s="4"/>
      <c r="M3" s="4"/>
      <c r="N3" s="4"/>
    </row>
    <row r="4" spans="1:14" x14ac:dyDescent="0.25">
      <c r="B4" s="4"/>
      <c r="C4" s="4" t="s">
        <v>1599</v>
      </c>
      <c r="D4" s="4" t="s">
        <v>1600</v>
      </c>
      <c r="E4" s="4"/>
      <c r="F4" s="4"/>
      <c r="G4" s="4"/>
      <c r="H4" s="4"/>
      <c r="I4" s="4"/>
      <c r="J4" s="4"/>
      <c r="K4" s="4"/>
      <c r="L4" s="4"/>
      <c r="M4" s="4"/>
      <c r="N4" s="4"/>
    </row>
    <row r="5" spans="1:14" x14ac:dyDescent="0.25">
      <c r="A5" s="1328">
        <v>0.18290000000000001</v>
      </c>
      <c r="B5" s="4"/>
      <c r="C5" s="4"/>
      <c r="D5" s="548">
        <f>+D55</f>
        <v>0.234378</v>
      </c>
      <c r="E5" s="4" t="s">
        <v>1601</v>
      </c>
      <c r="F5" s="4"/>
      <c r="G5" s="4"/>
      <c r="H5" s="4"/>
      <c r="I5" s="4"/>
      <c r="J5" s="4"/>
      <c r="K5" s="4"/>
      <c r="L5" s="4"/>
      <c r="M5" s="4"/>
      <c r="N5" s="4"/>
    </row>
    <row r="6" spans="1:14" ht="13.8" thickBot="1" x14ac:dyDescent="0.3">
      <c r="A6" s="843">
        <v>16562</v>
      </c>
      <c r="B6" s="4"/>
      <c r="C6" s="4"/>
      <c r="D6" s="941">
        <v>15693</v>
      </c>
      <c r="E6" s="4" t="s">
        <v>2146</v>
      </c>
      <c r="F6" s="4"/>
      <c r="G6" s="4"/>
      <c r="H6" s="4"/>
      <c r="I6" s="4"/>
      <c r="J6" s="4"/>
      <c r="K6" s="4"/>
      <c r="L6" s="4"/>
      <c r="M6" s="4"/>
      <c r="N6" s="4"/>
    </row>
    <row r="7" spans="1:14" ht="13.8" thickBot="1" x14ac:dyDescent="0.3">
      <c r="A7" s="843">
        <v>3029</v>
      </c>
      <c r="B7" s="4"/>
      <c r="C7" s="4"/>
      <c r="D7" s="681">
        <f>ROUND((+D6*D5),0)</f>
        <v>3678</v>
      </c>
      <c r="E7" s="4" t="s">
        <v>1602</v>
      </c>
      <c r="F7" s="4"/>
      <c r="G7" s="4"/>
      <c r="H7" s="4"/>
      <c r="I7" s="4"/>
      <c r="J7" s="4"/>
      <c r="K7" s="4"/>
      <c r="L7" s="4"/>
      <c r="M7" s="4"/>
      <c r="N7" s="4"/>
    </row>
    <row r="8" spans="1:14" x14ac:dyDescent="0.25">
      <c r="B8" s="4"/>
      <c r="C8" s="4"/>
      <c r="D8" s="4"/>
      <c r="E8" s="4"/>
      <c r="F8" s="4"/>
      <c r="G8" s="4"/>
      <c r="H8" s="4"/>
      <c r="I8" s="4"/>
      <c r="J8" s="4"/>
      <c r="K8" s="4"/>
      <c r="L8" s="4"/>
      <c r="M8" s="4"/>
      <c r="N8" s="4"/>
    </row>
    <row r="9" spans="1:14" x14ac:dyDescent="0.25">
      <c r="B9" s="4"/>
      <c r="C9" s="4" t="s">
        <v>1603</v>
      </c>
      <c r="D9" s="4" t="s">
        <v>1604</v>
      </c>
      <c r="E9" s="4"/>
      <c r="F9" s="4"/>
      <c r="G9" s="4"/>
      <c r="H9" s="4"/>
      <c r="I9" s="4"/>
      <c r="J9" s="4"/>
      <c r="K9" s="4"/>
      <c r="L9" s="4"/>
      <c r="M9" s="4"/>
      <c r="N9" s="4"/>
    </row>
    <row r="10" spans="1:14" x14ac:dyDescent="0.25">
      <c r="A10" s="843">
        <v>204000</v>
      </c>
      <c r="B10" s="4"/>
      <c r="C10" s="4"/>
      <c r="D10" s="682">
        <f>+'661 440 CWF'!S18+'661 440 CWF'!S19</f>
        <v>204000</v>
      </c>
      <c r="E10" s="4" t="s">
        <v>1605</v>
      </c>
      <c r="F10" s="4"/>
      <c r="G10" s="4"/>
      <c r="H10" s="4"/>
      <c r="I10" s="4"/>
      <c r="J10" s="4"/>
      <c r="K10" s="4"/>
      <c r="L10" s="4"/>
      <c r="M10" s="4"/>
      <c r="N10" s="4"/>
    </row>
    <row r="11" spans="1:14" x14ac:dyDescent="0.25">
      <c r="A11" s="843">
        <v>0.08</v>
      </c>
      <c r="B11" s="4"/>
      <c r="C11" s="4"/>
      <c r="D11" s="670">
        <v>0.08</v>
      </c>
      <c r="E11" s="4" t="s">
        <v>1606</v>
      </c>
      <c r="F11" s="4"/>
      <c r="G11" s="4"/>
      <c r="H11" s="4"/>
      <c r="I11" s="4"/>
      <c r="J11" s="4"/>
      <c r="K11" s="4"/>
      <c r="L11" s="4"/>
      <c r="M11" s="4"/>
      <c r="N11" s="4"/>
    </row>
    <row r="12" spans="1:14" ht="13.8" thickBot="1" x14ac:dyDescent="0.3">
      <c r="A12" s="1328">
        <v>0.3231</v>
      </c>
      <c r="B12" s="4"/>
      <c r="C12" s="4"/>
      <c r="D12" s="548">
        <f>+D49</f>
        <v>0.38893800000000001</v>
      </c>
      <c r="E12" s="4" t="s">
        <v>1607</v>
      </c>
      <c r="F12" s="4"/>
      <c r="G12" s="4"/>
      <c r="H12" s="4"/>
      <c r="I12" s="4"/>
      <c r="J12" s="4"/>
      <c r="K12" s="4"/>
      <c r="L12" s="4"/>
      <c r="M12" s="4"/>
      <c r="N12" s="4"/>
    </row>
    <row r="13" spans="1:14" ht="13.8" thickBot="1" x14ac:dyDescent="0.3">
      <c r="A13" s="843">
        <v>5273</v>
      </c>
      <c r="B13" s="4"/>
      <c r="C13" s="4"/>
      <c r="D13" s="681">
        <f>ROUND((+D10*D11*D12),0)</f>
        <v>6347</v>
      </c>
      <c r="E13" s="4" t="s">
        <v>1608</v>
      </c>
      <c r="F13" s="4"/>
      <c r="G13" s="4"/>
      <c r="H13" s="4"/>
      <c r="I13" s="4"/>
      <c r="J13" s="4"/>
      <c r="K13" s="4"/>
      <c r="L13" s="4"/>
      <c r="M13" s="4"/>
      <c r="N13" s="4"/>
    </row>
    <row r="14" spans="1:14" x14ac:dyDescent="0.25">
      <c r="B14" s="4"/>
      <c r="C14" s="4"/>
      <c r="D14" s="4"/>
      <c r="E14" s="4"/>
      <c r="F14" s="4"/>
      <c r="G14" s="4"/>
      <c r="H14" s="4"/>
      <c r="I14" s="4"/>
      <c r="J14" s="4"/>
      <c r="K14" s="4"/>
      <c r="L14" s="4"/>
      <c r="M14" s="4"/>
      <c r="N14" s="4"/>
    </row>
    <row r="15" spans="1:14" x14ac:dyDescent="0.25">
      <c r="B15" s="4"/>
      <c r="C15" s="4" t="s">
        <v>1609</v>
      </c>
      <c r="D15" s="4" t="s">
        <v>1610</v>
      </c>
      <c r="E15" s="4"/>
      <c r="F15" s="4"/>
      <c r="G15" s="4"/>
      <c r="H15" s="4"/>
      <c r="I15" s="4"/>
      <c r="J15" s="4"/>
      <c r="K15" s="4"/>
      <c r="L15" s="4"/>
      <c r="M15" s="4"/>
      <c r="N15" s="4"/>
    </row>
    <row r="16" spans="1:14" x14ac:dyDescent="0.25">
      <c r="A16" s="1328">
        <v>0.3231</v>
      </c>
      <c r="B16" s="4"/>
      <c r="C16" s="4"/>
      <c r="D16" s="671">
        <f>+D49</f>
        <v>0.38893800000000001</v>
      </c>
      <c r="E16" s="4" t="s">
        <v>1607</v>
      </c>
      <c r="F16" s="4"/>
      <c r="G16" s="4"/>
      <c r="H16" s="4"/>
      <c r="I16" s="4"/>
      <c r="J16" s="4"/>
      <c r="K16" s="4"/>
      <c r="L16" s="4"/>
      <c r="M16" s="4"/>
      <c r="N16" s="4"/>
    </row>
    <row r="17" spans="1:14" x14ac:dyDescent="0.25">
      <c r="A17" s="843">
        <v>23360</v>
      </c>
      <c r="B17" s="4"/>
      <c r="C17" s="4"/>
      <c r="D17" s="941">
        <f>23000*0.75</f>
        <v>17250</v>
      </c>
      <c r="E17" s="4" t="s">
        <v>2010</v>
      </c>
      <c r="F17" s="4"/>
      <c r="G17" s="4"/>
      <c r="H17" s="4"/>
      <c r="I17" s="4"/>
      <c r="J17" s="4"/>
      <c r="K17" s="4"/>
      <c r="L17" s="4"/>
      <c r="M17" s="4"/>
      <c r="N17" s="4"/>
    </row>
    <row r="18" spans="1:14" ht="13.8" thickBot="1" x14ac:dyDescent="0.3">
      <c r="B18" s="4"/>
      <c r="C18" s="4"/>
      <c r="D18" s="4"/>
      <c r="E18" s="672" t="s">
        <v>2147</v>
      </c>
      <c r="F18" s="672"/>
      <c r="G18" s="672"/>
      <c r="H18" s="672"/>
      <c r="I18" s="672"/>
      <c r="J18" s="672"/>
      <c r="K18" s="672"/>
      <c r="L18" s="672"/>
      <c r="M18" s="672"/>
      <c r="N18" s="4"/>
    </row>
    <row r="19" spans="1:14" ht="13.8" thickBot="1" x14ac:dyDescent="0.3">
      <c r="A19" s="843">
        <v>7547</v>
      </c>
      <c r="B19" s="4"/>
      <c r="C19" s="4"/>
      <c r="D19" s="681">
        <f>ROUND((+D17*D49),0)</f>
        <v>6709</v>
      </c>
      <c r="E19" s="4" t="s">
        <v>1611</v>
      </c>
      <c r="F19" s="4"/>
      <c r="G19" s="4"/>
      <c r="H19" s="4"/>
      <c r="I19" s="4"/>
      <c r="J19" s="4"/>
      <c r="K19" s="4"/>
      <c r="L19" s="4"/>
      <c r="M19" s="4"/>
      <c r="N19" s="4"/>
    </row>
    <row r="20" spans="1:14" x14ac:dyDescent="0.25">
      <c r="B20" s="4"/>
      <c r="C20" s="4"/>
      <c r="D20" s="4"/>
      <c r="E20" s="4"/>
      <c r="F20" s="4"/>
      <c r="G20" s="4"/>
      <c r="H20" s="4"/>
      <c r="I20" s="4"/>
      <c r="J20" s="4"/>
      <c r="K20" s="4"/>
      <c r="L20" s="4"/>
      <c r="M20" s="4"/>
      <c r="N20" s="4"/>
    </row>
    <row r="21" spans="1:14" x14ac:dyDescent="0.25">
      <c r="B21" s="4"/>
      <c r="C21" s="4" t="s">
        <v>1612</v>
      </c>
      <c r="D21" s="4" t="s">
        <v>1613</v>
      </c>
      <c r="E21" s="4"/>
      <c r="F21" s="4"/>
      <c r="G21" s="4"/>
      <c r="H21" s="4"/>
      <c r="I21" s="4"/>
      <c r="J21" s="4"/>
      <c r="K21" s="4"/>
      <c r="L21" s="4"/>
      <c r="M21" s="4"/>
      <c r="N21" s="4"/>
    </row>
    <row r="22" spans="1:14" x14ac:dyDescent="0.25">
      <c r="B22" s="4"/>
      <c r="C22" s="4"/>
      <c r="D22" s="4" t="s">
        <v>2558</v>
      </c>
      <c r="E22" s="4"/>
      <c r="F22" s="4"/>
      <c r="G22" s="4"/>
      <c r="H22" s="4"/>
      <c r="I22" s="4"/>
      <c r="J22" s="4"/>
      <c r="K22" s="4"/>
      <c r="L22" s="4"/>
      <c r="M22" s="4"/>
      <c r="N22" s="4"/>
    </row>
    <row r="23" spans="1:14" x14ac:dyDescent="0.25">
      <c r="A23" s="843">
        <v>506684</v>
      </c>
      <c r="B23" s="4"/>
      <c r="C23" s="4"/>
      <c r="D23" s="682">
        <f>+'661 440 CWF'!S9</f>
        <v>531233</v>
      </c>
      <c r="E23" s="703">
        <v>5110</v>
      </c>
      <c r="F23" s="4" t="s">
        <v>1490</v>
      </c>
      <c r="G23" s="4"/>
      <c r="H23" s="4"/>
      <c r="I23" s="4"/>
      <c r="J23" s="4"/>
      <c r="K23" s="4"/>
      <c r="L23" s="4"/>
      <c r="M23" s="4"/>
      <c r="N23" s="4"/>
    </row>
    <row r="24" spans="1:14" x14ac:dyDescent="0.25">
      <c r="A24" s="843">
        <v>46401</v>
      </c>
      <c r="B24" s="4"/>
      <c r="C24" s="4"/>
      <c r="D24" s="682">
        <f>+'661 440 CWF'!S11</f>
        <v>46000</v>
      </c>
      <c r="E24" s="703">
        <v>5132</v>
      </c>
      <c r="F24" s="4" t="s">
        <v>1614</v>
      </c>
      <c r="G24" s="4"/>
      <c r="H24" s="4"/>
      <c r="I24" s="4"/>
      <c r="J24" s="4"/>
      <c r="K24" s="4"/>
      <c r="L24" s="4"/>
      <c r="M24" s="4"/>
      <c r="N24" s="4"/>
    </row>
    <row r="25" spans="1:14" x14ac:dyDescent="0.25">
      <c r="A25" s="843">
        <v>12000</v>
      </c>
      <c r="B25" s="4"/>
      <c r="C25" s="4"/>
      <c r="D25" s="682">
        <f>+'661 910 CWF Benefits'!S10</f>
        <v>12000</v>
      </c>
      <c r="E25" s="703">
        <v>5172</v>
      </c>
      <c r="F25" s="4" t="s">
        <v>1615</v>
      </c>
      <c r="G25" s="4"/>
      <c r="H25" s="4"/>
      <c r="I25" s="4"/>
      <c r="J25" s="4"/>
      <c r="K25" s="4"/>
      <c r="L25" s="4"/>
      <c r="M25" s="4"/>
      <c r="N25" s="4"/>
    </row>
    <row r="26" spans="1:14" x14ac:dyDescent="0.25">
      <c r="A26" s="843">
        <v>178000</v>
      </c>
      <c r="B26" s="4"/>
      <c r="C26" s="4"/>
      <c r="D26" s="682">
        <f>+'661 910 CWF Benefits'!S12</f>
        <v>180000</v>
      </c>
      <c r="E26" s="703">
        <v>5174</v>
      </c>
      <c r="F26" s="4" t="s">
        <v>1428</v>
      </c>
      <c r="G26" s="4"/>
      <c r="H26" s="4"/>
      <c r="I26" s="4"/>
      <c r="J26" s="4"/>
      <c r="K26" s="4"/>
      <c r="L26" s="4"/>
      <c r="M26" s="4"/>
      <c r="N26" s="4"/>
    </row>
    <row r="27" spans="1:14" x14ac:dyDescent="0.25">
      <c r="A27" s="1329">
        <v>136308</v>
      </c>
      <c r="B27" s="4"/>
      <c r="C27" s="4"/>
      <c r="D27" s="683">
        <f>+'661 910 CWF Benefits'!S9</f>
        <v>150519</v>
      </c>
      <c r="E27" s="703">
        <v>5191</v>
      </c>
      <c r="F27" s="4" t="s">
        <v>1616</v>
      </c>
      <c r="G27" s="4"/>
      <c r="H27" s="4"/>
      <c r="I27" s="4"/>
      <c r="J27" s="4"/>
      <c r="K27" s="4"/>
      <c r="L27" s="4"/>
      <c r="M27" s="4"/>
      <c r="N27" s="4"/>
    </row>
    <row r="28" spans="1:14" ht="13.8" thickBot="1" x14ac:dyDescent="0.3">
      <c r="A28" s="843">
        <v>879393</v>
      </c>
      <c r="B28" s="4"/>
      <c r="C28" s="4"/>
      <c r="D28" s="597">
        <f>SUM(D23:D27)</f>
        <v>919752</v>
      </c>
      <c r="E28" s="4"/>
      <c r="F28" s="4"/>
      <c r="G28" s="4"/>
      <c r="H28" s="4"/>
      <c r="I28" s="4"/>
      <c r="J28" s="4"/>
      <c r="K28" s="4"/>
      <c r="L28" s="4"/>
      <c r="M28" s="4"/>
      <c r="N28" s="4"/>
    </row>
    <row r="29" spans="1:14" ht="13.8" thickBot="1" x14ac:dyDescent="0.3">
      <c r="A29" s="843">
        <v>97710</v>
      </c>
      <c r="B29" s="4"/>
      <c r="C29" s="4"/>
      <c r="D29" s="681">
        <f>ROUND((+D28/9),0)</f>
        <v>102195</v>
      </c>
      <c r="E29" s="674" t="s">
        <v>2013</v>
      </c>
      <c r="F29" s="4"/>
      <c r="G29" s="4"/>
      <c r="H29" s="4"/>
      <c r="I29" s="4"/>
      <c r="J29" s="4"/>
      <c r="K29" s="4"/>
      <c r="L29" s="4"/>
      <c r="M29" s="4"/>
      <c r="N29" s="4"/>
    </row>
    <row r="30" spans="1:14" x14ac:dyDescent="0.25">
      <c r="B30" s="4"/>
      <c r="C30" s="4"/>
      <c r="D30" s="4"/>
      <c r="E30" s="4"/>
      <c r="F30" s="4"/>
      <c r="G30" s="4"/>
      <c r="H30" s="4"/>
      <c r="I30" s="4"/>
      <c r="J30" s="4"/>
      <c r="K30" s="4"/>
      <c r="L30" s="4"/>
      <c r="M30" s="4"/>
      <c r="N30" s="4"/>
    </row>
    <row r="31" spans="1:14" x14ac:dyDescent="0.25">
      <c r="B31" s="4" t="s">
        <v>1617</v>
      </c>
      <c r="C31" s="4" t="s">
        <v>1618</v>
      </c>
      <c r="D31" s="4"/>
      <c r="E31" s="4"/>
      <c r="F31" s="4"/>
      <c r="G31" s="4"/>
      <c r="H31" s="4"/>
      <c r="I31" s="4"/>
      <c r="J31" s="4"/>
      <c r="K31" s="4"/>
      <c r="L31" s="4"/>
      <c r="M31" s="4"/>
      <c r="N31" s="4"/>
    </row>
    <row r="32" spans="1:14" x14ac:dyDescent="0.25">
      <c r="A32" s="843">
        <v>30742160</v>
      </c>
      <c r="B32" s="4"/>
      <c r="C32" s="4"/>
      <c r="D32" s="941">
        <v>38749886</v>
      </c>
      <c r="E32" s="4"/>
      <c r="F32" s="4" t="s">
        <v>1619</v>
      </c>
      <c r="G32" s="4"/>
      <c r="H32" s="4"/>
      <c r="I32" s="4"/>
      <c r="J32" s="4"/>
      <c r="K32" s="4"/>
      <c r="L32" s="4"/>
      <c r="M32" s="4"/>
      <c r="N32" s="4"/>
    </row>
    <row r="33" spans="1:14" x14ac:dyDescent="0.25">
      <c r="B33" s="4"/>
      <c r="C33" s="4"/>
      <c r="D33" s="684"/>
      <c r="E33" s="4"/>
      <c r="F33" s="4" t="s">
        <v>2148</v>
      </c>
      <c r="G33" s="4"/>
      <c r="H33" s="4"/>
      <c r="I33" s="4"/>
      <c r="J33" s="4"/>
      <c r="K33" s="4"/>
      <c r="L33" s="4"/>
      <c r="M33" s="4"/>
      <c r="N33" s="4"/>
    </row>
    <row r="34" spans="1:14" x14ac:dyDescent="0.25">
      <c r="A34" s="843">
        <v>-11719000</v>
      </c>
      <c r="B34" s="4"/>
      <c r="C34" s="4"/>
      <c r="D34" s="941">
        <v>-11072000</v>
      </c>
      <c r="E34" s="4"/>
      <c r="F34" s="4" t="s">
        <v>2149</v>
      </c>
      <c r="G34" s="4"/>
      <c r="H34" s="4"/>
      <c r="I34" s="4"/>
      <c r="J34" s="4"/>
      <c r="K34" s="4"/>
      <c r="L34" s="4"/>
      <c r="M34" s="4"/>
      <c r="N34" s="4"/>
    </row>
    <row r="35" spans="1:14" x14ac:dyDescent="0.25">
      <c r="A35" s="843">
        <v>19023160</v>
      </c>
      <c r="B35" s="4"/>
      <c r="C35" s="4"/>
      <c r="D35" s="684">
        <f>SUM(D32:D34)</f>
        <v>27677886</v>
      </c>
      <c r="E35" s="4"/>
      <c r="F35" s="4" t="s">
        <v>1620</v>
      </c>
      <c r="G35" s="4"/>
      <c r="H35" s="4"/>
      <c r="I35" s="4"/>
      <c r="J35" s="4"/>
      <c r="K35" s="4"/>
      <c r="L35" s="4"/>
      <c r="M35" s="4"/>
      <c r="N35" s="4"/>
    </row>
    <row r="36" spans="1:14" x14ac:dyDescent="0.25">
      <c r="A36" s="1328">
        <v>0.61880000000000002</v>
      </c>
      <c r="B36" s="4"/>
      <c r="C36" s="4"/>
      <c r="D36" s="548">
        <f>ROUND((+D35/D32),6)</f>
        <v>0.71426999999999996</v>
      </c>
      <c r="E36" s="4"/>
      <c r="F36" s="4" t="s">
        <v>1621</v>
      </c>
      <c r="G36" s="4"/>
      <c r="H36" s="4"/>
      <c r="I36" s="4"/>
      <c r="J36" s="4"/>
      <c r="K36" s="4"/>
      <c r="L36" s="4"/>
      <c r="M36" s="4"/>
      <c r="N36" s="4"/>
    </row>
    <row r="37" spans="1:14" x14ac:dyDescent="0.25">
      <c r="A37" s="843">
        <v>43893</v>
      </c>
      <c r="B37" s="4"/>
      <c r="C37" s="4"/>
      <c r="D37" s="1330">
        <v>94668</v>
      </c>
      <c r="E37" s="4"/>
      <c r="F37" s="4" t="s">
        <v>2015</v>
      </c>
      <c r="G37" s="4"/>
      <c r="H37" s="1330" t="s">
        <v>2629</v>
      </c>
      <c r="I37" s="4"/>
      <c r="J37" s="4"/>
      <c r="K37" s="4"/>
      <c r="L37" s="4"/>
      <c r="M37" s="4"/>
      <c r="N37" s="4"/>
    </row>
    <row r="38" spans="1:14" ht="13.8" thickBot="1" x14ac:dyDescent="0.3">
      <c r="A38" s="843">
        <v>236232</v>
      </c>
      <c r="B38" s="4"/>
      <c r="C38" s="4"/>
      <c r="D38" s="684">
        <f>+'661 440 CWF'!S60</f>
        <v>242138</v>
      </c>
      <c r="E38" s="4"/>
      <c r="F38" s="4" t="s">
        <v>1622</v>
      </c>
      <c r="G38" s="4"/>
      <c r="H38" s="4"/>
      <c r="I38" s="4"/>
      <c r="J38" s="4"/>
      <c r="K38" s="4"/>
      <c r="L38" s="4"/>
      <c r="M38" s="4"/>
      <c r="N38" s="4"/>
    </row>
    <row r="39" spans="1:14" ht="13.8" thickBot="1" x14ac:dyDescent="0.3">
      <c r="A39" s="843">
        <v>173341</v>
      </c>
      <c r="B39" s="4"/>
      <c r="C39" s="4"/>
      <c r="D39" s="685">
        <f>ROUND(((+D38+D37)*D36),0)</f>
        <v>240570</v>
      </c>
      <c r="E39" s="74"/>
      <c r="F39" s="4" t="s">
        <v>1623</v>
      </c>
      <c r="G39" s="4"/>
      <c r="H39" s="4"/>
      <c r="I39" s="4"/>
      <c r="J39" s="4"/>
      <c r="K39" s="4"/>
      <c r="L39" s="4"/>
      <c r="M39" s="4"/>
      <c r="N39" s="4"/>
    </row>
    <row r="40" spans="1:14" x14ac:dyDescent="0.25">
      <c r="B40" s="4"/>
      <c r="C40" s="4"/>
      <c r="D40" s="4"/>
      <c r="E40" s="4"/>
      <c r="F40" s="4"/>
      <c r="G40" s="4"/>
      <c r="H40" s="4"/>
      <c r="I40" s="4"/>
      <c r="J40" s="4"/>
      <c r="K40" s="4"/>
      <c r="L40" s="4"/>
      <c r="M40" s="4"/>
      <c r="N40" s="4"/>
    </row>
    <row r="41" spans="1:14" ht="18" thickBot="1" x14ac:dyDescent="0.35">
      <c r="B41" s="675" t="s">
        <v>2559</v>
      </c>
      <c r="C41" s="675"/>
      <c r="D41" s="675"/>
      <c r="E41" s="4"/>
      <c r="F41" s="4"/>
      <c r="G41" s="4"/>
      <c r="H41" s="4"/>
      <c r="I41" s="4"/>
      <c r="J41" s="4"/>
      <c r="K41" s="4"/>
      <c r="L41" s="4"/>
      <c r="M41" s="4"/>
      <c r="N41" s="4"/>
    </row>
    <row r="42" spans="1:14" ht="18" thickBot="1" x14ac:dyDescent="0.35">
      <c r="A42" s="843">
        <v>286900</v>
      </c>
      <c r="B42" s="675"/>
      <c r="C42" s="675"/>
      <c r="D42" s="686">
        <f>+D39+D29+D19+D13+D7</f>
        <v>359499</v>
      </c>
      <c r="E42" s="4"/>
      <c r="F42" s="4"/>
      <c r="G42" s="4"/>
      <c r="H42" s="4"/>
      <c r="I42" s="4"/>
      <c r="J42" s="4"/>
      <c r="K42" s="4"/>
      <c r="L42" s="4"/>
      <c r="M42" s="4"/>
      <c r="N42" s="4"/>
    </row>
    <row r="43" spans="1:14" x14ac:dyDescent="0.25">
      <c r="B43" s="4"/>
      <c r="C43" s="4"/>
      <c r="D43" s="4"/>
      <c r="E43" s="4"/>
      <c r="F43" s="4"/>
      <c r="G43" s="4"/>
      <c r="H43" s="4"/>
      <c r="I43" s="4"/>
      <c r="J43" s="4"/>
      <c r="K43" s="4"/>
      <c r="L43" s="4"/>
      <c r="M43" s="4"/>
      <c r="N43" s="4"/>
    </row>
    <row r="44" spans="1:14" x14ac:dyDescent="0.25">
      <c r="B44" s="4"/>
      <c r="C44" s="676"/>
      <c r="D44" s="677" t="s">
        <v>1624</v>
      </c>
      <c r="E44" s="677"/>
      <c r="F44" s="677"/>
      <c r="G44" s="677"/>
      <c r="H44" s="677"/>
      <c r="I44" s="677"/>
      <c r="J44" s="677"/>
      <c r="K44" s="678"/>
      <c r="L44" s="4"/>
      <c r="M44" s="4"/>
      <c r="N44" s="4"/>
    </row>
    <row r="45" spans="1:14" x14ac:dyDescent="0.25">
      <c r="A45" s="843">
        <v>237980000</v>
      </c>
      <c r="B45" s="4"/>
      <c r="C45" s="679"/>
      <c r="D45" s="942">
        <v>253310000</v>
      </c>
      <c r="E45" s="4" t="s">
        <v>2560</v>
      </c>
      <c r="F45" s="4"/>
      <c r="G45" s="4"/>
      <c r="H45" s="4"/>
      <c r="I45" s="4"/>
      <c r="J45" s="4"/>
      <c r="K45" s="584"/>
      <c r="L45" s="4"/>
      <c r="M45" s="4"/>
      <c r="N45" s="4"/>
    </row>
    <row r="46" spans="1:14" x14ac:dyDescent="0.25">
      <c r="A46" s="1329">
        <v>-161090889</v>
      </c>
      <c r="B46" s="4"/>
      <c r="C46" s="679"/>
      <c r="D46" s="943">
        <f>-6217000-3215000-145356000</f>
        <v>-154788000</v>
      </c>
      <c r="E46" s="4" t="s">
        <v>1625</v>
      </c>
      <c r="F46" s="4"/>
      <c r="G46" s="4"/>
      <c r="H46" s="4"/>
      <c r="I46" s="4"/>
      <c r="J46" s="4"/>
      <c r="K46" s="584"/>
      <c r="L46" s="4"/>
      <c r="M46" s="4"/>
      <c r="N46" s="4"/>
    </row>
    <row r="47" spans="1:14" x14ac:dyDescent="0.25">
      <c r="A47" s="843">
        <v>76889111</v>
      </c>
      <c r="B47" s="4"/>
      <c r="C47" s="679"/>
      <c r="D47" s="687">
        <f>SUM(D45:D46)</f>
        <v>98522000</v>
      </c>
      <c r="E47" s="4" t="s">
        <v>1626</v>
      </c>
      <c r="F47" s="4"/>
      <c r="G47" s="4"/>
      <c r="H47" s="4"/>
      <c r="I47" s="4"/>
      <c r="J47" s="4"/>
      <c r="K47" s="584"/>
      <c r="L47" s="4"/>
      <c r="M47" s="4"/>
      <c r="N47" s="4"/>
    </row>
    <row r="48" spans="1:14" x14ac:dyDescent="0.25">
      <c r="B48" s="4"/>
      <c r="C48" s="679"/>
      <c r="D48" s="4"/>
      <c r="E48" s="4"/>
      <c r="F48" s="4"/>
      <c r="G48" s="4"/>
      <c r="H48" s="4"/>
      <c r="I48" s="4"/>
      <c r="J48" s="4"/>
      <c r="K48" s="584"/>
      <c r="L48" s="4"/>
      <c r="M48" s="4"/>
      <c r="N48" s="4"/>
    </row>
    <row r="49" spans="1:14" x14ac:dyDescent="0.25">
      <c r="A49" s="1328">
        <v>0.3231</v>
      </c>
      <c r="B49" s="4"/>
      <c r="C49" s="27"/>
      <c r="D49" s="601">
        <f>ROUND((+D47/D45),6)</f>
        <v>0.38893800000000001</v>
      </c>
      <c r="E49" s="673" t="s">
        <v>1627</v>
      </c>
      <c r="F49" s="673"/>
      <c r="G49" s="673"/>
      <c r="H49" s="673"/>
      <c r="I49" s="673"/>
      <c r="J49" s="673"/>
      <c r="K49" s="680"/>
      <c r="L49" s="4"/>
      <c r="M49" s="4"/>
      <c r="N49" s="4"/>
    </row>
    <row r="50" spans="1:14" x14ac:dyDescent="0.25">
      <c r="B50" s="4"/>
      <c r="C50" s="4"/>
      <c r="D50" s="4"/>
      <c r="E50" s="4"/>
      <c r="F50" s="4"/>
      <c r="G50" s="4"/>
      <c r="H50" s="4"/>
      <c r="I50" s="4"/>
      <c r="J50" s="4"/>
      <c r="K50" s="4"/>
      <c r="L50" s="4"/>
      <c r="M50" s="4"/>
      <c r="N50" s="4"/>
    </row>
    <row r="51" spans="1:14" x14ac:dyDescent="0.25">
      <c r="B51" s="4"/>
      <c r="C51" s="676"/>
      <c r="D51" s="677" t="s">
        <v>1628</v>
      </c>
      <c r="E51" s="677"/>
      <c r="F51" s="677"/>
      <c r="G51" s="677"/>
      <c r="H51" s="677"/>
      <c r="I51" s="677"/>
      <c r="J51" s="677"/>
      <c r="K51" s="678"/>
      <c r="L51" s="4"/>
      <c r="M51" s="4"/>
      <c r="N51" s="4"/>
    </row>
    <row r="52" spans="1:14" x14ac:dyDescent="0.25">
      <c r="A52" s="843">
        <v>525864</v>
      </c>
      <c r="B52" s="4"/>
      <c r="C52" s="679"/>
      <c r="D52" s="942">
        <v>525864</v>
      </c>
      <c r="E52" s="1330"/>
      <c r="F52" s="4" t="s">
        <v>1629</v>
      </c>
      <c r="G52" s="4"/>
      <c r="H52" s="4"/>
      <c r="I52" s="4"/>
      <c r="J52" s="4"/>
      <c r="K52" s="584"/>
      <c r="L52" s="4"/>
      <c r="M52" s="4"/>
      <c r="N52" s="4"/>
    </row>
    <row r="53" spans="1:14" x14ac:dyDescent="0.25">
      <c r="A53" s="843">
        <v>96188</v>
      </c>
      <c r="B53" s="4"/>
      <c r="C53" s="679"/>
      <c r="D53" s="688">
        <f>ROUND(((+D47/10^6)*150*8.34),)</f>
        <v>123251</v>
      </c>
      <c r="E53" s="4"/>
      <c r="F53" s="4" t="s">
        <v>1630</v>
      </c>
      <c r="G53" s="4"/>
      <c r="H53" s="4"/>
      <c r="I53" s="4"/>
      <c r="J53" s="4"/>
      <c r="K53" s="584"/>
      <c r="L53" s="4"/>
      <c r="M53" s="4"/>
      <c r="N53" s="4"/>
    </row>
    <row r="54" spans="1:14" x14ac:dyDescent="0.25">
      <c r="B54" s="4"/>
      <c r="C54" s="679"/>
      <c r="D54" s="4"/>
      <c r="E54" s="4"/>
      <c r="F54" s="4" t="s">
        <v>1631</v>
      </c>
      <c r="G54" s="4"/>
      <c r="H54" s="4"/>
      <c r="I54" s="4"/>
      <c r="J54" s="4"/>
      <c r="K54" s="584"/>
      <c r="L54" s="4"/>
      <c r="M54" s="4"/>
      <c r="N54" s="4"/>
    </row>
    <row r="55" spans="1:14" x14ac:dyDescent="0.25">
      <c r="A55" s="1328">
        <v>0.18290000000000001</v>
      </c>
      <c r="B55" s="4"/>
      <c r="C55" s="27"/>
      <c r="D55" s="601">
        <f>ROUND((+D53/D52),6)</f>
        <v>0.234378</v>
      </c>
      <c r="E55" s="673"/>
      <c r="F55" s="673" t="s">
        <v>1632</v>
      </c>
      <c r="G55" s="673"/>
      <c r="H55" s="673"/>
      <c r="I55" s="673"/>
      <c r="J55" s="673"/>
      <c r="K55" s="680"/>
      <c r="L55" s="4"/>
      <c r="M55" s="4"/>
      <c r="N55" s="4"/>
    </row>
    <row r="58" spans="1:14" x14ac:dyDescent="0.25">
      <c r="C58" t="s">
        <v>1633</v>
      </c>
      <c r="E58">
        <f>+D42</f>
        <v>359499</v>
      </c>
      <c r="F58" t="s">
        <v>1634</v>
      </c>
    </row>
    <row r="60" spans="1:14" x14ac:dyDescent="0.25">
      <c r="D60" t="s">
        <v>1635</v>
      </c>
      <c r="E60">
        <f>+'661 440 CWF'!T69</f>
        <v>2175090</v>
      </c>
      <c r="F60" s="289">
        <f>ROUND((+E58/E60),4)</f>
        <v>0.1653</v>
      </c>
    </row>
    <row r="61" spans="1:14" x14ac:dyDescent="0.25">
      <c r="D61" t="s">
        <v>1636</v>
      </c>
      <c r="E61">
        <f>+'661 440 CWF'!T69+'661 449 Hwy'!S29+'661 700 CWF Debt'!S61+'661 910 CWF Benefits'!S18</f>
        <v>3119324.33</v>
      </c>
      <c r="F61" s="289">
        <f>ROUND((+E58/E61),4)</f>
        <v>0.1152</v>
      </c>
    </row>
  </sheetData>
  <pageMargins left="0.7" right="0.7" top="0.75" bottom="0.75" header="0.3" footer="0.3"/>
  <pageSetup scale="7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pageSetUpPr fitToPage="1"/>
  </sheetPr>
  <dimension ref="A1:K35"/>
  <sheetViews>
    <sheetView topLeftCell="A8" workbookViewId="0">
      <selection activeCell="G32" sqref="G32"/>
    </sheetView>
  </sheetViews>
  <sheetFormatPr defaultRowHeight="13.2" x14ac:dyDescent="0.25"/>
  <cols>
    <col min="2" max="2" width="11.33203125" customWidth="1"/>
    <col min="3" max="3" width="11.6640625" customWidth="1"/>
    <col min="5" max="5" width="9.44140625" bestFit="1" customWidth="1"/>
    <col min="7" max="7" width="11.109375" customWidth="1"/>
    <col min="9" max="9" width="11.33203125" customWidth="1"/>
  </cols>
  <sheetData>
    <row r="1" spans="1:9" ht="13.8" thickBot="1" x14ac:dyDescent="0.3">
      <c r="A1" t="s">
        <v>2150</v>
      </c>
      <c r="D1" s="290" t="s">
        <v>194</v>
      </c>
    </row>
    <row r="2" spans="1:9" x14ac:dyDescent="0.25">
      <c r="A2" s="168"/>
      <c r="B2" s="279" t="s">
        <v>2151</v>
      </c>
      <c r="C2" s="169"/>
      <c r="D2" s="170"/>
      <c r="E2" s="152"/>
    </row>
    <row r="3" spans="1:9" x14ac:dyDescent="0.25">
      <c r="A3" s="171"/>
      <c r="C3" t="s">
        <v>471</v>
      </c>
      <c r="D3" s="172">
        <v>0.1</v>
      </c>
      <c r="I3" s="165"/>
    </row>
    <row r="4" spans="1:9" x14ac:dyDescent="0.25">
      <c r="A4" s="171"/>
      <c r="B4" t="s">
        <v>1637</v>
      </c>
      <c r="C4" s="2">
        <f>+'135 Acct'!S29</f>
        <v>93000</v>
      </c>
      <c r="D4" s="173">
        <f t="shared" ref="D4:D10" si="0">ROUND((+$D$3*C4),0)</f>
        <v>9300</v>
      </c>
      <c r="H4" s="2"/>
      <c r="I4" s="166"/>
    </row>
    <row r="5" spans="1:9" x14ac:dyDescent="0.25">
      <c r="A5" s="171"/>
      <c r="B5" t="s">
        <v>1638</v>
      </c>
      <c r="C5" s="2">
        <f>+'145 Treas'!S34</f>
        <v>206964.77</v>
      </c>
      <c r="D5" s="173">
        <f t="shared" si="0"/>
        <v>20696</v>
      </c>
      <c r="H5" s="2"/>
      <c r="I5" s="166"/>
    </row>
    <row r="6" spans="1:9" x14ac:dyDescent="0.25">
      <c r="A6" s="171"/>
      <c r="B6" t="s">
        <v>1639</v>
      </c>
      <c r="C6" s="2">
        <f>+'159 Shared Costs'!S10</f>
        <v>44000</v>
      </c>
      <c r="D6" s="173">
        <f t="shared" si="0"/>
        <v>4400</v>
      </c>
      <c r="H6" s="2"/>
      <c r="I6" s="166"/>
    </row>
    <row r="7" spans="1:9" x14ac:dyDescent="0.25">
      <c r="A7" s="171"/>
      <c r="B7" t="s">
        <v>1640</v>
      </c>
      <c r="C7" s="2">
        <f>+'155 IT'!S10</f>
        <v>0</v>
      </c>
      <c r="D7" s="173">
        <f t="shared" si="0"/>
        <v>0</v>
      </c>
      <c r="H7" s="2"/>
      <c r="I7" s="166"/>
    </row>
    <row r="8" spans="1:9" x14ac:dyDescent="0.25">
      <c r="A8" s="171"/>
      <c r="B8" t="s">
        <v>881</v>
      </c>
      <c r="C8" s="2">
        <f>+'155 IT'!S13</f>
        <v>45000</v>
      </c>
      <c r="D8" s="173">
        <f t="shared" si="0"/>
        <v>4500</v>
      </c>
      <c r="H8" s="2"/>
      <c r="I8" s="166"/>
    </row>
    <row r="9" spans="1:9" x14ac:dyDescent="0.25">
      <c r="A9" s="171" t="s">
        <v>1641</v>
      </c>
      <c r="B9" t="s">
        <v>711</v>
      </c>
      <c r="C9" s="2">
        <f>SUM('122 Selectboard'!S10:S12)</f>
        <v>7440</v>
      </c>
      <c r="D9" s="173">
        <f t="shared" si="0"/>
        <v>744</v>
      </c>
      <c r="H9" s="2"/>
      <c r="I9" s="166"/>
    </row>
    <row r="10" spans="1:9" x14ac:dyDescent="0.25">
      <c r="A10" s="171" t="s">
        <v>1642</v>
      </c>
      <c r="B10" t="s">
        <v>1643</v>
      </c>
      <c r="C10" s="2">
        <f>+'122 Selectboard'!R42</f>
        <v>108710</v>
      </c>
      <c r="D10" s="173">
        <f t="shared" si="0"/>
        <v>10871</v>
      </c>
      <c r="H10" s="2"/>
      <c r="I10" s="166"/>
    </row>
    <row r="11" spans="1:9" x14ac:dyDescent="0.25">
      <c r="A11" s="171"/>
      <c r="D11" s="173"/>
    </row>
    <row r="12" spans="1:9" x14ac:dyDescent="0.25">
      <c r="A12" s="171"/>
      <c r="B12" t="s">
        <v>190</v>
      </c>
      <c r="D12" s="173">
        <f>SUM(D4:D10)</f>
        <v>50511</v>
      </c>
      <c r="I12" s="166"/>
    </row>
    <row r="13" spans="1:9" x14ac:dyDescent="0.25">
      <c r="A13" s="171"/>
      <c r="D13" s="173"/>
    </row>
    <row r="14" spans="1:9" x14ac:dyDescent="0.25">
      <c r="A14" s="171"/>
      <c r="D14" s="173"/>
    </row>
    <row r="15" spans="1:9" x14ac:dyDescent="0.25">
      <c r="A15" s="171"/>
      <c r="D15" s="173"/>
    </row>
    <row r="16" spans="1:9" x14ac:dyDescent="0.25">
      <c r="A16" s="171"/>
      <c r="D16" s="174"/>
    </row>
    <row r="17" spans="1:11" ht="13.8" thickBot="1" x14ac:dyDescent="0.3">
      <c r="A17" s="175"/>
      <c r="B17" s="176"/>
      <c r="C17" s="176"/>
      <c r="D17" s="177"/>
    </row>
    <row r="20" spans="1:11" ht="13.8" thickBot="1" x14ac:dyDescent="0.3">
      <c r="A20" s="202" t="s">
        <v>1644</v>
      </c>
      <c r="D20" s="290"/>
    </row>
    <row r="21" spans="1:11" x14ac:dyDescent="0.25">
      <c r="A21" s="168"/>
      <c r="B21" s="279" t="s">
        <v>2151</v>
      </c>
      <c r="C21" s="169"/>
      <c r="D21" s="170"/>
      <c r="F21" s="202" t="s">
        <v>252</v>
      </c>
      <c r="G21" s="202" t="s">
        <v>730</v>
      </c>
      <c r="H21" s="202" t="s">
        <v>731</v>
      </c>
      <c r="I21" s="202" t="s">
        <v>1645</v>
      </c>
    </row>
    <row r="22" spans="1:11" x14ac:dyDescent="0.25">
      <c r="A22" s="171"/>
      <c r="C22" t="s">
        <v>471</v>
      </c>
      <c r="D22" s="172">
        <v>7.4999999999999997E-3</v>
      </c>
      <c r="I22" s="202" t="s">
        <v>1646</v>
      </c>
    </row>
    <row r="23" spans="1:11" x14ac:dyDescent="0.25">
      <c r="A23" s="171"/>
      <c r="B23" t="s">
        <v>1637</v>
      </c>
      <c r="C23" s="2">
        <f>+C4</f>
        <v>93000</v>
      </c>
      <c r="D23" s="173">
        <f>ROUND((+$D$22*C23),0)</f>
        <v>698</v>
      </c>
      <c r="F23" s="202" t="s">
        <v>679</v>
      </c>
      <c r="G23">
        <f>+'Working Budget with funding det'!R110</f>
        <v>12409728</v>
      </c>
      <c r="H23" s="289">
        <f>ROUND((+G23/$G$26),4)</f>
        <v>0.77810000000000001</v>
      </c>
      <c r="I23" s="2">
        <f>+'Working Budget with funding det'!R110-'Working Budget with funding det'!R99-'Working Budget with funding det'!R105</f>
        <v>8593788</v>
      </c>
      <c r="J23" s="289">
        <f>ROUND((+I23/$I$26),4)</f>
        <v>0.77359999999999995</v>
      </c>
    </row>
    <row r="24" spans="1:11" x14ac:dyDescent="0.25">
      <c r="A24" s="171"/>
      <c r="B24" t="s">
        <v>1638</v>
      </c>
      <c r="C24" s="2">
        <f>+C5</f>
        <v>206964.77</v>
      </c>
      <c r="D24" s="173">
        <f t="shared" ref="D24:D28" si="1">ROUND((+$D$22*C24),0)</f>
        <v>1552</v>
      </c>
      <c r="F24" s="202" t="s">
        <v>137</v>
      </c>
      <c r="G24">
        <f>+'Working Budget with funding det'!R120</f>
        <v>3119324</v>
      </c>
      <c r="H24" s="289">
        <f>ROUND((+G24/$G$26),4)</f>
        <v>0.1956</v>
      </c>
      <c r="I24" s="2">
        <f>+'Working Budget with funding det'!R114+'Working Budget with funding det'!R116+'Working Budget with funding det'!R115</f>
        <v>2260240</v>
      </c>
      <c r="J24" s="289">
        <f t="shared" ref="J24:J25" si="2">ROUND((+I24/$I$26),4)</f>
        <v>0.20349999999999999</v>
      </c>
      <c r="K24" s="289">
        <f>ROUND((+J24/2),4)</f>
        <v>0.1018</v>
      </c>
    </row>
    <row r="25" spans="1:11" x14ac:dyDescent="0.25">
      <c r="A25" s="171"/>
      <c r="B25" t="s">
        <v>1639</v>
      </c>
      <c r="C25" s="2">
        <f>+C6</f>
        <v>44000</v>
      </c>
      <c r="D25" s="173">
        <f t="shared" si="1"/>
        <v>330</v>
      </c>
      <c r="F25" s="202" t="s">
        <v>131</v>
      </c>
      <c r="G25" s="2">
        <f>+'Working Budget with funding det'!R127</f>
        <v>419677</v>
      </c>
      <c r="H25" s="289">
        <f>ROUND((+G25/$G$26),4)</f>
        <v>2.63E-2</v>
      </c>
      <c r="I25" s="2">
        <f>+'Working Budget with funding det'!R123</f>
        <v>255238</v>
      </c>
      <c r="J25" s="289">
        <f t="shared" si="2"/>
        <v>2.3E-2</v>
      </c>
      <c r="K25" s="289">
        <f>ROUND((+J25/2),4)</f>
        <v>1.15E-2</v>
      </c>
    </row>
    <row r="26" spans="1:11" x14ac:dyDescent="0.25">
      <c r="A26" s="171"/>
      <c r="B26" t="s">
        <v>881</v>
      </c>
      <c r="C26" s="2">
        <f>+C8</f>
        <v>45000</v>
      </c>
      <c r="D26" s="173">
        <f t="shared" si="1"/>
        <v>338</v>
      </c>
      <c r="F26" s="202" t="s">
        <v>190</v>
      </c>
      <c r="G26">
        <f>SUM(G23:G25)</f>
        <v>15948729</v>
      </c>
      <c r="I26" s="2">
        <f>SUM(I23:I25)</f>
        <v>11109266</v>
      </c>
    </row>
    <row r="27" spans="1:11" x14ac:dyDescent="0.25">
      <c r="A27" s="171" t="s">
        <v>1641</v>
      </c>
      <c r="B27" t="s">
        <v>711</v>
      </c>
      <c r="C27" s="2">
        <f>+C9</f>
        <v>7440</v>
      </c>
      <c r="D27" s="173">
        <f t="shared" si="1"/>
        <v>56</v>
      </c>
    </row>
    <row r="28" spans="1:11" x14ac:dyDescent="0.25">
      <c r="A28" s="171" t="s">
        <v>1642</v>
      </c>
      <c r="B28" t="s">
        <v>1643</v>
      </c>
      <c r="C28" s="2">
        <f>+C10</f>
        <v>108710</v>
      </c>
      <c r="D28" s="173">
        <f t="shared" si="1"/>
        <v>815</v>
      </c>
    </row>
    <row r="29" spans="1:11" x14ac:dyDescent="0.25">
      <c r="A29" s="171"/>
      <c r="D29" s="173"/>
    </row>
    <row r="30" spans="1:11" x14ac:dyDescent="0.25">
      <c r="A30" s="171"/>
      <c r="B30" t="s">
        <v>190</v>
      </c>
      <c r="D30" s="173">
        <f>SUM(D23:D28)</f>
        <v>3789</v>
      </c>
    </row>
    <row r="31" spans="1:11" x14ac:dyDescent="0.25">
      <c r="A31" s="171"/>
      <c r="D31" s="173"/>
    </row>
    <row r="32" spans="1:11" x14ac:dyDescent="0.25">
      <c r="A32" s="171"/>
      <c r="D32" s="173"/>
    </row>
    <row r="33" spans="1:4" x14ac:dyDescent="0.25">
      <c r="A33" s="171"/>
      <c r="D33" s="173"/>
    </row>
    <row r="34" spans="1:4" x14ac:dyDescent="0.25">
      <c r="A34" s="171"/>
      <c r="D34" s="174"/>
    </row>
    <row r="35" spans="1:4" ht="13.8" thickBot="1" x14ac:dyDescent="0.3">
      <c r="A35" s="175"/>
      <c r="B35" s="176"/>
      <c r="C35" s="176"/>
      <c r="D35" s="177"/>
    </row>
  </sheetData>
  <phoneticPr fontId="0" type="noConversion"/>
  <hyperlinks>
    <hyperlink ref="D1" location="'Table of Contents'!A1" display="TOC" xr:uid="{00000000-0004-0000-3E00-000000000000}"/>
  </hyperlinks>
  <pageMargins left="0.75" right="0.75" top="1" bottom="1" header="0.5" footer="0.5"/>
  <pageSetup scale="79" orientation="portrait" r:id="rId1"/>
  <headerFooter alignWithMargins="0">
    <oddFooter xml:space="preserve">&amp;L&amp;D  &amp;T&amp;C&amp;F&amp;R&amp;A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pageSetUpPr fitToPage="1"/>
  </sheetPr>
  <dimension ref="A1:K34"/>
  <sheetViews>
    <sheetView topLeftCell="A3" workbookViewId="0">
      <selection activeCell="G6" sqref="G6"/>
    </sheetView>
  </sheetViews>
  <sheetFormatPr defaultRowHeight="13.2" x14ac:dyDescent="0.25"/>
  <cols>
    <col min="1" max="1" width="10.44140625" bestFit="1" customWidth="1"/>
    <col min="2" max="2" width="33.6640625" customWidth="1"/>
    <col min="3" max="3" width="13.33203125" customWidth="1"/>
    <col min="5" max="5" width="17.44140625" customWidth="1"/>
    <col min="6" max="6" width="15.77734375" customWidth="1"/>
    <col min="7" max="7" width="20.6640625" customWidth="1"/>
    <col min="8" max="8" width="12.109375" bestFit="1" customWidth="1"/>
    <col min="9" max="9" width="18.6640625" customWidth="1"/>
    <col min="10" max="10" width="14.109375" customWidth="1"/>
    <col min="11" max="11" width="9.44140625" bestFit="1" customWidth="1"/>
  </cols>
  <sheetData>
    <row r="1" spans="1:11" x14ac:dyDescent="0.25">
      <c r="A1" s="290" t="s">
        <v>194</v>
      </c>
      <c r="B1" t="s">
        <v>1647</v>
      </c>
      <c r="E1" t="s">
        <v>1648</v>
      </c>
    </row>
    <row r="3" spans="1:11" x14ac:dyDescent="0.25">
      <c r="A3" s="66" t="s">
        <v>1649</v>
      </c>
      <c r="B3" s="66" t="s">
        <v>1650</v>
      </c>
      <c r="C3" s="66" t="s">
        <v>1651</v>
      </c>
      <c r="D3" s="66" t="s">
        <v>1652</v>
      </c>
      <c r="E3" s="280" t="s">
        <v>2022</v>
      </c>
      <c r="F3" s="280" t="s">
        <v>2037</v>
      </c>
      <c r="G3" s="280" t="s">
        <v>2230</v>
      </c>
      <c r="H3" s="66" t="s">
        <v>1653</v>
      </c>
      <c r="I3" s="280" t="s">
        <v>2231</v>
      </c>
    </row>
    <row r="4" spans="1:11" x14ac:dyDescent="0.25">
      <c r="A4" s="67" t="s">
        <v>795</v>
      </c>
      <c r="B4" s="67"/>
      <c r="C4" s="67"/>
      <c r="D4" s="67"/>
      <c r="E4" s="67" t="s">
        <v>1654</v>
      </c>
      <c r="F4" s="67" t="s">
        <v>1655</v>
      </c>
      <c r="G4" s="67" t="s">
        <v>1654</v>
      </c>
      <c r="H4" s="67" t="s">
        <v>1656</v>
      </c>
      <c r="I4" s="67" t="s">
        <v>1654</v>
      </c>
    </row>
    <row r="5" spans="1:11" x14ac:dyDescent="0.25">
      <c r="A5" s="70">
        <v>36913</v>
      </c>
      <c r="B5" s="69" t="s">
        <v>1658</v>
      </c>
      <c r="C5" s="70">
        <v>38913</v>
      </c>
      <c r="D5" s="69" t="s">
        <v>1657</v>
      </c>
      <c r="E5" s="992">
        <v>110477</v>
      </c>
      <c r="F5" s="223">
        <v>114333</v>
      </c>
      <c r="G5" s="992">
        <v>107075</v>
      </c>
      <c r="H5" s="71"/>
      <c r="I5" s="71">
        <f>+G5-H5</f>
        <v>107075</v>
      </c>
      <c r="J5" s="64" t="s">
        <v>1659</v>
      </c>
    </row>
    <row r="6" spans="1:11" x14ac:dyDescent="0.25">
      <c r="A6" s="69"/>
      <c r="B6" s="69"/>
      <c r="C6" s="70"/>
      <c r="D6" s="69"/>
      <c r="E6" s="223"/>
      <c r="F6" s="223"/>
      <c r="G6" s="223"/>
      <c r="H6" s="71"/>
      <c r="I6" s="71"/>
    </row>
    <row r="7" spans="1:11" x14ac:dyDescent="0.25">
      <c r="A7" s="70">
        <v>38565</v>
      </c>
      <c r="B7" s="69" t="s">
        <v>1661</v>
      </c>
      <c r="C7" s="70">
        <v>39434</v>
      </c>
      <c r="D7" s="69" t="s">
        <v>1657</v>
      </c>
      <c r="E7" s="223">
        <v>35875</v>
      </c>
      <c r="F7" s="992"/>
      <c r="G7" s="992">
        <f>+'700 Debt '!S14+'700 Debt '!S39</f>
        <v>35874</v>
      </c>
      <c r="H7" s="71"/>
      <c r="I7" s="71">
        <f>+G7-H7</f>
        <v>35874</v>
      </c>
      <c r="K7" s="64"/>
    </row>
    <row r="8" spans="1:11" x14ac:dyDescent="0.25">
      <c r="A8" s="70">
        <v>38565</v>
      </c>
      <c r="B8" s="69" t="s">
        <v>1662</v>
      </c>
      <c r="C8" s="70">
        <v>39402</v>
      </c>
      <c r="D8" s="69" t="s">
        <v>1657</v>
      </c>
      <c r="E8" s="223">
        <v>19303</v>
      </c>
      <c r="F8" s="992"/>
      <c r="G8" s="992">
        <f>+'700 Debt '!S41+'700 Debt '!S15</f>
        <v>18803</v>
      </c>
      <c r="H8" s="71"/>
      <c r="I8" s="71">
        <f>+G8-H8</f>
        <v>18803</v>
      </c>
      <c r="J8" s="64"/>
      <c r="K8" s="64"/>
    </row>
    <row r="9" spans="1:11" x14ac:dyDescent="0.25">
      <c r="A9" s="70">
        <v>38565</v>
      </c>
      <c r="B9" s="69" t="s">
        <v>1663</v>
      </c>
      <c r="C9" s="70">
        <v>39835</v>
      </c>
      <c r="D9" s="69" t="s">
        <v>1657</v>
      </c>
      <c r="E9" s="223">
        <v>20619</v>
      </c>
      <c r="F9" s="992"/>
      <c r="G9" s="992">
        <f>+'700 Debt '!S16+'700 Debt '!S42</f>
        <v>20620</v>
      </c>
      <c r="H9" s="157"/>
      <c r="I9" s="71">
        <f>+G9-H9</f>
        <v>20620</v>
      </c>
      <c r="J9" s="64"/>
      <c r="K9" s="64"/>
    </row>
    <row r="10" spans="1:11" x14ac:dyDescent="0.25">
      <c r="A10" s="70"/>
      <c r="B10" s="69"/>
      <c r="C10" s="70"/>
      <c r="D10" s="69"/>
      <c r="E10" s="223"/>
      <c r="F10" s="992"/>
      <c r="G10" s="992"/>
      <c r="H10" s="157"/>
      <c r="I10" s="71"/>
      <c r="J10" s="64"/>
      <c r="K10" s="64"/>
    </row>
    <row r="11" spans="1:11" x14ac:dyDescent="0.25">
      <c r="A11" s="70">
        <v>39392</v>
      </c>
      <c r="B11" s="69" t="s">
        <v>1664</v>
      </c>
      <c r="C11" s="70">
        <v>40141</v>
      </c>
      <c r="D11" s="69" t="s">
        <v>1657</v>
      </c>
      <c r="E11" s="223">
        <v>358723</v>
      </c>
      <c r="F11" s="992"/>
      <c r="G11" s="992">
        <f>+'700 Debt '!S12+'700 Debt '!S36</f>
        <v>359462</v>
      </c>
      <c r="H11" s="320"/>
      <c r="I11" s="71">
        <f>+G11-H11</f>
        <v>359462</v>
      </c>
      <c r="J11" s="64"/>
      <c r="K11" s="64"/>
    </row>
    <row r="12" spans="1:11" x14ac:dyDescent="0.25">
      <c r="A12" s="69"/>
      <c r="B12" s="321" t="s">
        <v>1665</v>
      </c>
      <c r="C12" s="69"/>
      <c r="D12" s="69"/>
      <c r="E12" s="223">
        <v>7075</v>
      </c>
      <c r="F12" s="223"/>
      <c r="G12" s="223">
        <f>+'700 Debt '!S20+'700 Debt '!S45</f>
        <v>6925</v>
      </c>
      <c r="H12" s="71"/>
      <c r="I12" s="71">
        <f>+G12-H12</f>
        <v>6925</v>
      </c>
      <c r="J12" s="64"/>
      <c r="K12" s="64"/>
    </row>
    <row r="13" spans="1:11" x14ac:dyDescent="0.25">
      <c r="A13" s="69"/>
      <c r="B13" s="321"/>
      <c r="C13" s="69"/>
      <c r="D13" s="69"/>
      <c r="E13" s="223"/>
      <c r="F13" s="223"/>
      <c r="G13" s="223"/>
      <c r="H13" s="71"/>
      <c r="I13" s="71"/>
      <c r="J13" s="64"/>
      <c r="K13" s="64"/>
    </row>
    <row r="14" spans="1:11" x14ac:dyDescent="0.25">
      <c r="A14" s="70">
        <v>38565</v>
      </c>
      <c r="B14" s="69" t="s">
        <v>1660</v>
      </c>
      <c r="C14" s="70">
        <v>39065</v>
      </c>
      <c r="D14" s="69" t="s">
        <v>1657</v>
      </c>
      <c r="E14" s="223">
        <v>23272</v>
      </c>
      <c r="F14" s="992"/>
      <c r="G14" s="71">
        <f>+'700 Debt '!S37+'700 Debt '!S13</f>
        <v>23272</v>
      </c>
      <c r="H14" s="71"/>
      <c r="I14" s="71">
        <f>+G9-H14</f>
        <v>20620</v>
      </c>
    </row>
    <row r="15" spans="1:11" x14ac:dyDescent="0.25">
      <c r="A15" s="69"/>
      <c r="B15" s="69"/>
      <c r="C15" s="69"/>
      <c r="D15" s="69"/>
      <c r="E15" s="69"/>
      <c r="F15" s="69"/>
      <c r="G15" s="69"/>
      <c r="H15" s="69"/>
      <c r="I15" s="69"/>
    </row>
    <row r="16" spans="1:11" x14ac:dyDescent="0.25">
      <c r="A16" s="70">
        <v>43241</v>
      </c>
      <c r="B16" s="321" t="s">
        <v>1666</v>
      </c>
      <c r="C16" s="69"/>
      <c r="D16" s="69" t="s">
        <v>1657</v>
      </c>
      <c r="E16" s="223">
        <v>151534</v>
      </c>
      <c r="F16" s="223"/>
      <c r="G16" s="223">
        <f>+'700 Debt '!S51+'700 Debt '!S26</f>
        <v>152457</v>
      </c>
      <c r="H16" s="71"/>
      <c r="I16" s="71">
        <f>+G16-H16</f>
        <v>152457</v>
      </c>
    </row>
    <row r="17" spans="1:10" x14ac:dyDescent="0.25">
      <c r="A17" s="70">
        <v>42548</v>
      </c>
      <c r="B17" s="321" t="s">
        <v>2038</v>
      </c>
      <c r="C17" s="69"/>
      <c r="D17" s="69" t="s">
        <v>1657</v>
      </c>
      <c r="E17" s="223">
        <v>39762</v>
      </c>
      <c r="F17" s="223"/>
      <c r="G17" s="223">
        <f>+'700 Debt '!S25+'700 Debt '!S50</f>
        <v>39819</v>
      </c>
      <c r="H17" s="71"/>
      <c r="I17" s="71">
        <f>+G17-H17</f>
        <v>39819</v>
      </c>
    </row>
    <row r="18" spans="1:10" x14ac:dyDescent="0.25">
      <c r="A18" s="70">
        <v>43241</v>
      </c>
      <c r="B18" s="321" t="s">
        <v>1666</v>
      </c>
      <c r="C18" s="69"/>
      <c r="D18" s="69" t="s">
        <v>1657</v>
      </c>
      <c r="E18" s="223">
        <v>321769</v>
      </c>
      <c r="F18" s="223"/>
      <c r="G18" s="223">
        <f>+'700 Debt '!S27+'700 Debt '!S52</f>
        <v>323769</v>
      </c>
      <c r="H18" s="71"/>
      <c r="I18" s="71">
        <f>+G18-H18</f>
        <v>323769</v>
      </c>
    </row>
    <row r="19" spans="1:10" x14ac:dyDescent="0.25">
      <c r="A19" s="70">
        <v>43241</v>
      </c>
      <c r="B19" s="321" t="s">
        <v>1666</v>
      </c>
      <c r="C19" s="69"/>
      <c r="D19" s="69" t="s">
        <v>1657</v>
      </c>
      <c r="E19" s="223">
        <v>90650</v>
      </c>
      <c r="F19" s="223">
        <f>+'700 Debt '!N28+'700 Debt '!N53</f>
        <v>0</v>
      </c>
      <c r="G19" s="223">
        <f>+'700 Debt '!S53+'700 Debt '!S28</f>
        <v>93025</v>
      </c>
      <c r="H19" s="71"/>
      <c r="I19" s="71">
        <f>+G19-H19</f>
        <v>93025</v>
      </c>
    </row>
    <row r="20" spans="1:10" x14ac:dyDescent="0.25">
      <c r="A20" s="69"/>
      <c r="B20" s="321"/>
      <c r="C20" s="69"/>
      <c r="D20" s="69"/>
      <c r="E20" s="223"/>
      <c r="F20" s="223"/>
      <c r="G20" s="223"/>
      <c r="H20" s="71"/>
      <c r="I20" s="71"/>
    </row>
    <row r="21" spans="1:10" x14ac:dyDescent="0.25">
      <c r="A21" s="70">
        <v>42548</v>
      </c>
      <c r="B21" s="321" t="s">
        <v>2021</v>
      </c>
      <c r="C21" s="70">
        <v>44530</v>
      </c>
      <c r="D21" s="69" t="s">
        <v>1657</v>
      </c>
      <c r="E21" s="223">
        <v>51715</v>
      </c>
      <c r="F21" s="1026"/>
      <c r="G21" s="223">
        <f>+'700 Debt '!S54+'700 Debt '!S29</f>
        <v>26270</v>
      </c>
      <c r="H21" s="71">
        <v>487.42</v>
      </c>
      <c r="I21" s="71">
        <f t="shared" ref="I21" si="0">+G21-H21</f>
        <v>25782.58</v>
      </c>
    </row>
    <row r="22" spans="1:10" x14ac:dyDescent="0.25">
      <c r="A22" s="69"/>
      <c r="B22" s="60"/>
      <c r="C22" s="69"/>
      <c r="D22" s="69"/>
      <c r="E22" s="69"/>
      <c r="F22" s="69"/>
      <c r="G22" s="69"/>
      <c r="H22" s="69"/>
      <c r="I22" s="69"/>
    </row>
    <row r="24" spans="1:10" x14ac:dyDescent="0.25">
      <c r="A24" s="160"/>
      <c r="B24" s="202"/>
      <c r="E24" s="64">
        <f>SUM(E5:E23)</f>
        <v>1230774</v>
      </c>
      <c r="F24" s="64">
        <f>SUM(F5:F23)</f>
        <v>114333</v>
      </c>
      <c r="G24" s="64">
        <f>SUM(G5:G23)</f>
        <v>1207371</v>
      </c>
      <c r="H24" s="1">
        <f>+H21</f>
        <v>487.42</v>
      </c>
      <c r="I24" s="64">
        <f>SUM(I5:I23)</f>
        <v>1204231.58</v>
      </c>
    </row>
    <row r="25" spans="1:10" x14ac:dyDescent="0.25">
      <c r="B25" s="202"/>
    </row>
    <row r="26" spans="1:10" x14ac:dyDescent="0.25">
      <c r="B26" s="202"/>
    </row>
    <row r="27" spans="1:10" x14ac:dyDescent="0.25">
      <c r="C27" t="s">
        <v>679</v>
      </c>
      <c r="E27" s="64">
        <f>+E24-E5</f>
        <v>1120297</v>
      </c>
      <c r="G27" s="64">
        <f>+G24-G5</f>
        <v>1100296</v>
      </c>
      <c r="H27" s="1">
        <f>+H24</f>
        <v>487.42</v>
      </c>
      <c r="I27" s="64">
        <f>+I24-I5</f>
        <v>1097156.58</v>
      </c>
      <c r="J27" s="64"/>
    </row>
    <row r="28" spans="1:10" x14ac:dyDescent="0.25">
      <c r="C28" t="s">
        <v>477</v>
      </c>
      <c r="E28" s="64">
        <f>+E5</f>
        <v>110477</v>
      </c>
      <c r="G28" s="64">
        <f>+G5</f>
        <v>107075</v>
      </c>
      <c r="I28" s="64">
        <f>+I5</f>
        <v>107075</v>
      </c>
      <c r="J28" s="64"/>
    </row>
    <row r="29" spans="1:10" x14ac:dyDescent="0.25">
      <c r="C29" t="s">
        <v>190</v>
      </c>
      <c r="E29" s="64">
        <f>SUM(E27:E28)</f>
        <v>1230774</v>
      </c>
      <c r="G29" s="64">
        <f>SUM(G27:G28)</f>
        <v>1207371</v>
      </c>
      <c r="H29" s="64">
        <f>SUM(H27:H28)</f>
        <v>487.42</v>
      </c>
      <c r="I29" s="64">
        <f>SUM(I27:I28)</f>
        <v>1204231.58</v>
      </c>
      <c r="J29" s="64"/>
    </row>
    <row r="30" spans="1:10" x14ac:dyDescent="0.25">
      <c r="G30" s="64"/>
    </row>
    <row r="31" spans="1:10" x14ac:dyDescent="0.25">
      <c r="A31" s="152"/>
      <c r="C31" t="s">
        <v>1667</v>
      </c>
      <c r="E31" s="64">
        <f>+E29-E24</f>
        <v>0</v>
      </c>
      <c r="G31" s="64">
        <f>+G29-G24</f>
        <v>0</v>
      </c>
      <c r="I31" s="64">
        <f>+I29-I24</f>
        <v>0</v>
      </c>
    </row>
    <row r="32" spans="1:10" x14ac:dyDescent="0.25">
      <c r="A32" s="160">
        <v>44173</v>
      </c>
      <c r="B32" s="152" t="s">
        <v>1668</v>
      </c>
    </row>
    <row r="33" spans="1:2" x14ac:dyDescent="0.25">
      <c r="A33" s="160"/>
    </row>
    <row r="34" spans="1:2" x14ac:dyDescent="0.25">
      <c r="B34" s="160"/>
    </row>
  </sheetData>
  <phoneticPr fontId="0" type="noConversion"/>
  <hyperlinks>
    <hyperlink ref="A1" location="'Table of Contents'!A1" display="TOC" xr:uid="{00000000-0004-0000-3F00-000000000000}"/>
  </hyperlinks>
  <pageMargins left="0.75" right="0.75" top="1" bottom="1" header="0.5" footer="0.5"/>
  <pageSetup scale="77" orientation="landscape" r:id="rId1"/>
  <headerFooter alignWithMargins="0">
    <oddFooter xml:space="preserve">&amp;L&amp;D  &amp;T&amp;C&amp;F&amp;R&amp;A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2D050"/>
    <pageSetUpPr fitToPage="1"/>
  </sheetPr>
  <dimension ref="A1:I142"/>
  <sheetViews>
    <sheetView workbookViewId="0">
      <selection activeCell="A4" sqref="A4"/>
    </sheetView>
  </sheetViews>
  <sheetFormatPr defaultRowHeight="13.2" x14ac:dyDescent="0.25"/>
  <sheetData>
    <row r="1" spans="1:9" ht="18" x14ac:dyDescent="0.35">
      <c r="A1" s="1350" t="s">
        <v>1669</v>
      </c>
      <c r="B1" s="1350"/>
      <c r="C1" s="1350"/>
      <c r="D1" s="1350"/>
      <c r="E1" s="1350"/>
      <c r="F1" s="1350"/>
      <c r="G1" s="1350"/>
      <c r="H1" s="1350"/>
      <c r="I1" s="1350"/>
    </row>
    <row r="2" spans="1:9" ht="15.6" x14ac:dyDescent="0.3">
      <c r="A2" s="1358" t="s">
        <v>2078</v>
      </c>
      <c r="B2" s="1358"/>
      <c r="C2" s="1358"/>
      <c r="D2" s="1358"/>
      <c r="E2" s="1358"/>
      <c r="F2" s="1358"/>
      <c r="G2" s="1358"/>
      <c r="H2" s="1358"/>
      <c r="I2" s="290" t="s">
        <v>194</v>
      </c>
    </row>
    <row r="3" spans="1:9" ht="18" x14ac:dyDescent="0.35">
      <c r="A3" s="273" t="s">
        <v>2079</v>
      </c>
      <c r="B3" s="158"/>
      <c r="C3" s="959"/>
      <c r="D3" s="158"/>
      <c r="E3" s="158"/>
      <c r="F3" s="158"/>
      <c r="G3" s="158"/>
      <c r="H3" s="158"/>
      <c r="I3" s="559"/>
    </row>
    <row r="4" spans="1:9" ht="18" x14ac:dyDescent="0.35">
      <c r="A4" s="216" t="s">
        <v>762</v>
      </c>
      <c r="I4" s="560"/>
    </row>
    <row r="5" spans="1:9" x14ac:dyDescent="0.25">
      <c r="A5" s="153" t="s">
        <v>1672</v>
      </c>
      <c r="B5" s="799">
        <v>1</v>
      </c>
      <c r="C5" s="799">
        <v>2</v>
      </c>
      <c r="D5" s="799">
        <v>3</v>
      </c>
      <c r="E5" s="799">
        <v>4</v>
      </c>
      <c r="F5" s="799">
        <v>5</v>
      </c>
      <c r="G5" s="799">
        <v>6</v>
      </c>
      <c r="H5" s="799">
        <v>7</v>
      </c>
      <c r="I5" s="800">
        <v>8</v>
      </c>
    </row>
    <row r="6" spans="1:9" ht="13.8" x14ac:dyDescent="0.25">
      <c r="A6" s="153" t="s">
        <v>1673</v>
      </c>
      <c r="B6" s="993">
        <f>ROUND((B16*(1.025)),2)</f>
        <v>25.2</v>
      </c>
      <c r="C6" s="993">
        <f t="shared" ref="C6:I6" si="0">ROUND((C16*(1.025)),2)</f>
        <v>26.21</v>
      </c>
      <c r="D6" s="993">
        <f t="shared" si="0"/>
        <v>27.27</v>
      </c>
      <c r="E6" s="993">
        <f t="shared" si="0"/>
        <v>28.37</v>
      </c>
      <c r="F6" s="993">
        <f t="shared" si="0"/>
        <v>29.49</v>
      </c>
      <c r="G6" s="993">
        <f t="shared" si="0"/>
        <v>30.68</v>
      </c>
      <c r="H6" s="993">
        <f t="shared" si="0"/>
        <v>31.89</v>
      </c>
      <c r="I6" s="557">
        <f t="shared" si="0"/>
        <v>33.159999999999997</v>
      </c>
    </row>
    <row r="7" spans="1:9" ht="13.8" x14ac:dyDescent="0.25">
      <c r="A7" s="153" t="s">
        <v>1674</v>
      </c>
      <c r="B7" s="993">
        <f>ROUND((B17*(1.025)),2)</f>
        <v>27.32</v>
      </c>
      <c r="C7" s="993">
        <f t="shared" ref="C7:I7" si="1">ROUND((C17*(1.025)),2)</f>
        <v>28.42</v>
      </c>
      <c r="D7" s="993">
        <f t="shared" si="1"/>
        <v>29.54</v>
      </c>
      <c r="E7" s="993">
        <f t="shared" si="1"/>
        <v>30.73</v>
      </c>
      <c r="F7" s="993">
        <f t="shared" si="1"/>
        <v>31.96</v>
      </c>
      <c r="G7" s="993">
        <f t="shared" si="1"/>
        <v>33.229999999999997</v>
      </c>
      <c r="H7" s="993">
        <f t="shared" si="1"/>
        <v>34.57</v>
      </c>
      <c r="I7" s="557">
        <f t="shared" si="1"/>
        <v>35.97</v>
      </c>
    </row>
    <row r="8" spans="1:9" ht="13.8" x14ac:dyDescent="0.25">
      <c r="A8" s="153" t="s">
        <v>1672</v>
      </c>
      <c r="B8" s="993"/>
      <c r="C8" s="993"/>
      <c r="D8" s="993"/>
      <c r="E8" s="801">
        <v>1</v>
      </c>
      <c r="F8" s="801">
        <v>2</v>
      </c>
      <c r="G8" s="801">
        <v>3</v>
      </c>
      <c r="H8" s="801">
        <v>4</v>
      </c>
      <c r="I8" s="802">
        <v>5</v>
      </c>
    </row>
    <row r="9" spans="1:9" ht="13.8" x14ac:dyDescent="0.25">
      <c r="A9" s="153" t="s">
        <v>1675</v>
      </c>
      <c r="B9" s="993"/>
      <c r="C9" s="993"/>
      <c r="D9" s="993"/>
      <c r="E9" s="993"/>
      <c r="F9" s="993">
        <f t="shared" ref="F9:I9" si="2">ROUND((F19*(1.025)),2)</f>
        <v>34.11</v>
      </c>
      <c r="G9" s="993">
        <f t="shared" si="2"/>
        <v>35.450000000000003</v>
      </c>
      <c r="H9" s="993">
        <f t="shared" si="2"/>
        <v>36.869999999999997</v>
      </c>
      <c r="I9" s="557">
        <f t="shared" si="2"/>
        <v>38.340000000000003</v>
      </c>
    </row>
    <row r="10" spans="1:9" ht="13.8" x14ac:dyDescent="0.25">
      <c r="A10" s="68" t="s">
        <v>1676</v>
      </c>
      <c r="B10" s="994"/>
      <c r="C10" s="994"/>
      <c r="D10" s="994"/>
      <c r="E10" s="994"/>
      <c r="F10" s="994">
        <f t="shared" ref="F10:I10" si="3">ROUND((F20*(1.025)),2)</f>
        <v>37.85</v>
      </c>
      <c r="G10" s="994">
        <f t="shared" si="3"/>
        <v>39.380000000000003</v>
      </c>
      <c r="H10" s="994">
        <f t="shared" si="3"/>
        <v>40.950000000000003</v>
      </c>
      <c r="I10" s="558">
        <f t="shared" si="3"/>
        <v>42.58</v>
      </c>
    </row>
    <row r="11" spans="1:9" ht="18" x14ac:dyDescent="0.35">
      <c r="A11" s="274"/>
      <c r="B11" s="274"/>
      <c r="C11" s="274"/>
      <c r="D11" s="274"/>
      <c r="E11" s="274"/>
      <c r="F11" s="274"/>
      <c r="G11" s="274"/>
      <c r="H11" s="274"/>
      <c r="I11" s="274"/>
    </row>
    <row r="12" spans="1:9" ht="15.6" x14ac:dyDescent="0.3">
      <c r="A12" s="1358" t="s">
        <v>1670</v>
      </c>
      <c r="B12" s="1358"/>
      <c r="C12" s="1358"/>
      <c r="D12" s="1358"/>
      <c r="E12" s="1358"/>
      <c r="F12" s="1358"/>
      <c r="G12" s="1358"/>
      <c r="H12" s="1358"/>
      <c r="I12" s="290" t="s">
        <v>194</v>
      </c>
    </row>
    <row r="13" spans="1:9" ht="18" x14ac:dyDescent="0.35">
      <c r="A13" s="273" t="s">
        <v>1671</v>
      </c>
      <c r="B13" s="158"/>
      <c r="C13" s="959"/>
      <c r="D13" s="158"/>
      <c r="E13" s="158"/>
      <c r="F13" s="158"/>
      <c r="G13" s="158"/>
      <c r="H13" s="158"/>
      <c r="I13" s="559"/>
    </row>
    <row r="14" spans="1:9" ht="18" x14ac:dyDescent="0.35">
      <c r="A14" s="216" t="s">
        <v>762</v>
      </c>
      <c r="I14" s="560"/>
    </row>
    <row r="15" spans="1:9" x14ac:dyDescent="0.25">
      <c r="A15" s="153" t="s">
        <v>1672</v>
      </c>
      <c r="B15" s="799">
        <v>1</v>
      </c>
      <c r="C15" s="799">
        <v>2</v>
      </c>
      <c r="D15" s="799">
        <v>3</v>
      </c>
      <c r="E15" s="799">
        <v>4</v>
      </c>
      <c r="F15" s="799">
        <v>5</v>
      </c>
      <c r="G15" s="799">
        <v>6</v>
      </c>
      <c r="H15" s="799">
        <v>7</v>
      </c>
      <c r="I15" s="800">
        <v>8</v>
      </c>
    </row>
    <row r="16" spans="1:9" ht="13.8" x14ac:dyDescent="0.25">
      <c r="A16" s="153" t="s">
        <v>1673</v>
      </c>
      <c r="B16" s="993">
        <f>ROUND((B26*(1.025)),2)</f>
        <v>24.59</v>
      </c>
      <c r="C16" s="993">
        <f t="shared" ref="C16:I16" si="4">ROUND((C26*(1.025)),2)</f>
        <v>25.57</v>
      </c>
      <c r="D16" s="993">
        <f t="shared" si="4"/>
        <v>26.6</v>
      </c>
      <c r="E16" s="993">
        <f t="shared" si="4"/>
        <v>27.68</v>
      </c>
      <c r="F16" s="993">
        <f t="shared" si="4"/>
        <v>28.77</v>
      </c>
      <c r="G16" s="993">
        <f t="shared" si="4"/>
        <v>29.93</v>
      </c>
      <c r="H16" s="993">
        <f t="shared" si="4"/>
        <v>31.11</v>
      </c>
      <c r="I16" s="557">
        <f t="shared" si="4"/>
        <v>32.35</v>
      </c>
    </row>
    <row r="17" spans="1:9" ht="13.8" x14ac:dyDescent="0.25">
      <c r="A17" s="153" t="s">
        <v>1674</v>
      </c>
      <c r="B17" s="993">
        <f>ROUND((B27*(1.025)),2)</f>
        <v>26.65</v>
      </c>
      <c r="C17" s="993">
        <f t="shared" ref="C17:I17" si="5">ROUND((C27*(1.025)),2)</f>
        <v>27.73</v>
      </c>
      <c r="D17" s="993">
        <f t="shared" si="5"/>
        <v>28.82</v>
      </c>
      <c r="E17" s="993">
        <f t="shared" si="5"/>
        <v>29.98</v>
      </c>
      <c r="F17" s="993">
        <f t="shared" si="5"/>
        <v>31.18</v>
      </c>
      <c r="G17" s="993">
        <f t="shared" si="5"/>
        <v>32.42</v>
      </c>
      <c r="H17" s="993">
        <f t="shared" si="5"/>
        <v>33.729999999999997</v>
      </c>
      <c r="I17" s="557">
        <f t="shared" si="5"/>
        <v>35.090000000000003</v>
      </c>
    </row>
    <row r="18" spans="1:9" ht="13.8" x14ac:dyDescent="0.25">
      <c r="A18" s="153" t="s">
        <v>1672</v>
      </c>
      <c r="B18" s="993"/>
      <c r="C18" s="993"/>
      <c r="D18" s="993"/>
      <c r="E18" s="801">
        <v>1</v>
      </c>
      <c r="F18" s="801">
        <v>2</v>
      </c>
      <c r="G18" s="801">
        <v>3</v>
      </c>
      <c r="H18" s="801">
        <v>4</v>
      </c>
      <c r="I18" s="802">
        <v>5</v>
      </c>
    </row>
    <row r="19" spans="1:9" ht="13.8" x14ac:dyDescent="0.25">
      <c r="A19" s="153" t="s">
        <v>1675</v>
      </c>
      <c r="B19" s="993"/>
      <c r="C19" s="993"/>
      <c r="D19" s="993"/>
      <c r="E19" s="993"/>
      <c r="F19" s="993">
        <f t="shared" ref="F19:I19" si="6">ROUND((F29*(1.025)),2)</f>
        <v>33.28</v>
      </c>
      <c r="G19" s="993">
        <f t="shared" si="6"/>
        <v>34.590000000000003</v>
      </c>
      <c r="H19" s="993">
        <f t="shared" si="6"/>
        <v>35.97</v>
      </c>
      <c r="I19" s="557">
        <f t="shared" si="6"/>
        <v>37.4</v>
      </c>
    </row>
    <row r="20" spans="1:9" ht="13.8" x14ac:dyDescent="0.25">
      <c r="A20" s="68" t="s">
        <v>1676</v>
      </c>
      <c r="B20" s="994"/>
      <c r="C20" s="994"/>
      <c r="D20" s="994"/>
      <c r="E20" s="994"/>
      <c r="F20" s="994">
        <f t="shared" ref="F20:I20" si="7">ROUND((F30*(1.025)),2)</f>
        <v>36.93</v>
      </c>
      <c r="G20" s="994">
        <f t="shared" si="7"/>
        <v>38.42</v>
      </c>
      <c r="H20" s="994">
        <f t="shared" si="7"/>
        <v>39.950000000000003</v>
      </c>
      <c r="I20" s="558">
        <f t="shared" si="7"/>
        <v>41.54</v>
      </c>
    </row>
    <row r="21" spans="1:9" ht="13.8" x14ac:dyDescent="0.25">
      <c r="B21" s="993"/>
      <c r="C21" s="993"/>
      <c r="D21" s="993"/>
      <c r="E21" s="993"/>
      <c r="F21" s="993"/>
      <c r="G21" s="993"/>
      <c r="H21" s="993"/>
      <c r="I21" s="993"/>
    </row>
    <row r="22" spans="1:9" ht="15.6" x14ac:dyDescent="0.3">
      <c r="A22" s="1358" t="s">
        <v>1677</v>
      </c>
      <c r="B22" s="1358"/>
      <c r="C22" s="1358"/>
      <c r="D22" s="1358"/>
      <c r="E22" s="1358"/>
      <c r="F22" s="1358"/>
      <c r="G22" s="1358"/>
      <c r="H22" s="1358"/>
      <c r="I22" s="290" t="s">
        <v>194</v>
      </c>
    </row>
    <row r="23" spans="1:9" ht="18" x14ac:dyDescent="0.35">
      <c r="A23" s="273" t="s">
        <v>1678</v>
      </c>
      <c r="B23" s="158"/>
      <c r="C23" s="158"/>
      <c r="D23" s="158"/>
      <c r="E23" s="158"/>
      <c r="F23" s="158"/>
      <c r="G23" s="158"/>
      <c r="H23" s="158"/>
      <c r="I23" s="559"/>
    </row>
    <row r="24" spans="1:9" ht="18" x14ac:dyDescent="0.35">
      <c r="A24" s="216" t="s">
        <v>762</v>
      </c>
      <c r="I24" s="560"/>
    </row>
    <row r="25" spans="1:9" x14ac:dyDescent="0.25">
      <c r="A25" s="153" t="s">
        <v>1672</v>
      </c>
      <c r="B25" s="799">
        <v>1</v>
      </c>
      <c r="C25" s="799">
        <v>2</v>
      </c>
      <c r="D25" s="799">
        <v>3</v>
      </c>
      <c r="E25" s="799">
        <v>4</v>
      </c>
      <c r="F25" s="799">
        <v>5</v>
      </c>
      <c r="G25" s="799">
        <v>6</v>
      </c>
      <c r="H25" s="799">
        <v>7</v>
      </c>
      <c r="I25" s="800">
        <v>8</v>
      </c>
    </row>
    <row r="26" spans="1:9" ht="13.8" x14ac:dyDescent="0.25">
      <c r="A26" s="153" t="s">
        <v>1673</v>
      </c>
      <c r="B26" s="993">
        <f>ROUND((+B36*1.03),2)</f>
        <v>23.99</v>
      </c>
      <c r="C26" s="993">
        <f t="shared" ref="C26:I26" si="8">ROUND((+C36*1.03),2)</f>
        <v>24.95</v>
      </c>
      <c r="D26" s="993">
        <f t="shared" si="8"/>
        <v>25.95</v>
      </c>
      <c r="E26" s="993">
        <f t="shared" si="8"/>
        <v>27</v>
      </c>
      <c r="F26" s="993">
        <f t="shared" si="8"/>
        <v>28.07</v>
      </c>
      <c r="G26" s="993">
        <f t="shared" si="8"/>
        <v>29.2</v>
      </c>
      <c r="H26" s="993">
        <f t="shared" si="8"/>
        <v>30.35</v>
      </c>
      <c r="I26" s="557">
        <f t="shared" si="8"/>
        <v>31.56</v>
      </c>
    </row>
    <row r="27" spans="1:9" ht="13.8" x14ac:dyDescent="0.25">
      <c r="A27" s="153" t="s">
        <v>1674</v>
      </c>
      <c r="B27" s="993">
        <f>ROUND((+B37*1.03),2)</f>
        <v>26</v>
      </c>
      <c r="C27" s="993">
        <f t="shared" ref="C27:I27" si="9">ROUND((+C37*1.03),2)</f>
        <v>27.05</v>
      </c>
      <c r="D27" s="993">
        <f t="shared" si="9"/>
        <v>28.12</v>
      </c>
      <c r="E27" s="993">
        <f t="shared" si="9"/>
        <v>29.25</v>
      </c>
      <c r="F27" s="993">
        <f t="shared" si="9"/>
        <v>30.42</v>
      </c>
      <c r="G27" s="993">
        <f t="shared" si="9"/>
        <v>31.63</v>
      </c>
      <c r="H27" s="993">
        <f t="shared" si="9"/>
        <v>32.909999999999997</v>
      </c>
      <c r="I27" s="557">
        <f t="shared" si="9"/>
        <v>34.229999999999997</v>
      </c>
    </row>
    <row r="28" spans="1:9" ht="13.8" x14ac:dyDescent="0.25">
      <c r="A28" s="153" t="s">
        <v>1672</v>
      </c>
      <c r="B28" s="993"/>
      <c r="C28" s="993"/>
      <c r="D28" s="993"/>
      <c r="E28" s="801">
        <v>1</v>
      </c>
      <c r="F28" s="801">
        <v>2</v>
      </c>
      <c r="G28" s="801">
        <v>3</v>
      </c>
      <c r="H28" s="801">
        <v>4</v>
      </c>
      <c r="I28" s="802">
        <v>5</v>
      </c>
    </row>
    <row r="29" spans="1:9" ht="13.8" x14ac:dyDescent="0.25">
      <c r="A29" s="153" t="s">
        <v>1675</v>
      </c>
      <c r="B29" s="993"/>
      <c r="C29" s="993"/>
      <c r="D29" s="993"/>
      <c r="E29" s="993"/>
      <c r="F29" s="993">
        <f t="shared" ref="F29:I29" si="10">ROUND((+F39*1.03),2)</f>
        <v>32.47</v>
      </c>
      <c r="G29" s="993">
        <f t="shared" si="10"/>
        <v>33.75</v>
      </c>
      <c r="H29" s="993">
        <f t="shared" si="10"/>
        <v>35.090000000000003</v>
      </c>
      <c r="I29" s="557">
        <f t="shared" si="10"/>
        <v>36.49</v>
      </c>
    </row>
    <row r="30" spans="1:9" ht="13.8" x14ac:dyDescent="0.25">
      <c r="A30" s="68" t="s">
        <v>1676</v>
      </c>
      <c r="B30" s="994"/>
      <c r="C30" s="994"/>
      <c r="D30" s="994"/>
      <c r="E30" s="994"/>
      <c r="F30" s="994">
        <f t="shared" ref="F30:I30" si="11">ROUND((+F40*1.03),2)</f>
        <v>36.03</v>
      </c>
      <c r="G30" s="994">
        <f t="shared" si="11"/>
        <v>37.479999999999997</v>
      </c>
      <c r="H30" s="994">
        <f t="shared" si="11"/>
        <v>38.979999999999997</v>
      </c>
      <c r="I30" s="558">
        <f t="shared" si="11"/>
        <v>40.53</v>
      </c>
    </row>
    <row r="31" spans="1:9" ht="13.8" x14ac:dyDescent="0.25">
      <c r="B31" s="993"/>
      <c r="C31" s="993"/>
      <c r="D31" s="993"/>
      <c r="E31" s="993"/>
      <c r="F31" s="993"/>
      <c r="G31" s="993"/>
      <c r="H31" s="993"/>
      <c r="I31" s="993"/>
    </row>
    <row r="32" spans="1:9" ht="15.6" x14ac:dyDescent="0.3">
      <c r="A32" s="1358" t="s">
        <v>1679</v>
      </c>
      <c r="B32" s="1358"/>
      <c r="C32" s="1358"/>
      <c r="D32" s="1358"/>
      <c r="E32" s="1358"/>
      <c r="F32" s="1358"/>
      <c r="G32" s="1358"/>
      <c r="H32" s="1358"/>
      <c r="I32" s="290" t="s">
        <v>194</v>
      </c>
    </row>
    <row r="33" spans="1:9" ht="18" x14ac:dyDescent="0.35">
      <c r="A33" s="273" t="s">
        <v>1680</v>
      </c>
      <c r="B33" s="158"/>
      <c r="C33" s="158"/>
      <c r="D33" s="158"/>
      <c r="E33" s="158"/>
      <c r="F33" s="158"/>
      <c r="G33" s="158"/>
      <c r="H33" s="158"/>
      <c r="I33" s="559"/>
    </row>
    <row r="34" spans="1:9" ht="18" x14ac:dyDescent="0.35">
      <c r="A34" s="216" t="s">
        <v>762</v>
      </c>
      <c r="I34" s="560"/>
    </row>
    <row r="35" spans="1:9" x14ac:dyDescent="0.25">
      <c r="A35" s="153" t="s">
        <v>1672</v>
      </c>
      <c r="B35" s="799">
        <v>1</v>
      </c>
      <c r="C35" s="799">
        <v>2</v>
      </c>
      <c r="D35" s="799">
        <v>3</v>
      </c>
      <c r="E35" s="799">
        <v>4</v>
      </c>
      <c r="F35" s="799">
        <v>5</v>
      </c>
      <c r="G35" s="799">
        <v>6</v>
      </c>
      <c r="H35" s="799">
        <v>7</v>
      </c>
      <c r="I35" s="800">
        <v>8</v>
      </c>
    </row>
    <row r="36" spans="1:9" ht="13.8" x14ac:dyDescent="0.25">
      <c r="A36" s="153" t="s">
        <v>1673</v>
      </c>
      <c r="B36" s="993">
        <f>ROUND((+B46*1.015),2)</f>
        <v>23.29</v>
      </c>
      <c r="C36" s="993">
        <f t="shared" ref="C36:I36" si="12">ROUND((+C46*1.015),2)</f>
        <v>24.22</v>
      </c>
      <c r="D36" s="993">
        <f t="shared" si="12"/>
        <v>25.19</v>
      </c>
      <c r="E36" s="993">
        <f t="shared" si="12"/>
        <v>26.21</v>
      </c>
      <c r="F36" s="993">
        <f t="shared" si="12"/>
        <v>27.25</v>
      </c>
      <c r="G36" s="993">
        <f t="shared" si="12"/>
        <v>28.35</v>
      </c>
      <c r="H36" s="993">
        <f t="shared" si="12"/>
        <v>29.47</v>
      </c>
      <c r="I36" s="557">
        <f t="shared" si="12"/>
        <v>30.64</v>
      </c>
    </row>
    <row r="37" spans="1:9" ht="13.8" x14ac:dyDescent="0.25">
      <c r="A37" s="153" t="s">
        <v>1674</v>
      </c>
      <c r="B37" s="993">
        <f>ROUND((+B47*1.015),2)</f>
        <v>25.24</v>
      </c>
      <c r="C37" s="993">
        <f t="shared" ref="C37:I37" si="13">ROUND((+C47*1.015),2)</f>
        <v>26.26</v>
      </c>
      <c r="D37" s="993">
        <f t="shared" si="13"/>
        <v>27.3</v>
      </c>
      <c r="E37" s="993">
        <f t="shared" si="13"/>
        <v>28.4</v>
      </c>
      <c r="F37" s="993">
        <f t="shared" si="13"/>
        <v>29.53</v>
      </c>
      <c r="G37" s="993">
        <f t="shared" si="13"/>
        <v>30.71</v>
      </c>
      <c r="H37" s="993">
        <f t="shared" si="13"/>
        <v>31.95</v>
      </c>
      <c r="I37" s="557">
        <f t="shared" si="13"/>
        <v>33.229999999999997</v>
      </c>
    </row>
    <row r="38" spans="1:9" ht="13.8" x14ac:dyDescent="0.25">
      <c r="A38" s="153" t="s">
        <v>1672</v>
      </c>
      <c r="B38" s="993"/>
      <c r="C38" s="993"/>
      <c r="D38" s="993"/>
      <c r="E38" s="801">
        <v>1</v>
      </c>
      <c r="F38" s="801">
        <v>2</v>
      </c>
      <c r="G38" s="801">
        <v>3</v>
      </c>
      <c r="H38" s="801">
        <v>4</v>
      </c>
      <c r="I38" s="802">
        <v>5</v>
      </c>
    </row>
    <row r="39" spans="1:9" ht="13.8" x14ac:dyDescent="0.25">
      <c r="A39" s="153" t="s">
        <v>1675</v>
      </c>
      <c r="B39" s="993"/>
      <c r="C39" s="993"/>
      <c r="D39" s="993"/>
      <c r="E39" s="993"/>
      <c r="F39" s="993">
        <f>ROUND((+F49*1.015),2)</f>
        <v>31.52</v>
      </c>
      <c r="G39" s="993">
        <f t="shared" ref="G39:I39" si="14">ROUND((+G49*1.015),2)</f>
        <v>32.770000000000003</v>
      </c>
      <c r="H39" s="993">
        <f t="shared" si="14"/>
        <v>34.07</v>
      </c>
      <c r="I39" s="557">
        <f t="shared" si="14"/>
        <v>35.43</v>
      </c>
    </row>
    <row r="40" spans="1:9" ht="13.8" x14ac:dyDescent="0.25">
      <c r="A40" s="68" t="s">
        <v>1676</v>
      </c>
      <c r="B40" s="994"/>
      <c r="C40" s="994"/>
      <c r="D40" s="994"/>
      <c r="E40" s="994"/>
      <c r="F40" s="994">
        <f>ROUND((+F50*1.015),2)</f>
        <v>34.979999999999997</v>
      </c>
      <c r="G40" s="994">
        <f t="shared" ref="G40:I40" si="15">ROUND((+G50*1.015),2)</f>
        <v>36.39</v>
      </c>
      <c r="H40" s="994">
        <f t="shared" si="15"/>
        <v>37.840000000000003</v>
      </c>
      <c r="I40" s="558">
        <f t="shared" si="15"/>
        <v>39.35</v>
      </c>
    </row>
    <row r="41" spans="1:9" ht="18" x14ac:dyDescent="0.35">
      <c r="A41" s="274"/>
      <c r="B41" s="274"/>
      <c r="C41" s="274"/>
      <c r="D41" s="274"/>
      <c r="E41" s="274"/>
      <c r="F41" s="274"/>
      <c r="G41" s="274"/>
      <c r="H41" s="274"/>
      <c r="I41" s="274"/>
    </row>
    <row r="42" spans="1:9" ht="18" x14ac:dyDescent="0.35">
      <c r="A42" s="1358" t="s">
        <v>1681</v>
      </c>
      <c r="B42" s="1358"/>
      <c r="C42" s="1358"/>
      <c r="D42" s="1358"/>
      <c r="E42" s="1358"/>
      <c r="F42" s="1358"/>
      <c r="G42" s="1358"/>
      <c r="H42" s="1358"/>
      <c r="I42" s="274"/>
    </row>
    <row r="43" spans="1:9" ht="18" x14ac:dyDescent="0.35">
      <c r="A43" s="273" t="s">
        <v>1682</v>
      </c>
      <c r="B43" s="158"/>
      <c r="C43" s="158"/>
      <c r="D43" s="158"/>
      <c r="E43" s="158"/>
      <c r="F43" s="158"/>
      <c r="G43" s="158"/>
      <c r="H43" s="158"/>
      <c r="I43" s="559"/>
    </row>
    <row r="44" spans="1:9" ht="18" x14ac:dyDescent="0.35">
      <c r="A44" s="216" t="s">
        <v>762</v>
      </c>
      <c r="I44" s="560"/>
    </row>
    <row r="45" spans="1:9" x14ac:dyDescent="0.25">
      <c r="A45" s="153" t="s">
        <v>1672</v>
      </c>
      <c r="B45" s="799">
        <v>1</v>
      </c>
      <c r="C45" s="799">
        <v>2</v>
      </c>
      <c r="D45" s="799">
        <v>3</v>
      </c>
      <c r="E45" s="799">
        <v>4</v>
      </c>
      <c r="F45" s="799">
        <v>5</v>
      </c>
      <c r="G45" s="799">
        <v>6</v>
      </c>
      <c r="H45" s="799">
        <v>7</v>
      </c>
      <c r="I45" s="800">
        <v>8</v>
      </c>
    </row>
    <row r="46" spans="1:9" ht="13.8" x14ac:dyDescent="0.25">
      <c r="A46" s="153" t="s">
        <v>1673</v>
      </c>
      <c r="B46" s="993">
        <f>ROUND((+B56*1),2)</f>
        <v>22.95</v>
      </c>
      <c r="C46" s="993">
        <f t="shared" ref="C46:H46" si="16">ROUND((+C56*1),2)</f>
        <v>23.86</v>
      </c>
      <c r="D46" s="993">
        <f t="shared" si="16"/>
        <v>24.82</v>
      </c>
      <c r="E46" s="993">
        <f t="shared" si="16"/>
        <v>25.82</v>
      </c>
      <c r="F46" s="993">
        <f t="shared" si="16"/>
        <v>26.85</v>
      </c>
      <c r="G46" s="993">
        <f t="shared" si="16"/>
        <v>27.93</v>
      </c>
      <c r="H46" s="993">
        <f t="shared" si="16"/>
        <v>29.03</v>
      </c>
      <c r="I46" s="557">
        <f>ROUND((+H46*1.04),2)</f>
        <v>30.19</v>
      </c>
    </row>
    <row r="47" spans="1:9" ht="13.8" x14ac:dyDescent="0.25">
      <c r="A47" s="153" t="s">
        <v>1674</v>
      </c>
      <c r="B47" s="993">
        <f>ROUND((+B57*1),2)</f>
        <v>24.87</v>
      </c>
      <c r="C47" s="993">
        <f t="shared" ref="C47:H47" si="17">ROUND((+C57*1),2)</f>
        <v>25.87</v>
      </c>
      <c r="D47" s="993">
        <f t="shared" si="17"/>
        <v>26.9</v>
      </c>
      <c r="E47" s="993">
        <f t="shared" si="17"/>
        <v>27.98</v>
      </c>
      <c r="F47" s="993">
        <f t="shared" si="17"/>
        <v>29.09</v>
      </c>
      <c r="G47" s="993">
        <f t="shared" si="17"/>
        <v>30.26</v>
      </c>
      <c r="H47" s="993">
        <f t="shared" si="17"/>
        <v>31.48</v>
      </c>
      <c r="I47" s="557">
        <f>ROUND((+H47*1.04),2)</f>
        <v>32.74</v>
      </c>
    </row>
    <row r="48" spans="1:9" ht="13.8" x14ac:dyDescent="0.25">
      <c r="A48" s="153" t="s">
        <v>1672</v>
      </c>
      <c r="B48" s="993"/>
      <c r="C48" s="993"/>
      <c r="D48" s="993"/>
      <c r="E48" s="801">
        <v>1</v>
      </c>
      <c r="F48" s="801">
        <v>2</v>
      </c>
      <c r="G48" s="801">
        <v>3</v>
      </c>
      <c r="H48" s="801">
        <v>4</v>
      </c>
      <c r="I48" s="802">
        <v>5</v>
      </c>
    </row>
    <row r="49" spans="1:9" ht="13.8" x14ac:dyDescent="0.25">
      <c r="A49" s="153" t="s">
        <v>1675</v>
      </c>
      <c r="B49" s="993"/>
      <c r="C49" s="993"/>
      <c r="D49" s="993"/>
      <c r="E49" s="993"/>
      <c r="F49" s="993">
        <f>ROUND((+F59*1),2)</f>
        <v>31.05</v>
      </c>
      <c r="G49" s="993">
        <f t="shared" ref="G49:H49" si="18">ROUND((+G59*1),2)</f>
        <v>32.29</v>
      </c>
      <c r="H49" s="993">
        <f t="shared" si="18"/>
        <v>33.57</v>
      </c>
      <c r="I49" s="557">
        <f>ROUND((+H49*1.04),2)</f>
        <v>34.909999999999997</v>
      </c>
    </row>
    <row r="50" spans="1:9" ht="13.8" x14ac:dyDescent="0.25">
      <c r="A50" s="68" t="s">
        <v>1676</v>
      </c>
      <c r="B50" s="994"/>
      <c r="C50" s="994"/>
      <c r="D50" s="994"/>
      <c r="E50" s="994"/>
      <c r="F50" s="994">
        <f>ROUND((+F60*1),2)</f>
        <v>34.46</v>
      </c>
      <c r="G50" s="994">
        <f t="shared" ref="G50:H50" si="19">ROUND((+G60*1),2)</f>
        <v>35.85</v>
      </c>
      <c r="H50" s="994">
        <f t="shared" si="19"/>
        <v>37.28</v>
      </c>
      <c r="I50" s="558">
        <f>ROUND((+H50*1.04),2)</f>
        <v>38.770000000000003</v>
      </c>
    </row>
    <row r="51" spans="1:9" ht="18" x14ac:dyDescent="0.35">
      <c r="A51" s="274"/>
      <c r="B51" s="274"/>
      <c r="C51" s="274"/>
      <c r="D51" s="274"/>
      <c r="E51" s="274"/>
      <c r="F51" s="274"/>
      <c r="G51" s="274"/>
      <c r="H51" s="274"/>
      <c r="I51" s="274"/>
    </row>
    <row r="52" spans="1:9" ht="18" x14ac:dyDescent="0.35">
      <c r="A52" s="1357" t="s">
        <v>1683</v>
      </c>
      <c r="B52" s="1357"/>
      <c r="C52" s="1357"/>
      <c r="D52" s="1357"/>
      <c r="E52" s="1357"/>
      <c r="F52" s="1357"/>
      <c r="G52" s="1357"/>
      <c r="H52" s="1357"/>
      <c r="I52" s="274"/>
    </row>
    <row r="53" spans="1:9" ht="18" x14ac:dyDescent="0.35">
      <c r="A53" s="273" t="s">
        <v>1684</v>
      </c>
      <c r="B53" s="158"/>
      <c r="C53" s="158"/>
      <c r="D53" s="158"/>
      <c r="E53" s="158"/>
      <c r="F53" s="158"/>
      <c r="G53" s="158"/>
      <c r="H53" s="167"/>
      <c r="I53" s="274"/>
    </row>
    <row r="54" spans="1:9" ht="18" x14ac:dyDescent="0.35">
      <c r="A54" s="216" t="s">
        <v>762</v>
      </c>
      <c r="H54" s="213"/>
      <c r="I54" s="274"/>
    </row>
    <row r="55" spans="1:9" ht="18" x14ac:dyDescent="0.35">
      <c r="A55" s="153" t="s">
        <v>1672</v>
      </c>
      <c r="B55" s="799">
        <v>1</v>
      </c>
      <c r="C55" s="799">
        <v>2</v>
      </c>
      <c r="D55" s="799">
        <v>3</v>
      </c>
      <c r="E55" s="799">
        <v>4</v>
      </c>
      <c r="F55" s="799">
        <v>5</v>
      </c>
      <c r="G55" s="799">
        <v>6</v>
      </c>
      <c r="H55" s="803">
        <v>7</v>
      </c>
      <c r="I55" s="274"/>
    </row>
    <row r="56" spans="1:9" ht="18" x14ac:dyDescent="0.35">
      <c r="A56" s="153" t="s">
        <v>1673</v>
      </c>
      <c r="B56" s="993">
        <f>ROUND((+B66*1.015),2)</f>
        <v>22.95</v>
      </c>
      <c r="C56" s="993">
        <f t="shared" ref="C56:H56" si="20">ROUND((+C66*1.015),2)</f>
        <v>23.86</v>
      </c>
      <c r="D56" s="993">
        <f t="shared" si="20"/>
        <v>24.82</v>
      </c>
      <c r="E56" s="993">
        <f t="shared" si="20"/>
        <v>25.82</v>
      </c>
      <c r="F56" s="993">
        <f t="shared" si="20"/>
        <v>26.85</v>
      </c>
      <c r="G56" s="993">
        <f t="shared" si="20"/>
        <v>27.93</v>
      </c>
      <c r="H56" s="557">
        <f t="shared" si="20"/>
        <v>29.03</v>
      </c>
      <c r="I56" s="274"/>
    </row>
    <row r="57" spans="1:9" ht="18" x14ac:dyDescent="0.35">
      <c r="A57" s="153" t="s">
        <v>1674</v>
      </c>
      <c r="B57" s="993">
        <f>ROUND((+B67*1.015),2)</f>
        <v>24.87</v>
      </c>
      <c r="C57" s="993">
        <f t="shared" ref="C57:H57" si="21">ROUND((+C67*1.015),2)</f>
        <v>25.87</v>
      </c>
      <c r="D57" s="993">
        <f t="shared" si="21"/>
        <v>26.9</v>
      </c>
      <c r="E57" s="993">
        <f t="shared" si="21"/>
        <v>27.98</v>
      </c>
      <c r="F57" s="993">
        <f t="shared" si="21"/>
        <v>29.09</v>
      </c>
      <c r="G57" s="993">
        <f t="shared" si="21"/>
        <v>30.26</v>
      </c>
      <c r="H57" s="557">
        <f t="shared" si="21"/>
        <v>31.48</v>
      </c>
      <c r="I57" s="274"/>
    </row>
    <row r="58" spans="1:9" ht="18" x14ac:dyDescent="0.35">
      <c r="A58" s="153" t="s">
        <v>1672</v>
      </c>
      <c r="B58" s="993"/>
      <c r="C58" s="993"/>
      <c r="D58" s="993"/>
      <c r="E58" s="801">
        <v>1</v>
      </c>
      <c r="F58" s="801">
        <v>2</v>
      </c>
      <c r="G58" s="801">
        <v>3</v>
      </c>
      <c r="H58" s="802">
        <v>4</v>
      </c>
      <c r="I58" s="274"/>
    </row>
    <row r="59" spans="1:9" ht="18" x14ac:dyDescent="0.35">
      <c r="A59" s="153" t="s">
        <v>1675</v>
      </c>
      <c r="B59" s="993"/>
      <c r="C59" s="993"/>
      <c r="D59" s="993"/>
      <c r="E59" s="993">
        <f t="shared" ref="E59:H59" si="22">ROUND((+E69*1.015),2)</f>
        <v>29.84</v>
      </c>
      <c r="F59" s="993">
        <f t="shared" si="22"/>
        <v>31.05</v>
      </c>
      <c r="G59" s="993">
        <f t="shared" si="22"/>
        <v>32.29</v>
      </c>
      <c r="H59" s="557">
        <f t="shared" si="22"/>
        <v>33.57</v>
      </c>
      <c r="I59" s="274"/>
    </row>
    <row r="60" spans="1:9" ht="18" x14ac:dyDescent="0.35">
      <c r="A60" s="68" t="s">
        <v>1676</v>
      </c>
      <c r="B60" s="994"/>
      <c r="C60" s="994"/>
      <c r="D60" s="994"/>
      <c r="E60" s="994">
        <f t="shared" ref="E60:H60" si="23">ROUND((+E70*1.015),2)</f>
        <v>33.14</v>
      </c>
      <c r="F60" s="994">
        <f t="shared" si="23"/>
        <v>34.46</v>
      </c>
      <c r="G60" s="994">
        <f t="shared" si="23"/>
        <v>35.85</v>
      </c>
      <c r="H60" s="558">
        <f t="shared" si="23"/>
        <v>37.28</v>
      </c>
      <c r="I60" s="274"/>
    </row>
    <row r="61" spans="1:9" ht="18" x14ac:dyDescent="0.35">
      <c r="A61" s="274"/>
      <c r="B61" s="274"/>
      <c r="C61" s="274"/>
      <c r="D61" s="274"/>
      <c r="E61" s="274"/>
      <c r="F61" s="274"/>
      <c r="G61" s="274"/>
      <c r="H61" s="274"/>
      <c r="I61" s="274"/>
    </row>
    <row r="62" spans="1:9" ht="18" x14ac:dyDescent="0.35">
      <c r="A62" s="1357" t="s">
        <v>1685</v>
      </c>
      <c r="B62" s="1357"/>
      <c r="C62" s="1357"/>
      <c r="D62" s="1357"/>
      <c r="E62" s="1357"/>
      <c r="F62" s="1357"/>
      <c r="G62" s="1357"/>
      <c r="H62" s="1357"/>
      <c r="I62" s="274"/>
    </row>
    <row r="63" spans="1:9" ht="18" x14ac:dyDescent="0.35">
      <c r="A63" s="273" t="s">
        <v>1686</v>
      </c>
      <c r="B63" s="158"/>
      <c r="C63" s="158"/>
      <c r="D63" s="158"/>
      <c r="E63" s="158"/>
      <c r="F63" s="158"/>
      <c r="G63" s="158"/>
      <c r="H63" s="167"/>
      <c r="I63" s="274"/>
    </row>
    <row r="64" spans="1:9" ht="18" x14ac:dyDescent="0.35">
      <c r="A64" s="216" t="s">
        <v>762</v>
      </c>
      <c r="H64" s="213"/>
      <c r="I64" s="274"/>
    </row>
    <row r="65" spans="1:9" ht="18" x14ac:dyDescent="0.35">
      <c r="A65" s="153" t="s">
        <v>1672</v>
      </c>
      <c r="B65" s="799">
        <v>1</v>
      </c>
      <c r="C65" s="799">
        <v>2</v>
      </c>
      <c r="D65" s="799">
        <v>3</v>
      </c>
      <c r="E65" s="799">
        <v>4</v>
      </c>
      <c r="F65" s="799">
        <v>5</v>
      </c>
      <c r="G65" s="799">
        <v>6</v>
      </c>
      <c r="H65" s="803">
        <v>7</v>
      </c>
      <c r="I65" s="274"/>
    </row>
    <row r="66" spans="1:9" ht="18" x14ac:dyDescent="0.35">
      <c r="A66" s="153" t="s">
        <v>1673</v>
      </c>
      <c r="B66" s="993">
        <f>ROUND((+B76*1.02),2)</f>
        <v>22.61</v>
      </c>
      <c r="C66" s="993">
        <v>23.51</v>
      </c>
      <c r="D66" s="993">
        <f t="shared" ref="D66:H66" si="24">ROUND((+D76*1.02),2)</f>
        <v>24.45</v>
      </c>
      <c r="E66" s="993">
        <v>25.44</v>
      </c>
      <c r="F66" s="993">
        <f t="shared" si="24"/>
        <v>26.45</v>
      </c>
      <c r="G66" s="993">
        <v>27.52</v>
      </c>
      <c r="H66" s="557">
        <f t="shared" si="24"/>
        <v>28.6</v>
      </c>
      <c r="I66" s="274"/>
    </row>
    <row r="67" spans="1:9" ht="18" x14ac:dyDescent="0.35">
      <c r="A67" s="153" t="s">
        <v>1674</v>
      </c>
      <c r="B67" s="993">
        <f>ROUND((+B77*1.02),2)</f>
        <v>24.5</v>
      </c>
      <c r="C67" s="993">
        <v>25.49</v>
      </c>
      <c r="D67" s="993">
        <f t="shared" ref="D67:H67" si="25">ROUND((+D77*1.02),2)</f>
        <v>26.5</v>
      </c>
      <c r="E67" s="993">
        <v>27.57</v>
      </c>
      <c r="F67" s="993">
        <f t="shared" si="25"/>
        <v>28.66</v>
      </c>
      <c r="G67" s="993">
        <f t="shared" si="25"/>
        <v>29.81</v>
      </c>
      <c r="H67" s="557">
        <f t="shared" si="25"/>
        <v>31.01</v>
      </c>
      <c r="I67" s="274"/>
    </row>
    <row r="68" spans="1:9" ht="18" x14ac:dyDescent="0.35">
      <c r="A68" s="153" t="s">
        <v>1672</v>
      </c>
      <c r="B68" s="993"/>
      <c r="C68" s="993"/>
      <c r="D68" s="993"/>
      <c r="E68" s="801">
        <v>1</v>
      </c>
      <c r="F68" s="801">
        <v>2</v>
      </c>
      <c r="G68" s="801">
        <v>3</v>
      </c>
      <c r="H68" s="802">
        <v>4</v>
      </c>
      <c r="I68" s="274"/>
    </row>
    <row r="69" spans="1:9" ht="18" x14ac:dyDescent="0.35">
      <c r="A69" s="153" t="s">
        <v>1675</v>
      </c>
      <c r="B69" s="993"/>
      <c r="C69" s="993"/>
      <c r="D69" s="993"/>
      <c r="E69" s="993">
        <f t="shared" ref="E69:H70" si="26">ROUND((+E79*1.02),2)</f>
        <v>29.4</v>
      </c>
      <c r="F69" s="993">
        <f t="shared" si="26"/>
        <v>30.59</v>
      </c>
      <c r="G69" s="993">
        <f t="shared" si="26"/>
        <v>31.81</v>
      </c>
      <c r="H69" s="557">
        <f t="shared" si="26"/>
        <v>33.07</v>
      </c>
      <c r="I69" s="274"/>
    </row>
    <row r="70" spans="1:9" ht="18" x14ac:dyDescent="0.35">
      <c r="A70" s="68" t="s">
        <v>1676</v>
      </c>
      <c r="B70" s="994"/>
      <c r="C70" s="994"/>
      <c r="D70" s="994"/>
      <c r="E70" s="994">
        <f t="shared" si="26"/>
        <v>32.65</v>
      </c>
      <c r="F70" s="994">
        <v>33.950000000000003</v>
      </c>
      <c r="G70" s="994">
        <v>35.32</v>
      </c>
      <c r="H70" s="558">
        <f t="shared" si="26"/>
        <v>36.729999999999997</v>
      </c>
      <c r="I70" s="274"/>
    </row>
    <row r="71" spans="1:9" ht="18" x14ac:dyDescent="0.35">
      <c r="A71" s="274"/>
      <c r="B71" s="274"/>
      <c r="C71" s="274"/>
      <c r="D71" s="274"/>
      <c r="E71" s="274"/>
      <c r="F71" s="274"/>
      <c r="G71" s="274"/>
      <c r="H71" s="274"/>
      <c r="I71" s="274"/>
    </row>
    <row r="72" spans="1:9" ht="18" x14ac:dyDescent="0.35">
      <c r="A72" s="1357" t="s">
        <v>1687</v>
      </c>
      <c r="B72" s="1357"/>
      <c r="C72" s="1357"/>
      <c r="D72" s="1357"/>
      <c r="E72" s="1357"/>
      <c r="F72" s="1357"/>
      <c r="G72" s="1357"/>
      <c r="H72" s="1357"/>
      <c r="I72" s="274"/>
    </row>
    <row r="73" spans="1:9" ht="18" x14ac:dyDescent="0.35">
      <c r="A73" s="273" t="s">
        <v>1688</v>
      </c>
      <c r="B73" s="158"/>
      <c r="C73" s="158"/>
      <c r="D73" s="158"/>
      <c r="E73" s="158"/>
      <c r="F73" s="158"/>
      <c r="G73" s="158"/>
      <c r="H73" s="167"/>
      <c r="I73" s="274"/>
    </row>
    <row r="74" spans="1:9" ht="18" x14ac:dyDescent="0.35">
      <c r="A74" s="216" t="s">
        <v>762</v>
      </c>
      <c r="H74" s="213"/>
      <c r="I74" s="274"/>
    </row>
    <row r="75" spans="1:9" ht="18" x14ac:dyDescent="0.35">
      <c r="A75" s="153" t="s">
        <v>1672</v>
      </c>
      <c r="B75" s="799">
        <v>1</v>
      </c>
      <c r="C75" s="799">
        <v>2</v>
      </c>
      <c r="D75" s="799">
        <v>3</v>
      </c>
      <c r="E75" s="799">
        <v>4</v>
      </c>
      <c r="F75" s="799">
        <v>5</v>
      </c>
      <c r="G75" s="799">
        <v>6</v>
      </c>
      <c r="H75" s="803">
        <v>7</v>
      </c>
      <c r="I75" s="274"/>
    </row>
    <row r="76" spans="1:9" ht="18" x14ac:dyDescent="0.35">
      <c r="A76" s="153" t="s">
        <v>1673</v>
      </c>
      <c r="B76" s="993">
        <f>ROUND((+B86*1.005),2)</f>
        <v>22.17</v>
      </c>
      <c r="C76" s="993">
        <f t="shared" ref="C76:H76" si="27">ROUND((+C86*1.005),2)</f>
        <v>23.04</v>
      </c>
      <c r="D76" s="993">
        <f t="shared" si="27"/>
        <v>23.97</v>
      </c>
      <c r="E76" s="993">
        <f t="shared" si="27"/>
        <v>24.93</v>
      </c>
      <c r="F76" s="993">
        <f t="shared" si="27"/>
        <v>25.93</v>
      </c>
      <c r="G76" s="993">
        <f t="shared" si="27"/>
        <v>26.97</v>
      </c>
      <c r="H76" s="557">
        <f t="shared" si="27"/>
        <v>28.04</v>
      </c>
      <c r="I76" s="274"/>
    </row>
    <row r="77" spans="1:9" ht="18" x14ac:dyDescent="0.35">
      <c r="A77" s="153" t="s">
        <v>1674</v>
      </c>
      <c r="B77" s="993">
        <f t="shared" ref="B77:H77" si="28">ROUND((+B87*1.005),2)</f>
        <v>24.02</v>
      </c>
      <c r="C77" s="993">
        <f t="shared" si="28"/>
        <v>24.98</v>
      </c>
      <c r="D77" s="993">
        <f t="shared" si="28"/>
        <v>25.98</v>
      </c>
      <c r="E77" s="993">
        <f t="shared" si="28"/>
        <v>27.02</v>
      </c>
      <c r="F77" s="993">
        <f t="shared" si="28"/>
        <v>28.1</v>
      </c>
      <c r="G77" s="993">
        <f t="shared" si="28"/>
        <v>29.23</v>
      </c>
      <c r="H77" s="557">
        <f t="shared" si="28"/>
        <v>30.4</v>
      </c>
      <c r="I77" s="274"/>
    </row>
    <row r="78" spans="1:9" ht="18" x14ac:dyDescent="0.35">
      <c r="A78" s="153" t="s">
        <v>1672</v>
      </c>
      <c r="B78" s="993"/>
      <c r="C78" s="993"/>
      <c r="D78" s="993"/>
      <c r="E78" s="801">
        <v>1</v>
      </c>
      <c r="F78" s="801">
        <v>2</v>
      </c>
      <c r="G78" s="801">
        <v>3</v>
      </c>
      <c r="H78" s="802">
        <v>4</v>
      </c>
      <c r="I78" s="274"/>
    </row>
    <row r="79" spans="1:9" ht="18" x14ac:dyDescent="0.35">
      <c r="A79" s="153" t="s">
        <v>1675</v>
      </c>
      <c r="B79" s="993"/>
      <c r="C79" s="993"/>
      <c r="D79" s="993"/>
      <c r="E79" s="993">
        <f t="shared" ref="E79:H80" si="29">ROUND((+E89*1.005),2)</f>
        <v>28.82</v>
      </c>
      <c r="F79" s="993">
        <f t="shared" si="29"/>
        <v>29.99</v>
      </c>
      <c r="G79" s="993">
        <f t="shared" si="29"/>
        <v>31.19</v>
      </c>
      <c r="H79" s="557">
        <f t="shared" si="29"/>
        <v>32.42</v>
      </c>
      <c r="I79" s="274"/>
    </row>
    <row r="80" spans="1:9" ht="18" x14ac:dyDescent="0.35">
      <c r="A80" s="68" t="s">
        <v>1676</v>
      </c>
      <c r="B80" s="994"/>
      <c r="C80" s="994"/>
      <c r="D80" s="994"/>
      <c r="E80" s="994">
        <f t="shared" si="29"/>
        <v>32.01</v>
      </c>
      <c r="F80" s="994">
        <f t="shared" si="29"/>
        <v>33.29</v>
      </c>
      <c r="G80" s="994">
        <f t="shared" si="29"/>
        <v>34.619999999999997</v>
      </c>
      <c r="H80" s="558">
        <f t="shared" si="29"/>
        <v>36.01</v>
      </c>
      <c r="I80" s="274"/>
    </row>
    <row r="81" spans="1:9" ht="18" x14ac:dyDescent="0.35">
      <c r="A81" s="55"/>
      <c r="B81" s="994"/>
      <c r="C81" s="994"/>
      <c r="D81" s="994"/>
      <c r="E81" s="994"/>
      <c r="F81" s="994"/>
      <c r="G81" s="994"/>
      <c r="H81" s="994"/>
      <c r="I81" s="274"/>
    </row>
    <row r="82" spans="1:9" ht="18" x14ac:dyDescent="0.35">
      <c r="A82" s="1357" t="s">
        <v>1689</v>
      </c>
      <c r="B82" s="1357"/>
      <c r="C82" s="1357"/>
      <c r="D82" s="1357"/>
      <c r="E82" s="1357"/>
      <c r="F82" s="1357"/>
      <c r="G82" s="1357"/>
      <c r="H82" s="1357"/>
      <c r="I82" s="274"/>
    </row>
    <row r="83" spans="1:9" ht="18" x14ac:dyDescent="0.35">
      <c r="A83" s="273" t="s">
        <v>1690</v>
      </c>
      <c r="B83" s="158"/>
      <c r="C83" s="158"/>
      <c r="D83" s="158"/>
      <c r="E83" s="158"/>
      <c r="F83" s="158"/>
      <c r="G83" s="158"/>
      <c r="H83" s="167"/>
      <c r="I83" s="274"/>
    </row>
    <row r="84" spans="1:9" ht="18" x14ac:dyDescent="0.35">
      <c r="A84" s="216" t="s">
        <v>762</v>
      </c>
      <c r="H84" s="213"/>
      <c r="I84" s="274"/>
    </row>
    <row r="85" spans="1:9" ht="18" x14ac:dyDescent="0.35">
      <c r="A85" s="153" t="s">
        <v>1672</v>
      </c>
      <c r="B85" s="799">
        <v>1</v>
      </c>
      <c r="C85" s="799">
        <v>2</v>
      </c>
      <c r="D85" s="799">
        <v>3</v>
      </c>
      <c r="E85" s="799">
        <v>4</v>
      </c>
      <c r="F85" s="799">
        <v>5</v>
      </c>
      <c r="G85" s="799">
        <v>6</v>
      </c>
      <c r="H85" s="803">
        <v>7</v>
      </c>
      <c r="I85" s="274"/>
    </row>
    <row r="86" spans="1:9" ht="18" x14ac:dyDescent="0.35">
      <c r="A86" s="153" t="s">
        <v>1673</v>
      </c>
      <c r="B86" s="993">
        <f>ROUND((+B96*1.015),2)</f>
        <v>22.06</v>
      </c>
      <c r="C86" s="993">
        <f t="shared" ref="C86:H86" si="30">ROUND((+C96*1.015),2)</f>
        <v>22.93</v>
      </c>
      <c r="D86" s="993">
        <f t="shared" si="30"/>
        <v>23.85</v>
      </c>
      <c r="E86" s="993">
        <f t="shared" si="30"/>
        <v>24.81</v>
      </c>
      <c r="F86" s="993">
        <f t="shared" si="30"/>
        <v>25.8</v>
      </c>
      <c r="G86" s="993">
        <f t="shared" si="30"/>
        <v>26.84</v>
      </c>
      <c r="H86" s="557">
        <f t="shared" si="30"/>
        <v>27.9</v>
      </c>
      <c r="I86" s="274"/>
    </row>
    <row r="87" spans="1:9" ht="18" x14ac:dyDescent="0.35">
      <c r="A87" s="153" t="s">
        <v>1674</v>
      </c>
      <c r="B87" s="993">
        <f>ROUND((+B97*1.015),2)</f>
        <v>23.9</v>
      </c>
      <c r="C87" s="993">
        <f t="shared" ref="C87:H87" si="31">ROUND((+C97*1.015),2)</f>
        <v>24.86</v>
      </c>
      <c r="D87" s="993">
        <f t="shared" si="31"/>
        <v>25.85</v>
      </c>
      <c r="E87" s="993">
        <f t="shared" si="31"/>
        <v>26.89</v>
      </c>
      <c r="F87" s="993">
        <f t="shared" si="31"/>
        <v>27.96</v>
      </c>
      <c r="G87" s="993">
        <f t="shared" si="31"/>
        <v>29.08</v>
      </c>
      <c r="H87" s="557">
        <f t="shared" si="31"/>
        <v>30.25</v>
      </c>
      <c r="I87" s="274"/>
    </row>
    <row r="88" spans="1:9" ht="18" x14ac:dyDescent="0.35">
      <c r="A88" s="153" t="s">
        <v>1672</v>
      </c>
      <c r="B88" s="993"/>
      <c r="C88" s="993"/>
      <c r="D88" s="993"/>
      <c r="E88" s="801">
        <v>1</v>
      </c>
      <c r="F88" s="801">
        <v>2</v>
      </c>
      <c r="G88" s="801">
        <v>3</v>
      </c>
      <c r="H88" s="802">
        <v>4</v>
      </c>
      <c r="I88" s="274"/>
    </row>
    <row r="89" spans="1:9" ht="18" x14ac:dyDescent="0.35">
      <c r="A89" s="153" t="s">
        <v>1675</v>
      </c>
      <c r="B89" s="993"/>
      <c r="C89" s="993"/>
      <c r="D89" s="993"/>
      <c r="E89" s="993">
        <f t="shared" ref="E89:H90" si="32">ROUND((+E99*1.015),2)</f>
        <v>28.68</v>
      </c>
      <c r="F89" s="993">
        <f t="shared" si="32"/>
        <v>29.84</v>
      </c>
      <c r="G89" s="993">
        <f t="shared" si="32"/>
        <v>31.03</v>
      </c>
      <c r="H89" s="557">
        <f t="shared" si="32"/>
        <v>32.26</v>
      </c>
      <c r="I89" s="274"/>
    </row>
    <row r="90" spans="1:9" ht="18" x14ac:dyDescent="0.35">
      <c r="A90" s="68" t="s">
        <v>1676</v>
      </c>
      <c r="B90" s="994"/>
      <c r="C90" s="994"/>
      <c r="D90" s="994"/>
      <c r="E90" s="994">
        <f t="shared" si="32"/>
        <v>31.85</v>
      </c>
      <c r="F90" s="994">
        <f t="shared" si="32"/>
        <v>33.119999999999997</v>
      </c>
      <c r="G90" s="994">
        <f t="shared" si="32"/>
        <v>34.450000000000003</v>
      </c>
      <c r="H90" s="558">
        <f t="shared" si="32"/>
        <v>35.83</v>
      </c>
      <c r="I90" s="274"/>
    </row>
    <row r="91" spans="1:9" ht="18" x14ac:dyDescent="0.35">
      <c r="A91" s="319"/>
      <c r="B91" s="319"/>
      <c r="C91" s="319"/>
      <c r="D91" s="319"/>
      <c r="E91" s="319"/>
      <c r="F91" s="319"/>
      <c r="G91" s="319"/>
      <c r="H91" s="319"/>
      <c r="I91" s="274"/>
    </row>
    <row r="92" spans="1:9" ht="18" x14ac:dyDescent="0.35">
      <c r="A92" s="1357" t="s">
        <v>1691</v>
      </c>
      <c r="B92" s="1357"/>
      <c r="C92" s="1357"/>
      <c r="D92" s="1357"/>
      <c r="E92" s="1357"/>
      <c r="F92" s="1357"/>
      <c r="G92" s="1357"/>
      <c r="H92" s="1357"/>
      <c r="I92" s="274"/>
    </row>
    <row r="93" spans="1:9" ht="18" x14ac:dyDescent="0.35">
      <c r="A93" s="273" t="s">
        <v>1692</v>
      </c>
      <c r="B93" s="158"/>
      <c r="C93" s="158"/>
      <c r="D93" s="158"/>
      <c r="E93" s="158"/>
      <c r="F93" s="158"/>
      <c r="G93" s="158"/>
      <c r="H93" s="167"/>
      <c r="I93" s="274"/>
    </row>
    <row r="94" spans="1:9" ht="18" x14ac:dyDescent="0.35">
      <c r="A94" s="216" t="s">
        <v>762</v>
      </c>
      <c r="H94" s="213"/>
      <c r="I94" s="274"/>
    </row>
    <row r="95" spans="1:9" ht="18" x14ac:dyDescent="0.35">
      <c r="A95" s="153" t="s">
        <v>1672</v>
      </c>
      <c r="B95" s="799">
        <v>1</v>
      </c>
      <c r="C95" s="799">
        <v>2</v>
      </c>
      <c r="D95" s="799">
        <v>3</v>
      </c>
      <c r="E95" s="799">
        <v>4</v>
      </c>
      <c r="F95" s="799">
        <v>5</v>
      </c>
      <c r="G95" s="799">
        <v>6</v>
      </c>
      <c r="H95" s="803">
        <v>7</v>
      </c>
      <c r="I95" s="274"/>
    </row>
    <row r="96" spans="1:9" ht="18" x14ac:dyDescent="0.35">
      <c r="A96" s="153" t="s">
        <v>1673</v>
      </c>
      <c r="B96" s="993">
        <f>ROUND((+B107*1.01),2)</f>
        <v>21.73</v>
      </c>
      <c r="C96" s="993">
        <f t="shared" ref="C96:H96" si="33">ROUND((+C107*1.01),2)</f>
        <v>22.59</v>
      </c>
      <c r="D96" s="993">
        <f t="shared" si="33"/>
        <v>23.5</v>
      </c>
      <c r="E96" s="993">
        <f t="shared" si="33"/>
        <v>24.44</v>
      </c>
      <c r="F96" s="993">
        <f t="shared" si="33"/>
        <v>25.42</v>
      </c>
      <c r="G96" s="993">
        <f t="shared" si="33"/>
        <v>26.44</v>
      </c>
      <c r="H96" s="557">
        <f t="shared" si="33"/>
        <v>27.49</v>
      </c>
      <c r="I96" s="274"/>
    </row>
    <row r="97" spans="1:9" ht="18" x14ac:dyDescent="0.35">
      <c r="A97" s="153" t="s">
        <v>1674</v>
      </c>
      <c r="B97" s="993">
        <f t="shared" ref="B97:H97" si="34">ROUND((+B108*1.01),2)</f>
        <v>23.55</v>
      </c>
      <c r="C97" s="993">
        <f t="shared" si="34"/>
        <v>24.49</v>
      </c>
      <c r="D97" s="993">
        <f t="shared" si="34"/>
        <v>25.47</v>
      </c>
      <c r="E97" s="993">
        <f t="shared" si="34"/>
        <v>26.49</v>
      </c>
      <c r="F97" s="993">
        <f t="shared" si="34"/>
        <v>27.55</v>
      </c>
      <c r="G97" s="993">
        <f t="shared" si="34"/>
        <v>28.65</v>
      </c>
      <c r="H97" s="557">
        <f t="shared" si="34"/>
        <v>29.8</v>
      </c>
      <c r="I97" s="274"/>
    </row>
    <row r="98" spans="1:9" ht="18" x14ac:dyDescent="0.35">
      <c r="A98" s="153" t="s">
        <v>1672</v>
      </c>
      <c r="B98" s="993"/>
      <c r="C98" s="993"/>
      <c r="D98" s="993"/>
      <c r="E98" s="801">
        <v>1</v>
      </c>
      <c r="F98" s="801">
        <v>2</v>
      </c>
      <c r="G98" s="801">
        <v>3</v>
      </c>
      <c r="H98" s="802">
        <v>4</v>
      </c>
      <c r="I98" s="274"/>
    </row>
    <row r="99" spans="1:9" ht="18" x14ac:dyDescent="0.35">
      <c r="A99" s="153" t="s">
        <v>1675</v>
      </c>
      <c r="B99" s="993"/>
      <c r="C99" s="993"/>
      <c r="D99" s="993"/>
      <c r="E99" s="993">
        <f t="shared" ref="E99:H100" si="35">ROUND((+E110*1.01),2)</f>
        <v>28.26</v>
      </c>
      <c r="F99" s="993">
        <f t="shared" si="35"/>
        <v>29.4</v>
      </c>
      <c r="G99" s="993">
        <f t="shared" si="35"/>
        <v>30.57</v>
      </c>
      <c r="H99" s="557">
        <f t="shared" si="35"/>
        <v>31.78</v>
      </c>
      <c r="I99" s="274"/>
    </row>
    <row r="100" spans="1:9" ht="18" x14ac:dyDescent="0.35">
      <c r="A100" s="68" t="s">
        <v>1676</v>
      </c>
      <c r="B100" s="994"/>
      <c r="C100" s="994"/>
      <c r="D100" s="994"/>
      <c r="E100" s="994">
        <f t="shared" si="35"/>
        <v>31.38</v>
      </c>
      <c r="F100" s="994">
        <f t="shared" si="35"/>
        <v>32.630000000000003</v>
      </c>
      <c r="G100" s="994">
        <f t="shared" si="35"/>
        <v>33.94</v>
      </c>
      <c r="H100" s="558">
        <f t="shared" si="35"/>
        <v>35.299999999999997</v>
      </c>
      <c r="I100" s="274"/>
    </row>
    <row r="101" spans="1:9" ht="18" x14ac:dyDescent="0.35">
      <c r="A101" s="274"/>
      <c r="B101" s="274"/>
      <c r="C101" s="274"/>
      <c r="D101" s="274"/>
      <c r="E101" s="274"/>
      <c r="F101" s="274"/>
      <c r="G101" s="274"/>
      <c r="H101" s="274"/>
      <c r="I101" s="274"/>
    </row>
    <row r="102" spans="1:9" ht="18" x14ac:dyDescent="0.35">
      <c r="A102" s="274"/>
      <c r="B102" s="274"/>
      <c r="C102" s="274"/>
      <c r="D102" s="274"/>
      <c r="E102" s="274"/>
      <c r="F102" s="274"/>
      <c r="G102" s="274"/>
      <c r="H102" s="274"/>
      <c r="I102" s="274"/>
    </row>
    <row r="103" spans="1:9" ht="15.6" x14ac:dyDescent="0.3">
      <c r="A103" s="1357" t="s">
        <v>1693</v>
      </c>
      <c r="B103" s="1357"/>
      <c r="C103" s="1357"/>
      <c r="D103" s="1357"/>
      <c r="E103" s="1357"/>
      <c r="F103" s="1357"/>
      <c r="G103" s="1357"/>
      <c r="H103" s="1357"/>
    </row>
    <row r="104" spans="1:9" x14ac:dyDescent="0.25">
      <c r="A104" s="273" t="s">
        <v>1694</v>
      </c>
      <c r="B104" s="158"/>
      <c r="C104" s="158"/>
      <c r="D104" s="158"/>
      <c r="E104" s="158"/>
      <c r="F104" s="158"/>
      <c r="G104" s="158"/>
      <c r="H104" s="167"/>
      <c r="I104" s="124"/>
    </row>
    <row r="105" spans="1:9" x14ac:dyDescent="0.25">
      <c r="A105" s="216" t="s">
        <v>762</v>
      </c>
      <c r="H105" s="213"/>
      <c r="I105" s="197"/>
    </row>
    <row r="106" spans="1:9" x14ac:dyDescent="0.25">
      <c r="A106" s="153" t="s">
        <v>1672</v>
      </c>
      <c r="B106" s="799">
        <v>1</v>
      </c>
      <c r="C106" s="799">
        <v>2</v>
      </c>
      <c r="D106" s="799">
        <v>3</v>
      </c>
      <c r="E106" s="799">
        <v>4</v>
      </c>
      <c r="F106" s="799">
        <v>5</v>
      </c>
      <c r="G106" s="799">
        <v>6</v>
      </c>
      <c r="H106" s="803">
        <v>7</v>
      </c>
      <c r="I106" s="197"/>
    </row>
    <row r="107" spans="1:9" ht="13.8" x14ac:dyDescent="0.25">
      <c r="A107" s="153" t="s">
        <v>1673</v>
      </c>
      <c r="B107" s="993">
        <f>ROUND((+B118*1.01),2)</f>
        <v>21.51</v>
      </c>
      <c r="C107" s="993">
        <f t="shared" ref="C107:H107" si="36">ROUND((+C118*1.01),2)</f>
        <v>22.37</v>
      </c>
      <c r="D107" s="993">
        <f t="shared" si="36"/>
        <v>23.27</v>
      </c>
      <c r="E107" s="993">
        <f t="shared" si="36"/>
        <v>24.2</v>
      </c>
      <c r="F107" s="993">
        <f t="shared" si="36"/>
        <v>25.17</v>
      </c>
      <c r="G107" s="993">
        <f t="shared" si="36"/>
        <v>26.18</v>
      </c>
      <c r="H107" s="557">
        <f t="shared" si="36"/>
        <v>27.22</v>
      </c>
      <c r="I107" s="197"/>
    </row>
    <row r="108" spans="1:9" ht="13.8" x14ac:dyDescent="0.25">
      <c r="A108" s="153" t="s">
        <v>1674</v>
      </c>
      <c r="B108" s="993">
        <f>ROUND((+B119*1.01),2)</f>
        <v>23.32</v>
      </c>
      <c r="C108" s="993">
        <f t="shared" ref="C108:H108" si="37">ROUND((+C119*1.01),2)</f>
        <v>24.25</v>
      </c>
      <c r="D108" s="993">
        <f t="shared" si="37"/>
        <v>25.22</v>
      </c>
      <c r="E108" s="993">
        <f t="shared" si="37"/>
        <v>26.23</v>
      </c>
      <c r="F108" s="993">
        <f t="shared" si="37"/>
        <v>27.28</v>
      </c>
      <c r="G108" s="993">
        <f t="shared" si="37"/>
        <v>28.37</v>
      </c>
      <c r="H108" s="557">
        <f t="shared" si="37"/>
        <v>29.5</v>
      </c>
      <c r="I108" s="197"/>
    </row>
    <row r="109" spans="1:9" ht="13.8" x14ac:dyDescent="0.25">
      <c r="A109" s="153" t="s">
        <v>1672</v>
      </c>
      <c r="B109" s="993"/>
      <c r="C109" s="993"/>
      <c r="D109" s="993"/>
      <c r="E109" s="801">
        <v>1</v>
      </c>
      <c r="F109" s="801">
        <v>2</v>
      </c>
      <c r="G109" s="801">
        <v>3</v>
      </c>
      <c r="H109" s="802">
        <v>4</v>
      </c>
      <c r="I109" s="197"/>
    </row>
    <row r="110" spans="1:9" ht="13.8" x14ac:dyDescent="0.25">
      <c r="A110" s="153" t="s">
        <v>1675</v>
      </c>
      <c r="B110" s="993"/>
      <c r="C110" s="993"/>
      <c r="D110" s="993"/>
      <c r="E110" s="993">
        <f t="shared" ref="E110:H111" si="38">ROUND((+E121*1.01),2)</f>
        <v>27.98</v>
      </c>
      <c r="F110" s="993">
        <f t="shared" si="38"/>
        <v>29.11</v>
      </c>
      <c r="G110" s="993">
        <f t="shared" si="38"/>
        <v>30.27</v>
      </c>
      <c r="H110" s="557">
        <f t="shared" si="38"/>
        <v>31.47</v>
      </c>
      <c r="I110" s="197"/>
    </row>
    <row r="111" spans="1:9" ht="13.8" x14ac:dyDescent="0.25">
      <c r="A111" s="68" t="s">
        <v>1676</v>
      </c>
      <c r="B111" s="994"/>
      <c r="C111" s="994"/>
      <c r="D111" s="994"/>
      <c r="E111" s="994">
        <f t="shared" si="38"/>
        <v>31.07</v>
      </c>
      <c r="F111" s="994">
        <f t="shared" si="38"/>
        <v>32.31</v>
      </c>
      <c r="G111" s="994">
        <f t="shared" si="38"/>
        <v>33.6</v>
      </c>
      <c r="H111" s="558">
        <f t="shared" si="38"/>
        <v>34.950000000000003</v>
      </c>
      <c r="I111" s="197"/>
    </row>
    <row r="113" spans="1:9" ht="18" x14ac:dyDescent="0.35">
      <c r="A113" s="1350" t="s">
        <v>1669</v>
      </c>
      <c r="B113" s="1350"/>
      <c r="C113" s="1350"/>
      <c r="D113" s="1350"/>
      <c r="E113" s="1350"/>
      <c r="F113" s="1350"/>
      <c r="G113" s="1350"/>
      <c r="H113" s="1350"/>
      <c r="I113" s="1350"/>
    </row>
    <row r="114" spans="1:9" ht="15.6" x14ac:dyDescent="0.3">
      <c r="A114" s="1357" t="s">
        <v>1695</v>
      </c>
      <c r="B114" s="1357"/>
      <c r="C114" s="1357"/>
      <c r="D114" s="1357"/>
      <c r="E114" s="1357"/>
      <c r="F114" s="1357"/>
      <c r="G114" s="1357"/>
      <c r="H114" s="1357"/>
    </row>
    <row r="115" spans="1:9" x14ac:dyDescent="0.25">
      <c r="A115" s="273" t="s">
        <v>1696</v>
      </c>
      <c r="B115" s="158"/>
      <c r="C115" s="158"/>
      <c r="D115" s="158"/>
      <c r="E115" s="158"/>
      <c r="F115" s="158"/>
      <c r="G115" s="158"/>
      <c r="H115" s="167"/>
      <c r="I115" s="124"/>
    </row>
    <row r="116" spans="1:9" x14ac:dyDescent="0.25">
      <c r="A116" s="216" t="s">
        <v>762</v>
      </c>
      <c r="H116" s="213"/>
      <c r="I116" s="197"/>
    </row>
    <row r="117" spans="1:9" x14ac:dyDescent="0.25">
      <c r="A117" s="153" t="s">
        <v>1672</v>
      </c>
      <c r="B117" s="799">
        <v>1</v>
      </c>
      <c r="C117" s="799">
        <v>2</v>
      </c>
      <c r="D117" s="799">
        <v>3</v>
      </c>
      <c r="E117" s="799">
        <v>4</v>
      </c>
      <c r="F117" s="799">
        <v>5</v>
      </c>
      <c r="G117" s="799">
        <v>6</v>
      </c>
      <c r="H117" s="803">
        <v>7</v>
      </c>
      <c r="I117" s="197"/>
    </row>
    <row r="118" spans="1:9" ht="13.8" x14ac:dyDescent="0.25">
      <c r="A118" s="153" t="s">
        <v>1673</v>
      </c>
      <c r="B118" s="993">
        <f t="shared" ref="B118:H119" si="39">ROUND((+B128*1.01),2)</f>
        <v>21.3</v>
      </c>
      <c r="C118" s="993">
        <f t="shared" si="39"/>
        <v>22.15</v>
      </c>
      <c r="D118" s="993">
        <f t="shared" si="39"/>
        <v>23.04</v>
      </c>
      <c r="E118" s="993">
        <f t="shared" si="39"/>
        <v>23.96</v>
      </c>
      <c r="F118" s="993">
        <f t="shared" si="39"/>
        <v>24.92</v>
      </c>
      <c r="G118" s="993">
        <f t="shared" si="39"/>
        <v>25.92</v>
      </c>
      <c r="H118" s="557">
        <f t="shared" si="39"/>
        <v>26.95</v>
      </c>
      <c r="I118" s="197"/>
    </row>
    <row r="119" spans="1:9" ht="13.8" x14ac:dyDescent="0.25">
      <c r="A119" s="153" t="s">
        <v>1674</v>
      </c>
      <c r="B119" s="993">
        <f t="shared" si="39"/>
        <v>23.09</v>
      </c>
      <c r="C119" s="993">
        <f t="shared" si="39"/>
        <v>24.01</v>
      </c>
      <c r="D119" s="993">
        <f t="shared" si="39"/>
        <v>24.97</v>
      </c>
      <c r="E119" s="993">
        <f t="shared" si="39"/>
        <v>25.97</v>
      </c>
      <c r="F119" s="993">
        <f t="shared" si="39"/>
        <v>27.01</v>
      </c>
      <c r="G119" s="993">
        <f t="shared" si="39"/>
        <v>28.09</v>
      </c>
      <c r="H119" s="557">
        <f t="shared" si="39"/>
        <v>29.21</v>
      </c>
      <c r="I119" s="197"/>
    </row>
    <row r="120" spans="1:9" ht="13.8" x14ac:dyDescent="0.25">
      <c r="A120" s="153" t="s">
        <v>1672</v>
      </c>
      <c r="B120" s="993"/>
      <c r="C120" s="993"/>
      <c r="D120" s="993"/>
      <c r="E120" s="214">
        <v>1</v>
      </c>
      <c r="F120" s="214">
        <v>2</v>
      </c>
      <c r="G120" s="214">
        <v>3</v>
      </c>
      <c r="H120" s="215">
        <v>4</v>
      </c>
      <c r="I120" s="197"/>
    </row>
    <row r="121" spans="1:9" ht="13.8" x14ac:dyDescent="0.25">
      <c r="A121" s="153" t="s">
        <v>1675</v>
      </c>
      <c r="B121" s="993"/>
      <c r="C121" s="993"/>
      <c r="D121" s="993"/>
      <c r="E121" s="993">
        <f t="shared" ref="E121:H122" si="40">ROUND((+E131*1.01),2)</f>
        <v>27.7</v>
      </c>
      <c r="F121" s="993">
        <f t="shared" si="40"/>
        <v>28.82</v>
      </c>
      <c r="G121" s="993">
        <f t="shared" si="40"/>
        <v>29.97</v>
      </c>
      <c r="H121" s="557">
        <f t="shared" si="40"/>
        <v>31.16</v>
      </c>
      <c r="I121" s="197"/>
    </row>
    <row r="122" spans="1:9" ht="13.8" x14ac:dyDescent="0.25">
      <c r="A122" s="68" t="s">
        <v>1676</v>
      </c>
      <c r="B122" s="994"/>
      <c r="C122" s="994"/>
      <c r="D122" s="994"/>
      <c r="E122" s="994">
        <f t="shared" si="40"/>
        <v>30.76</v>
      </c>
      <c r="F122" s="994">
        <f t="shared" si="40"/>
        <v>31.99</v>
      </c>
      <c r="G122" s="994">
        <f t="shared" si="40"/>
        <v>33.270000000000003</v>
      </c>
      <c r="H122" s="558">
        <f t="shared" si="40"/>
        <v>34.6</v>
      </c>
      <c r="I122" s="197"/>
    </row>
    <row r="123" spans="1:9" x14ac:dyDescent="0.25">
      <c r="A123" s="123"/>
      <c r="B123" s="197"/>
      <c r="C123" s="197"/>
      <c r="D123" s="197"/>
      <c r="E123" s="197"/>
      <c r="F123" s="197"/>
      <c r="G123" s="197"/>
      <c r="H123" s="197"/>
      <c r="I123" s="197"/>
    </row>
    <row r="125" spans="1:9" x14ac:dyDescent="0.25">
      <c r="A125" s="202" t="s">
        <v>1697</v>
      </c>
    </row>
    <row r="126" spans="1:9" x14ac:dyDescent="0.25">
      <c r="A126" s="217" t="s">
        <v>762</v>
      </c>
      <c r="B126" s="158"/>
      <c r="C126" s="158"/>
      <c r="D126" s="158"/>
      <c r="E126" s="158"/>
      <c r="F126" s="158"/>
      <c r="G126" s="158"/>
      <c r="H126" s="167"/>
    </row>
    <row r="127" spans="1:9" x14ac:dyDescent="0.25">
      <c r="A127" s="153" t="s">
        <v>1672</v>
      </c>
      <c r="B127" s="799">
        <v>1</v>
      </c>
      <c r="C127" s="799">
        <v>2</v>
      </c>
      <c r="D127" s="799">
        <v>3</v>
      </c>
      <c r="E127" s="799">
        <v>4</v>
      </c>
      <c r="F127" s="799">
        <v>5</v>
      </c>
      <c r="G127" s="799">
        <v>6</v>
      </c>
      <c r="H127" s="803">
        <v>7</v>
      </c>
    </row>
    <row r="128" spans="1:9" ht="13.8" x14ac:dyDescent="0.25">
      <c r="A128" s="153" t="s">
        <v>1673</v>
      </c>
      <c r="B128" s="993">
        <v>21.09</v>
      </c>
      <c r="C128" s="993">
        <v>21.93</v>
      </c>
      <c r="D128" s="993">
        <v>22.81</v>
      </c>
      <c r="E128" s="993">
        <v>23.72</v>
      </c>
      <c r="F128" s="993">
        <v>24.67</v>
      </c>
      <c r="G128" s="993">
        <v>25.66</v>
      </c>
      <c r="H128" s="557">
        <v>26.68</v>
      </c>
    </row>
    <row r="129" spans="1:8" ht="13.8" x14ac:dyDescent="0.25">
      <c r="A129" s="153" t="s">
        <v>1674</v>
      </c>
      <c r="B129" s="993">
        <v>22.86</v>
      </c>
      <c r="C129" s="993">
        <v>23.77</v>
      </c>
      <c r="D129" s="993">
        <v>24.72</v>
      </c>
      <c r="E129" s="993">
        <v>25.71</v>
      </c>
      <c r="F129" s="993">
        <v>26.74</v>
      </c>
      <c r="G129" s="993">
        <v>27.81</v>
      </c>
      <c r="H129" s="557">
        <v>28.92</v>
      </c>
    </row>
    <row r="130" spans="1:8" ht="13.8" x14ac:dyDescent="0.25">
      <c r="A130" s="153" t="s">
        <v>1672</v>
      </c>
      <c r="B130" s="993"/>
      <c r="C130" s="993"/>
      <c r="D130" s="993"/>
      <c r="E130" s="801">
        <v>1</v>
      </c>
      <c r="F130" s="801">
        <v>2</v>
      </c>
      <c r="G130" s="801">
        <v>3</v>
      </c>
      <c r="H130" s="802">
        <v>4</v>
      </c>
    </row>
    <row r="131" spans="1:8" ht="13.8" x14ac:dyDescent="0.25">
      <c r="A131" s="153" t="s">
        <v>1675</v>
      </c>
      <c r="B131" s="993"/>
      <c r="C131" s="993"/>
      <c r="D131" s="993"/>
      <c r="E131" s="993">
        <v>27.43</v>
      </c>
      <c r="F131" s="993">
        <v>28.53</v>
      </c>
      <c r="G131" s="993">
        <v>29.67</v>
      </c>
      <c r="H131" s="557">
        <v>30.85</v>
      </c>
    </row>
    <row r="132" spans="1:8" ht="13.8" x14ac:dyDescent="0.25">
      <c r="A132" s="68" t="s">
        <v>1676</v>
      </c>
      <c r="B132" s="994"/>
      <c r="C132" s="994"/>
      <c r="D132" s="994"/>
      <c r="E132" s="994">
        <v>30.46</v>
      </c>
      <c r="F132" s="994">
        <v>31.67</v>
      </c>
      <c r="G132" s="994">
        <v>32.94</v>
      </c>
      <c r="H132" s="558">
        <v>34.26</v>
      </c>
    </row>
    <row r="135" spans="1:8" x14ac:dyDescent="0.25">
      <c r="A135" s="202" t="s">
        <v>1694</v>
      </c>
    </row>
    <row r="136" spans="1:8" x14ac:dyDescent="0.25">
      <c r="A136" s="216" t="s">
        <v>762</v>
      </c>
      <c r="H136" s="213"/>
    </row>
    <row r="137" spans="1:8" x14ac:dyDescent="0.25">
      <c r="A137" s="153" t="s">
        <v>1672</v>
      </c>
      <c r="B137" s="799">
        <v>1</v>
      </c>
      <c r="C137" s="799">
        <v>2</v>
      </c>
      <c r="D137" s="799">
        <v>3</v>
      </c>
      <c r="E137" s="799">
        <v>4</v>
      </c>
      <c r="F137" s="799">
        <v>5</v>
      </c>
      <c r="G137" s="799">
        <v>6</v>
      </c>
      <c r="H137" s="803">
        <v>7</v>
      </c>
    </row>
    <row r="138" spans="1:8" ht="13.8" x14ac:dyDescent="0.25">
      <c r="A138" s="153" t="s">
        <v>1673</v>
      </c>
      <c r="B138" s="993">
        <f>ROUND((+B118*1.01),2)</f>
        <v>21.51</v>
      </c>
      <c r="C138" s="993">
        <f t="shared" ref="C138:H138" si="41">ROUND((+C118*1.01),2)</f>
        <v>22.37</v>
      </c>
      <c r="D138" s="993">
        <f t="shared" si="41"/>
        <v>23.27</v>
      </c>
      <c r="E138" s="993">
        <f t="shared" si="41"/>
        <v>24.2</v>
      </c>
      <c r="F138" s="993">
        <f t="shared" si="41"/>
        <v>25.17</v>
      </c>
      <c r="G138" s="993">
        <f t="shared" si="41"/>
        <v>26.18</v>
      </c>
      <c r="H138" s="557">
        <f t="shared" si="41"/>
        <v>27.22</v>
      </c>
    </row>
    <row r="139" spans="1:8" ht="13.8" x14ac:dyDescent="0.25">
      <c r="A139" s="153" t="s">
        <v>1674</v>
      </c>
      <c r="B139" s="993">
        <f>ROUND((+B119*1.01),2)</f>
        <v>23.32</v>
      </c>
      <c r="C139" s="993">
        <f t="shared" ref="C139:H139" si="42">ROUND((+C119*1.01),2)</f>
        <v>24.25</v>
      </c>
      <c r="D139" s="993">
        <f t="shared" si="42"/>
        <v>25.22</v>
      </c>
      <c r="E139" s="993">
        <f t="shared" si="42"/>
        <v>26.23</v>
      </c>
      <c r="F139" s="993">
        <f t="shared" si="42"/>
        <v>27.28</v>
      </c>
      <c r="G139" s="993">
        <f t="shared" si="42"/>
        <v>28.37</v>
      </c>
      <c r="H139" s="557">
        <f t="shared" si="42"/>
        <v>29.5</v>
      </c>
    </row>
    <row r="140" spans="1:8" ht="13.8" x14ac:dyDescent="0.25">
      <c r="A140" s="153" t="s">
        <v>1672</v>
      </c>
      <c r="B140" s="993"/>
      <c r="C140" s="993"/>
      <c r="D140" s="993"/>
      <c r="E140" s="801">
        <v>1</v>
      </c>
      <c r="F140" s="801">
        <v>2</v>
      </c>
      <c r="G140" s="801">
        <v>3</v>
      </c>
      <c r="H140" s="802">
        <v>4</v>
      </c>
    </row>
    <row r="141" spans="1:8" ht="13.8" x14ac:dyDescent="0.25">
      <c r="A141" s="153" t="s">
        <v>1675</v>
      </c>
      <c r="B141" s="993"/>
      <c r="C141" s="993"/>
      <c r="D141" s="993"/>
      <c r="E141" s="993">
        <f t="shared" ref="E141:H142" si="43">ROUND((+E121*1.01),2)</f>
        <v>27.98</v>
      </c>
      <c r="F141" s="993">
        <f t="shared" si="43"/>
        <v>29.11</v>
      </c>
      <c r="G141" s="993">
        <f t="shared" si="43"/>
        <v>30.27</v>
      </c>
      <c r="H141" s="557">
        <f t="shared" si="43"/>
        <v>31.47</v>
      </c>
    </row>
    <row r="142" spans="1:8" ht="13.8" x14ac:dyDescent="0.25">
      <c r="A142" s="68" t="s">
        <v>1676</v>
      </c>
      <c r="B142" s="994"/>
      <c r="C142" s="994"/>
      <c r="D142" s="994"/>
      <c r="E142" s="994">
        <f t="shared" si="43"/>
        <v>31.07</v>
      </c>
      <c r="F142" s="994">
        <f t="shared" si="43"/>
        <v>32.31</v>
      </c>
      <c r="G142" s="994">
        <f t="shared" si="43"/>
        <v>33.6</v>
      </c>
      <c r="H142" s="558">
        <f t="shared" si="43"/>
        <v>34.950000000000003</v>
      </c>
    </row>
  </sheetData>
  <mergeCells count="14">
    <mergeCell ref="A113:I113"/>
    <mergeCell ref="A114:H114"/>
    <mergeCell ref="A1:I1"/>
    <mergeCell ref="A103:H103"/>
    <mergeCell ref="A82:H82"/>
    <mergeCell ref="A92:H92"/>
    <mergeCell ref="A52:H52"/>
    <mergeCell ref="A72:H72"/>
    <mergeCell ref="A62:H62"/>
    <mergeCell ref="A12:H12"/>
    <mergeCell ref="A42:H42"/>
    <mergeCell ref="A32:H32"/>
    <mergeCell ref="A22:H22"/>
    <mergeCell ref="A2:H2"/>
  </mergeCells>
  <phoneticPr fontId="15" type="noConversion"/>
  <hyperlinks>
    <hyperlink ref="I12" location="'Table of Contents'!A1" display="TOC" xr:uid="{00000000-0004-0000-4000-000000000000}"/>
    <hyperlink ref="I32" location="'Table of Contents'!A1" display="TOC" xr:uid="{00000000-0004-0000-4000-000001000000}"/>
    <hyperlink ref="I22" location="'Table of Contents'!A1" display="TOC" xr:uid="{58EE45A2-5DF5-4126-AB9F-FD7864093412}"/>
    <hyperlink ref="I2" location="'Table of Contents'!A1" display="TOC" xr:uid="{7A8BF40F-D3D2-4F2E-BA5F-6507059872CF}"/>
  </hyperlinks>
  <pageMargins left="0.75" right="0.75" top="1" bottom="1" header="0.5" footer="0.5"/>
  <pageSetup orientation="portrait" r:id="rId1"/>
  <headerFooter alignWithMargins="0">
    <oddFooter>&amp;L&amp;D &amp;T&amp;C&amp;F&amp;R&amp;A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pageSetUpPr fitToPage="1"/>
  </sheetPr>
  <dimension ref="A1:O247"/>
  <sheetViews>
    <sheetView workbookViewId="0">
      <selection activeCell="C17" sqref="C17:L17"/>
    </sheetView>
  </sheetViews>
  <sheetFormatPr defaultRowHeight="13.2" x14ac:dyDescent="0.25"/>
  <cols>
    <col min="1" max="1" width="10.109375" style="124" customWidth="1"/>
    <col min="2" max="2" width="9.44140625" customWidth="1"/>
    <col min="3" max="3" width="9.6640625" customWidth="1"/>
    <col min="4" max="11" width="9.44140625" bestFit="1" customWidth="1"/>
    <col min="12" max="12" width="8.6640625" customWidth="1"/>
    <col min="13" max="13" width="12.77734375" customWidth="1"/>
  </cols>
  <sheetData>
    <row r="1" spans="1:13" x14ac:dyDescent="0.25">
      <c r="A1" s="806" t="s">
        <v>2081</v>
      </c>
      <c r="B1" s="317"/>
      <c r="C1" s="317"/>
      <c r="D1" s="317"/>
      <c r="E1" s="837">
        <v>2.5000000000000001E-2</v>
      </c>
      <c r="G1" s="290" t="s">
        <v>194</v>
      </c>
    </row>
    <row r="2" spans="1:13" x14ac:dyDescent="0.25">
      <c r="B2" s="202" t="s">
        <v>1672</v>
      </c>
    </row>
    <row r="3" spans="1:13" x14ac:dyDescent="0.25">
      <c r="A3" s="270" t="s">
        <v>1699</v>
      </c>
      <c r="B3" s="1073">
        <v>1</v>
      </c>
      <c r="C3" s="757">
        <v>1</v>
      </c>
      <c r="D3" s="757">
        <v>2</v>
      </c>
      <c r="E3" s="757">
        <v>3</v>
      </c>
      <c r="F3" s="757">
        <v>4</v>
      </c>
      <c r="G3" s="757">
        <v>5</v>
      </c>
      <c r="H3" s="757">
        <v>6</v>
      </c>
      <c r="I3" s="757">
        <v>7</v>
      </c>
      <c r="J3" s="757">
        <v>8</v>
      </c>
      <c r="K3" s="757">
        <v>9</v>
      </c>
      <c r="L3" s="757">
        <v>10</v>
      </c>
    </row>
    <row r="4" spans="1:13" x14ac:dyDescent="0.25">
      <c r="A4" s="270" t="s">
        <v>1599</v>
      </c>
      <c r="B4" s="1074"/>
      <c r="C4" s="218">
        <f>ROUND((+C26*(1+$E$23)),2)</f>
        <v>16.760000000000002</v>
      </c>
      <c r="D4" s="218">
        <f t="shared" ref="D4:L4" si="0">ROUND((+D26*(1+$E$23)),2)</f>
        <v>17.170000000000002</v>
      </c>
      <c r="E4" s="218">
        <f t="shared" si="0"/>
        <v>17.63</v>
      </c>
      <c r="F4" s="218">
        <f t="shared" si="0"/>
        <v>18.03</v>
      </c>
      <c r="G4" s="218">
        <f t="shared" si="0"/>
        <v>18.489999999999998</v>
      </c>
      <c r="H4" s="218">
        <f t="shared" si="0"/>
        <v>18.91</v>
      </c>
      <c r="I4" s="218">
        <f t="shared" si="0"/>
        <v>19.329999999999998</v>
      </c>
      <c r="J4" s="218">
        <f t="shared" si="0"/>
        <v>19.73</v>
      </c>
      <c r="K4" s="218">
        <f t="shared" si="0"/>
        <v>20.12</v>
      </c>
      <c r="L4" s="218">
        <f t="shared" si="0"/>
        <v>20.62</v>
      </c>
    </row>
    <row r="5" spans="1:13" x14ac:dyDescent="0.25">
      <c r="A5" s="270" t="s">
        <v>1603</v>
      </c>
      <c r="B5" s="1074"/>
      <c r="C5" s="218">
        <f t="shared" ref="C5:L5" si="1">ROUND((+C27*(1+$E$23)),2)</f>
        <v>19.760000000000002</v>
      </c>
      <c r="D5" s="218">
        <f t="shared" si="1"/>
        <v>20.239999999999998</v>
      </c>
      <c r="E5" s="218">
        <f t="shared" si="1"/>
        <v>20.75</v>
      </c>
      <c r="F5" s="218">
        <f t="shared" si="1"/>
        <v>21.28</v>
      </c>
      <c r="G5" s="218">
        <f t="shared" si="1"/>
        <v>21.8</v>
      </c>
      <c r="H5" s="218">
        <f t="shared" si="1"/>
        <v>22.37</v>
      </c>
      <c r="I5" s="218">
        <f t="shared" si="1"/>
        <v>22.79</v>
      </c>
      <c r="J5" s="218">
        <f t="shared" si="1"/>
        <v>23.27</v>
      </c>
      <c r="K5" s="218">
        <f t="shared" si="1"/>
        <v>23.72</v>
      </c>
      <c r="L5" s="218">
        <f t="shared" si="1"/>
        <v>24.31</v>
      </c>
    </row>
    <row r="6" spans="1:13" x14ac:dyDescent="0.25">
      <c r="A6" s="270" t="s">
        <v>1609</v>
      </c>
      <c r="B6" s="1074"/>
      <c r="C6" s="218">
        <f t="shared" ref="C6:L6" si="2">ROUND((+C28*(1+$E$23)),2)</f>
        <v>21.27</v>
      </c>
      <c r="D6" s="218">
        <f t="shared" si="2"/>
        <v>21.78</v>
      </c>
      <c r="E6" s="218">
        <f t="shared" si="2"/>
        <v>22.35</v>
      </c>
      <c r="F6" s="218">
        <f t="shared" si="2"/>
        <v>22.87</v>
      </c>
      <c r="G6" s="218">
        <f t="shared" si="2"/>
        <v>23.48</v>
      </c>
      <c r="H6" s="218">
        <f t="shared" si="2"/>
        <v>24.04</v>
      </c>
      <c r="I6" s="218">
        <f t="shared" si="2"/>
        <v>24.54</v>
      </c>
      <c r="J6" s="218">
        <f t="shared" si="2"/>
        <v>25.02</v>
      </c>
      <c r="K6" s="218">
        <f t="shared" si="2"/>
        <v>25.52</v>
      </c>
      <c r="L6" s="218">
        <f t="shared" si="2"/>
        <v>26.16</v>
      </c>
    </row>
    <row r="7" spans="1:13" x14ac:dyDescent="0.25">
      <c r="A7" s="270" t="s">
        <v>1612</v>
      </c>
      <c r="B7" s="1074"/>
      <c r="C7" s="218">
        <f t="shared" ref="C7:L7" si="3">ROUND((+C29*(1+$E$23)),2)</f>
        <v>23.17</v>
      </c>
      <c r="D7" s="218">
        <f t="shared" si="3"/>
        <v>23.75</v>
      </c>
      <c r="E7" s="218">
        <f t="shared" si="3"/>
        <v>24.33</v>
      </c>
      <c r="F7" s="218">
        <f t="shared" si="3"/>
        <v>24.94</v>
      </c>
      <c r="G7" s="218">
        <f t="shared" si="3"/>
        <v>25.58</v>
      </c>
      <c r="H7" s="218">
        <f t="shared" si="3"/>
        <v>26.22</v>
      </c>
      <c r="I7" s="218">
        <f t="shared" si="3"/>
        <v>26.74</v>
      </c>
      <c r="J7" s="218">
        <f t="shared" si="3"/>
        <v>27.29</v>
      </c>
      <c r="K7" s="218">
        <f t="shared" si="3"/>
        <v>27.81</v>
      </c>
      <c r="L7" s="218">
        <f t="shared" si="3"/>
        <v>28.51</v>
      </c>
    </row>
    <row r="8" spans="1:13" x14ac:dyDescent="0.25">
      <c r="A8" s="270" t="s">
        <v>1700</v>
      </c>
      <c r="B8" s="1074"/>
      <c r="C8" s="218">
        <f t="shared" ref="C8:L8" si="4">ROUND((+C30*(1+$E$23)),2)</f>
        <v>25.01</v>
      </c>
      <c r="D8" s="218">
        <f t="shared" si="4"/>
        <v>25.65</v>
      </c>
      <c r="E8" s="218">
        <f t="shared" si="4"/>
        <v>26.28</v>
      </c>
      <c r="F8" s="218">
        <f t="shared" si="4"/>
        <v>26.94</v>
      </c>
      <c r="G8" s="218">
        <f t="shared" si="4"/>
        <v>27.61</v>
      </c>
      <c r="H8" s="218">
        <f t="shared" si="4"/>
        <v>28.29</v>
      </c>
      <c r="I8" s="218">
        <f t="shared" si="4"/>
        <v>28.86</v>
      </c>
      <c r="J8" s="218">
        <f t="shared" si="4"/>
        <v>29.45</v>
      </c>
      <c r="K8" s="218">
        <f t="shared" si="4"/>
        <v>30.02</v>
      </c>
      <c r="L8" s="218">
        <f t="shared" si="4"/>
        <v>30.77</v>
      </c>
    </row>
    <row r="9" spans="1:13" x14ac:dyDescent="0.25">
      <c r="A9" s="270" t="s">
        <v>1701</v>
      </c>
      <c r="B9" s="530"/>
      <c r="C9" s="561">
        <f>ROUND((+C31*(1+$E$23)),0)</f>
        <v>63314</v>
      </c>
      <c r="D9" s="561">
        <f t="shared" ref="D9:L9" si="5">ROUND((+D31*(1+$E$23)),0)</f>
        <v>64894</v>
      </c>
      <c r="E9" s="561">
        <f t="shared" si="5"/>
        <v>66517</v>
      </c>
      <c r="F9" s="561">
        <f t="shared" si="5"/>
        <v>68180</v>
      </c>
      <c r="G9" s="561">
        <f t="shared" si="5"/>
        <v>69886</v>
      </c>
      <c r="H9" s="561">
        <f t="shared" si="5"/>
        <v>71282</v>
      </c>
      <c r="I9" s="561">
        <f t="shared" si="5"/>
        <v>72709</v>
      </c>
      <c r="J9" s="561">
        <f t="shared" si="5"/>
        <v>74163</v>
      </c>
      <c r="K9" s="561">
        <f t="shared" si="5"/>
        <v>75645</v>
      </c>
      <c r="L9" s="561">
        <f t="shared" si="5"/>
        <v>77536</v>
      </c>
    </row>
    <row r="10" spans="1:13" x14ac:dyDescent="0.25">
      <c r="A10" s="270" t="s">
        <v>1702</v>
      </c>
      <c r="B10" s="530"/>
      <c r="C10" s="561">
        <f>ROUND((+C32*(1+$E$23)),0)</f>
        <v>67277</v>
      </c>
      <c r="D10" s="561">
        <f t="shared" ref="D10:L10" si="6">ROUND((+D32*(1+$E$23)),0)</f>
        <v>68960</v>
      </c>
      <c r="E10" s="561">
        <f t="shared" si="6"/>
        <v>70683</v>
      </c>
      <c r="F10" s="561">
        <f t="shared" si="6"/>
        <v>72448</v>
      </c>
      <c r="G10" s="561">
        <f t="shared" si="6"/>
        <v>74261</v>
      </c>
      <c r="H10" s="561">
        <f t="shared" si="6"/>
        <v>75746</v>
      </c>
      <c r="I10" s="561">
        <f t="shared" si="6"/>
        <v>77260</v>
      </c>
      <c r="J10" s="561">
        <f t="shared" si="6"/>
        <v>78806</v>
      </c>
      <c r="K10" s="561">
        <f t="shared" si="6"/>
        <v>80384</v>
      </c>
      <c r="L10" s="561">
        <f t="shared" si="6"/>
        <v>82394</v>
      </c>
    </row>
    <row r="11" spans="1:13" x14ac:dyDescent="0.25">
      <c r="A11" s="270" t="s">
        <v>1703</v>
      </c>
      <c r="B11" s="530"/>
      <c r="C11" s="530"/>
      <c r="D11" s="530"/>
      <c r="E11" s="530"/>
      <c r="F11" s="530"/>
      <c r="G11" s="531">
        <f>+ROUND((((+G10*1.085)/52.2)/37.69),2)</f>
        <v>40.950000000000003</v>
      </c>
      <c r="H11" s="531">
        <f t="shared" ref="H11:L11" si="7">+ROUND((((+H10*1.085)/52.2)/37.69),2)</f>
        <v>41.77</v>
      </c>
      <c r="I11" s="531">
        <f t="shared" si="7"/>
        <v>42.61</v>
      </c>
      <c r="J11" s="531">
        <f t="shared" si="7"/>
        <v>43.46</v>
      </c>
      <c r="K11" s="531">
        <f t="shared" si="7"/>
        <v>44.33</v>
      </c>
      <c r="L11" s="531">
        <f t="shared" si="7"/>
        <v>45.44</v>
      </c>
      <c r="M11" s="202" t="s">
        <v>2082</v>
      </c>
    </row>
    <row r="12" spans="1:13" x14ac:dyDescent="0.25">
      <c r="A12" s="270" t="s">
        <v>1704</v>
      </c>
      <c r="B12" s="530"/>
      <c r="C12" s="561">
        <f t="shared" ref="C12:L12" si="8">ROUND((+C34*(1+$E$23)),0)</f>
        <v>85514</v>
      </c>
      <c r="D12" s="561">
        <f t="shared" si="8"/>
        <v>87650</v>
      </c>
      <c r="E12" s="561">
        <f t="shared" si="8"/>
        <v>89844</v>
      </c>
      <c r="F12" s="561">
        <f t="shared" si="8"/>
        <v>92089</v>
      </c>
      <c r="G12" s="561">
        <f t="shared" si="8"/>
        <v>94392</v>
      </c>
      <c r="H12" s="561">
        <f t="shared" si="8"/>
        <v>96751</v>
      </c>
      <c r="I12" s="561">
        <f t="shared" si="8"/>
        <v>98687</v>
      </c>
      <c r="J12" s="561">
        <f t="shared" si="8"/>
        <v>100659</v>
      </c>
      <c r="K12" s="561">
        <f t="shared" si="8"/>
        <v>102671</v>
      </c>
      <c r="L12" s="561">
        <f t="shared" si="8"/>
        <v>105239</v>
      </c>
    </row>
    <row r="13" spans="1:13" x14ac:dyDescent="0.25">
      <c r="A13" s="270" t="s">
        <v>1705</v>
      </c>
      <c r="B13" s="530"/>
      <c r="C13" s="561">
        <f t="shared" ref="C13:L13" si="9">ROUND((+C35*(1+$E$23)),0)</f>
        <v>94064</v>
      </c>
      <c r="D13" s="561">
        <f t="shared" si="9"/>
        <v>96417</v>
      </c>
      <c r="E13" s="561">
        <f t="shared" si="9"/>
        <v>98828</v>
      </c>
      <c r="F13" s="561">
        <f t="shared" si="9"/>
        <v>101296</v>
      </c>
      <c r="G13" s="561">
        <f t="shared" si="9"/>
        <v>103828</v>
      </c>
      <c r="H13" s="561">
        <f t="shared" si="9"/>
        <v>106423</v>
      </c>
      <c r="I13" s="561">
        <f t="shared" si="9"/>
        <v>108554</v>
      </c>
      <c r="J13" s="561">
        <f t="shared" si="9"/>
        <v>110725</v>
      </c>
      <c r="K13" s="561">
        <f t="shared" si="9"/>
        <v>112939</v>
      </c>
      <c r="L13" s="561">
        <f t="shared" si="9"/>
        <v>115764</v>
      </c>
    </row>
    <row r="14" spans="1:13" x14ac:dyDescent="0.25">
      <c r="A14" s="270" t="s">
        <v>1706</v>
      </c>
      <c r="B14" s="530"/>
      <c r="C14" s="561">
        <f t="shared" ref="C14:L14" si="10">ROUND((+C36*(1+$E$23)),0)</f>
        <v>103470</v>
      </c>
      <c r="D14" s="561">
        <f t="shared" si="10"/>
        <v>106059</v>
      </c>
      <c r="E14" s="561">
        <f t="shared" si="10"/>
        <v>108710</v>
      </c>
      <c r="F14" s="561">
        <f t="shared" si="10"/>
        <v>111427</v>
      </c>
      <c r="G14" s="561">
        <f t="shared" si="10"/>
        <v>114214</v>
      </c>
      <c r="H14" s="561">
        <f t="shared" si="10"/>
        <v>117068</v>
      </c>
      <c r="I14" s="561">
        <f t="shared" si="10"/>
        <v>119407</v>
      </c>
      <c r="J14" s="561">
        <f t="shared" si="10"/>
        <v>121798</v>
      </c>
      <c r="K14" s="561">
        <f t="shared" si="10"/>
        <v>124234</v>
      </c>
      <c r="L14" s="561">
        <f t="shared" si="10"/>
        <v>127339</v>
      </c>
    </row>
    <row r="16" spans="1:13" x14ac:dyDescent="0.25">
      <c r="A16" s="270" t="s">
        <v>762</v>
      </c>
      <c r="B16" s="202" t="s">
        <v>1707</v>
      </c>
    </row>
    <row r="17" spans="1:13" x14ac:dyDescent="0.25">
      <c r="A17" s="270" t="s">
        <v>1699</v>
      </c>
      <c r="B17" s="757">
        <v>1</v>
      </c>
      <c r="C17" s="757">
        <v>1</v>
      </c>
      <c r="D17" s="757">
        <v>2</v>
      </c>
      <c r="E17" s="757">
        <v>3</v>
      </c>
      <c r="F17" s="757">
        <v>4</v>
      </c>
      <c r="G17" s="757">
        <v>5</v>
      </c>
      <c r="H17" s="757">
        <v>6</v>
      </c>
      <c r="I17" s="757">
        <v>7</v>
      </c>
      <c r="J17" s="757">
        <v>8</v>
      </c>
      <c r="K17" s="757">
        <v>9</v>
      </c>
      <c r="L17" s="757">
        <v>10</v>
      </c>
      <c r="M17" t="s">
        <v>1708</v>
      </c>
    </row>
    <row r="18" spans="1:13" x14ac:dyDescent="0.25">
      <c r="A18" s="270" t="s">
        <v>1709</v>
      </c>
      <c r="B18" s="1"/>
      <c r="C18" s="1">
        <f>ROUND((+C9/$M$18),2)</f>
        <v>34.65</v>
      </c>
      <c r="D18" s="1">
        <f t="shared" ref="D18:L18" si="11">ROUND((+D9/$M$18),2)</f>
        <v>35.520000000000003</v>
      </c>
      <c r="E18" s="1">
        <f t="shared" si="11"/>
        <v>36.409999999999997</v>
      </c>
      <c r="F18" s="1">
        <f t="shared" si="11"/>
        <v>37.32</v>
      </c>
      <c r="G18" s="1">
        <f t="shared" si="11"/>
        <v>38.25</v>
      </c>
      <c r="H18" s="1">
        <f t="shared" si="11"/>
        <v>39.020000000000003</v>
      </c>
      <c r="I18" s="1">
        <f t="shared" si="11"/>
        <v>39.799999999999997</v>
      </c>
      <c r="J18" s="1">
        <f t="shared" si="11"/>
        <v>40.590000000000003</v>
      </c>
      <c r="K18" s="1">
        <f t="shared" si="11"/>
        <v>41.4</v>
      </c>
      <c r="L18" s="1">
        <f t="shared" si="11"/>
        <v>42.44</v>
      </c>
      <c r="M18" s="712">
        <v>1827</v>
      </c>
    </row>
    <row r="19" spans="1:13" x14ac:dyDescent="0.25">
      <c r="A19" s="270" t="s">
        <v>1710</v>
      </c>
      <c r="B19" s="1"/>
      <c r="C19" s="1">
        <f>ROUND((+C9/$M$19),2)</f>
        <v>30.29</v>
      </c>
      <c r="D19" s="1">
        <f t="shared" ref="D19:L19" si="12">ROUND((+D9/$M$19),2)</f>
        <v>31.05</v>
      </c>
      <c r="E19" s="1">
        <f t="shared" si="12"/>
        <v>31.83</v>
      </c>
      <c r="F19" s="1">
        <f t="shared" si="12"/>
        <v>32.619999999999997</v>
      </c>
      <c r="G19" s="1">
        <f t="shared" si="12"/>
        <v>33.44</v>
      </c>
      <c r="H19" s="1">
        <f t="shared" si="12"/>
        <v>34.11</v>
      </c>
      <c r="I19" s="1">
        <f t="shared" si="12"/>
        <v>34.79</v>
      </c>
      <c r="J19" s="1">
        <f t="shared" si="12"/>
        <v>35.479999999999997</v>
      </c>
      <c r="K19" s="1">
        <f t="shared" si="12"/>
        <v>36.19</v>
      </c>
      <c r="L19" s="1">
        <f t="shared" si="12"/>
        <v>37.1</v>
      </c>
      <c r="M19" s="712">
        <v>2090</v>
      </c>
    </row>
    <row r="20" spans="1:13" x14ac:dyDescent="0.25">
      <c r="A20" s="270" t="s">
        <v>1711</v>
      </c>
      <c r="B20" s="1"/>
      <c r="C20" s="1">
        <f>ROUND((+C9/$M$19),2)</f>
        <v>30.29</v>
      </c>
      <c r="D20" s="1">
        <f t="shared" ref="D20:L20" si="13">ROUND((+D9/$M$19),2)</f>
        <v>31.05</v>
      </c>
      <c r="E20" s="1">
        <f t="shared" si="13"/>
        <v>31.83</v>
      </c>
      <c r="F20" s="1">
        <f t="shared" si="13"/>
        <v>32.619999999999997</v>
      </c>
      <c r="G20" s="1">
        <f t="shared" si="13"/>
        <v>33.44</v>
      </c>
      <c r="H20" s="1">
        <f t="shared" si="13"/>
        <v>34.11</v>
      </c>
      <c r="I20" s="1">
        <f t="shared" si="13"/>
        <v>34.79</v>
      </c>
      <c r="J20" s="1">
        <f t="shared" si="13"/>
        <v>35.479999999999997</v>
      </c>
      <c r="K20" s="1">
        <f t="shared" si="13"/>
        <v>36.19</v>
      </c>
      <c r="L20" s="1">
        <f t="shared" si="13"/>
        <v>37.1</v>
      </c>
      <c r="M20" s="712">
        <v>2088</v>
      </c>
    </row>
    <row r="21" spans="1:13" x14ac:dyDescent="0.25">
      <c r="A21" s="124" t="s">
        <v>1712</v>
      </c>
      <c r="B21" s="712">
        <v>52.2</v>
      </c>
      <c r="C21" s="202" t="s">
        <v>1713</v>
      </c>
      <c r="G21" s="64"/>
      <c r="H21" s="64"/>
      <c r="I21" s="64"/>
      <c r="J21" s="64"/>
      <c r="K21" s="64"/>
    </row>
    <row r="23" spans="1:13" x14ac:dyDescent="0.25">
      <c r="A23" s="806" t="s">
        <v>1698</v>
      </c>
      <c r="B23" s="317"/>
      <c r="C23" s="317"/>
      <c r="D23" s="317"/>
      <c r="E23" s="837">
        <v>2.5000000000000001E-2</v>
      </c>
      <c r="G23" s="290" t="s">
        <v>194</v>
      </c>
    </row>
    <row r="24" spans="1:13" x14ac:dyDescent="0.25">
      <c r="B24" s="202" t="s">
        <v>1672</v>
      </c>
    </row>
    <row r="25" spans="1:13" x14ac:dyDescent="0.25">
      <c r="A25" s="270" t="s">
        <v>1699</v>
      </c>
      <c r="B25" s="757">
        <v>1</v>
      </c>
      <c r="C25" s="757">
        <v>1</v>
      </c>
      <c r="D25" s="757">
        <v>2</v>
      </c>
      <c r="E25" s="757">
        <v>3</v>
      </c>
      <c r="F25" s="757">
        <v>4</v>
      </c>
      <c r="G25" s="757">
        <v>5</v>
      </c>
      <c r="H25" s="757">
        <v>6</v>
      </c>
      <c r="I25" s="757">
        <v>7</v>
      </c>
      <c r="J25" s="757">
        <v>8</v>
      </c>
      <c r="K25" s="757">
        <v>9</v>
      </c>
      <c r="L25" s="757">
        <v>10</v>
      </c>
    </row>
    <row r="26" spans="1:13" x14ac:dyDescent="0.25">
      <c r="A26" s="270" t="s">
        <v>1599</v>
      </c>
      <c r="B26" s="218"/>
      <c r="C26" s="218">
        <f>ROUND((+C48*(1+$E$23)),2)</f>
        <v>16.350000000000001</v>
      </c>
      <c r="D26" s="218">
        <f t="shared" ref="D26:L26" si="14">ROUND((+D48*(1+$E$23)),2)</f>
        <v>16.75</v>
      </c>
      <c r="E26" s="218">
        <f t="shared" si="14"/>
        <v>17.2</v>
      </c>
      <c r="F26" s="218">
        <f t="shared" si="14"/>
        <v>17.59</v>
      </c>
      <c r="G26" s="218">
        <f t="shared" si="14"/>
        <v>18.04</v>
      </c>
      <c r="H26" s="218">
        <f t="shared" si="14"/>
        <v>18.45</v>
      </c>
      <c r="I26" s="218">
        <f t="shared" si="14"/>
        <v>18.86</v>
      </c>
      <c r="J26" s="218">
        <f t="shared" si="14"/>
        <v>19.25</v>
      </c>
      <c r="K26" s="218">
        <f t="shared" si="14"/>
        <v>19.63</v>
      </c>
      <c r="L26" s="218">
        <f t="shared" si="14"/>
        <v>20.12</v>
      </c>
    </row>
    <row r="27" spans="1:13" x14ac:dyDescent="0.25">
      <c r="A27" s="270" t="s">
        <v>1603</v>
      </c>
      <c r="B27" s="218"/>
      <c r="C27" s="218">
        <f t="shared" ref="C27:L30" si="15">ROUND((+C49*(1+$E$23)),2)</f>
        <v>19.28</v>
      </c>
      <c r="D27" s="218">
        <f t="shared" si="15"/>
        <v>19.75</v>
      </c>
      <c r="E27" s="218">
        <f t="shared" si="15"/>
        <v>20.239999999999998</v>
      </c>
      <c r="F27" s="218">
        <f t="shared" si="15"/>
        <v>20.76</v>
      </c>
      <c r="G27" s="218">
        <f t="shared" si="15"/>
        <v>21.27</v>
      </c>
      <c r="H27" s="218">
        <f t="shared" si="15"/>
        <v>21.82</v>
      </c>
      <c r="I27" s="218">
        <f t="shared" si="15"/>
        <v>22.23</v>
      </c>
      <c r="J27" s="218">
        <f t="shared" si="15"/>
        <v>22.7</v>
      </c>
      <c r="K27" s="218">
        <f t="shared" si="15"/>
        <v>23.14</v>
      </c>
      <c r="L27" s="218">
        <f t="shared" si="15"/>
        <v>23.72</v>
      </c>
    </row>
    <row r="28" spans="1:13" x14ac:dyDescent="0.25">
      <c r="A28" s="270" t="s">
        <v>1609</v>
      </c>
      <c r="B28" s="218"/>
      <c r="C28" s="218">
        <f t="shared" si="15"/>
        <v>20.75</v>
      </c>
      <c r="D28" s="218">
        <f t="shared" si="15"/>
        <v>21.25</v>
      </c>
      <c r="E28" s="218">
        <f t="shared" si="15"/>
        <v>21.8</v>
      </c>
      <c r="F28" s="218">
        <f t="shared" si="15"/>
        <v>22.31</v>
      </c>
      <c r="G28" s="218">
        <f t="shared" si="15"/>
        <v>22.91</v>
      </c>
      <c r="H28" s="218">
        <f t="shared" si="15"/>
        <v>23.45</v>
      </c>
      <c r="I28" s="218">
        <f t="shared" si="15"/>
        <v>23.94</v>
      </c>
      <c r="J28" s="218">
        <f t="shared" si="15"/>
        <v>24.41</v>
      </c>
      <c r="K28" s="218">
        <f t="shared" si="15"/>
        <v>24.9</v>
      </c>
      <c r="L28" s="218">
        <f t="shared" si="15"/>
        <v>25.52</v>
      </c>
    </row>
    <row r="29" spans="1:13" x14ac:dyDescent="0.25">
      <c r="A29" s="270" t="s">
        <v>1612</v>
      </c>
      <c r="B29" s="218"/>
      <c r="C29" s="218">
        <f t="shared" si="15"/>
        <v>22.6</v>
      </c>
      <c r="D29" s="218">
        <f t="shared" si="15"/>
        <v>23.17</v>
      </c>
      <c r="E29" s="218">
        <f t="shared" si="15"/>
        <v>23.74</v>
      </c>
      <c r="F29" s="218">
        <f t="shared" si="15"/>
        <v>24.33</v>
      </c>
      <c r="G29" s="218">
        <f t="shared" si="15"/>
        <v>24.96</v>
      </c>
      <c r="H29" s="218">
        <f t="shared" si="15"/>
        <v>25.58</v>
      </c>
      <c r="I29" s="218">
        <f t="shared" si="15"/>
        <v>26.09</v>
      </c>
      <c r="J29" s="218">
        <f t="shared" si="15"/>
        <v>26.62</v>
      </c>
      <c r="K29" s="218">
        <f t="shared" si="15"/>
        <v>27.13</v>
      </c>
      <c r="L29" s="218">
        <f t="shared" si="15"/>
        <v>27.81</v>
      </c>
    </row>
    <row r="30" spans="1:13" x14ac:dyDescent="0.25">
      <c r="A30" s="270" t="s">
        <v>1700</v>
      </c>
      <c r="B30" s="218"/>
      <c r="C30" s="218">
        <f t="shared" si="15"/>
        <v>24.4</v>
      </c>
      <c r="D30" s="218">
        <f t="shared" si="15"/>
        <v>25.02</v>
      </c>
      <c r="E30" s="218">
        <f t="shared" si="15"/>
        <v>25.64</v>
      </c>
      <c r="F30" s="218">
        <f t="shared" si="15"/>
        <v>26.28</v>
      </c>
      <c r="G30" s="218">
        <f t="shared" si="15"/>
        <v>26.94</v>
      </c>
      <c r="H30" s="218">
        <f t="shared" si="15"/>
        <v>27.6</v>
      </c>
      <c r="I30" s="218">
        <f t="shared" si="15"/>
        <v>28.16</v>
      </c>
      <c r="J30" s="218">
        <f t="shared" si="15"/>
        <v>28.73</v>
      </c>
      <c r="K30" s="218">
        <f t="shared" si="15"/>
        <v>29.29</v>
      </c>
      <c r="L30" s="218">
        <f t="shared" si="15"/>
        <v>30.02</v>
      </c>
    </row>
    <row r="31" spans="1:13" x14ac:dyDescent="0.25">
      <c r="A31" s="270" t="s">
        <v>1701</v>
      </c>
      <c r="B31" s="282"/>
      <c r="C31" s="561">
        <f>ROUND((+C53*(1+$E$23)),0)</f>
        <v>61770</v>
      </c>
      <c r="D31" s="561">
        <f t="shared" ref="D31:L32" si="16">ROUND((+D53*(1+$E$23)),0)</f>
        <v>63311</v>
      </c>
      <c r="E31" s="561">
        <f t="shared" si="16"/>
        <v>64895</v>
      </c>
      <c r="F31" s="561">
        <f t="shared" si="16"/>
        <v>66517</v>
      </c>
      <c r="G31" s="561">
        <f t="shared" si="16"/>
        <v>68181</v>
      </c>
      <c r="H31" s="561">
        <f t="shared" si="16"/>
        <v>69543</v>
      </c>
      <c r="I31" s="561">
        <f t="shared" si="16"/>
        <v>70936</v>
      </c>
      <c r="J31" s="561">
        <f t="shared" si="16"/>
        <v>72354</v>
      </c>
      <c r="K31" s="561">
        <f t="shared" si="16"/>
        <v>73800</v>
      </c>
      <c r="L31" s="561">
        <f t="shared" si="16"/>
        <v>75645</v>
      </c>
    </row>
    <row r="32" spans="1:13" x14ac:dyDescent="0.25">
      <c r="A32" s="270" t="s">
        <v>1702</v>
      </c>
      <c r="B32" s="282"/>
      <c r="C32" s="561">
        <f>ROUND((+C54*(1+$E$23)),0)</f>
        <v>65636</v>
      </c>
      <c r="D32" s="561">
        <f t="shared" si="16"/>
        <v>67278</v>
      </c>
      <c r="E32" s="561">
        <f t="shared" si="16"/>
        <v>68959</v>
      </c>
      <c r="F32" s="561">
        <f t="shared" si="16"/>
        <v>70681</v>
      </c>
      <c r="G32" s="561">
        <f t="shared" si="16"/>
        <v>72450</v>
      </c>
      <c r="H32" s="561">
        <f t="shared" si="16"/>
        <v>73899</v>
      </c>
      <c r="I32" s="561">
        <f t="shared" si="16"/>
        <v>75376</v>
      </c>
      <c r="J32" s="561">
        <f t="shared" si="16"/>
        <v>76884</v>
      </c>
      <c r="K32" s="561">
        <f t="shared" si="16"/>
        <v>78423</v>
      </c>
      <c r="L32" s="561">
        <f t="shared" si="16"/>
        <v>80384</v>
      </c>
    </row>
    <row r="33" spans="1:13" x14ac:dyDescent="0.25">
      <c r="A33" s="270" t="s">
        <v>1703</v>
      </c>
      <c r="B33" s="530"/>
      <c r="C33" s="530"/>
      <c r="D33" s="530"/>
      <c r="E33" s="530"/>
      <c r="F33" s="530"/>
      <c r="G33" s="531">
        <f>+ROUND((((+G32*1.085)/52)/37.69),0)</f>
        <v>40</v>
      </c>
      <c r="H33" s="531">
        <f t="shared" ref="H33:L33" si="17">+ROUND((((+H32*1.085)/52)/37.69),2)</f>
        <v>40.909999999999997</v>
      </c>
      <c r="I33" s="531">
        <f t="shared" si="17"/>
        <v>41.73</v>
      </c>
      <c r="J33" s="531">
        <f t="shared" si="17"/>
        <v>42.56</v>
      </c>
      <c r="K33" s="531">
        <f t="shared" si="17"/>
        <v>43.42</v>
      </c>
      <c r="L33" s="531">
        <f t="shared" si="17"/>
        <v>44.5</v>
      </c>
    </row>
    <row r="34" spans="1:13" x14ac:dyDescent="0.25">
      <c r="A34" s="270" t="s">
        <v>1704</v>
      </c>
      <c r="B34" s="282"/>
      <c r="C34" s="561">
        <f t="shared" ref="C34:L34" si="18">ROUND((+C56*(1+$E$23)),0)</f>
        <v>83428</v>
      </c>
      <c r="D34" s="561">
        <f t="shared" si="18"/>
        <v>85512</v>
      </c>
      <c r="E34" s="561">
        <f t="shared" si="18"/>
        <v>87653</v>
      </c>
      <c r="F34" s="561">
        <f t="shared" si="18"/>
        <v>89843</v>
      </c>
      <c r="G34" s="561">
        <f t="shared" si="18"/>
        <v>92090</v>
      </c>
      <c r="H34" s="561">
        <f t="shared" si="18"/>
        <v>94391</v>
      </c>
      <c r="I34" s="561">
        <f t="shared" si="18"/>
        <v>96280</v>
      </c>
      <c r="J34" s="561">
        <f t="shared" si="18"/>
        <v>98204</v>
      </c>
      <c r="K34" s="561">
        <f t="shared" si="18"/>
        <v>100167</v>
      </c>
      <c r="L34" s="561">
        <f t="shared" si="18"/>
        <v>102672</v>
      </c>
    </row>
    <row r="35" spans="1:13" x14ac:dyDescent="0.25">
      <c r="A35" s="270" t="s">
        <v>1705</v>
      </c>
      <c r="B35" s="282"/>
      <c r="C35" s="561">
        <f t="shared" ref="C35:L35" si="19">ROUND((+C57*(1+$E$23)),0)</f>
        <v>91770</v>
      </c>
      <c r="D35" s="561">
        <f t="shared" si="19"/>
        <v>94065</v>
      </c>
      <c r="E35" s="561">
        <f t="shared" si="19"/>
        <v>96418</v>
      </c>
      <c r="F35" s="561">
        <f t="shared" si="19"/>
        <v>98825</v>
      </c>
      <c r="G35" s="561">
        <f t="shared" si="19"/>
        <v>101296</v>
      </c>
      <c r="H35" s="561">
        <f t="shared" si="19"/>
        <v>103827</v>
      </c>
      <c r="I35" s="561">
        <f t="shared" si="19"/>
        <v>105906</v>
      </c>
      <c r="J35" s="561">
        <f t="shared" si="19"/>
        <v>108024</v>
      </c>
      <c r="K35" s="561">
        <f t="shared" si="19"/>
        <v>110184</v>
      </c>
      <c r="L35" s="561">
        <f t="shared" si="19"/>
        <v>112940</v>
      </c>
    </row>
    <row r="36" spans="1:13" x14ac:dyDescent="0.25">
      <c r="A36" s="270" t="s">
        <v>1706</v>
      </c>
      <c r="B36" s="282"/>
      <c r="C36" s="561">
        <f t="shared" ref="C36:L36" si="20">ROUND((+C58*(1+$E$23)),0)</f>
        <v>100946</v>
      </c>
      <c r="D36" s="561">
        <f t="shared" si="20"/>
        <v>103472</v>
      </c>
      <c r="E36" s="561">
        <f t="shared" si="20"/>
        <v>106059</v>
      </c>
      <c r="F36" s="561">
        <f t="shared" si="20"/>
        <v>108709</v>
      </c>
      <c r="G36" s="561">
        <f t="shared" si="20"/>
        <v>111428</v>
      </c>
      <c r="H36" s="561">
        <f t="shared" si="20"/>
        <v>114213</v>
      </c>
      <c r="I36" s="561">
        <f t="shared" si="20"/>
        <v>116495</v>
      </c>
      <c r="J36" s="561">
        <f t="shared" si="20"/>
        <v>118827</v>
      </c>
      <c r="K36" s="561">
        <f t="shared" si="20"/>
        <v>121204</v>
      </c>
      <c r="L36" s="561">
        <f t="shared" si="20"/>
        <v>124233</v>
      </c>
    </row>
    <row r="38" spans="1:13" x14ac:dyDescent="0.25">
      <c r="A38" s="270" t="s">
        <v>762</v>
      </c>
      <c r="B38" s="202" t="s">
        <v>1707</v>
      </c>
    </row>
    <row r="39" spans="1:13" x14ac:dyDescent="0.25">
      <c r="A39" s="270" t="s">
        <v>1699</v>
      </c>
      <c r="B39" s="757">
        <v>1</v>
      </c>
      <c r="C39" s="757">
        <v>2</v>
      </c>
      <c r="D39" s="757">
        <v>3</v>
      </c>
      <c r="E39" s="757">
        <v>4</v>
      </c>
      <c r="F39" s="757">
        <v>5</v>
      </c>
      <c r="G39" s="757">
        <v>6</v>
      </c>
      <c r="H39" s="757">
        <v>7</v>
      </c>
      <c r="I39" s="757">
        <v>8</v>
      </c>
      <c r="J39" s="757">
        <v>9</v>
      </c>
      <c r="K39" s="757">
        <v>10</v>
      </c>
      <c r="L39" s="757">
        <v>11</v>
      </c>
      <c r="M39" t="s">
        <v>1708</v>
      </c>
    </row>
    <row r="40" spans="1:13" x14ac:dyDescent="0.25">
      <c r="A40" s="270" t="s">
        <v>1709</v>
      </c>
      <c r="B40" s="1"/>
      <c r="C40" s="1">
        <f>ROUND((+C31/$M$40),2)</f>
        <v>33.94</v>
      </c>
      <c r="D40" s="1">
        <f t="shared" ref="D40:L40" si="21">ROUND((+D31/$M$40),2)</f>
        <v>34.79</v>
      </c>
      <c r="E40" s="1">
        <f t="shared" si="21"/>
        <v>35.659999999999997</v>
      </c>
      <c r="F40" s="1">
        <f t="shared" si="21"/>
        <v>36.549999999999997</v>
      </c>
      <c r="G40" s="1">
        <f t="shared" si="21"/>
        <v>37.46</v>
      </c>
      <c r="H40" s="1">
        <f t="shared" si="21"/>
        <v>38.21</v>
      </c>
      <c r="I40" s="1">
        <f t="shared" si="21"/>
        <v>38.979999999999997</v>
      </c>
      <c r="J40" s="1">
        <f t="shared" si="21"/>
        <v>39.75</v>
      </c>
      <c r="K40" s="1">
        <f t="shared" si="21"/>
        <v>40.549999999999997</v>
      </c>
      <c r="L40" s="1">
        <f t="shared" si="21"/>
        <v>41.56</v>
      </c>
      <c r="M40" s="712">
        <v>1820</v>
      </c>
    </row>
    <row r="41" spans="1:13" x14ac:dyDescent="0.25">
      <c r="A41" s="270" t="s">
        <v>1710</v>
      </c>
      <c r="B41" s="1"/>
      <c r="C41" s="1">
        <f>ROUND((+C31/$M$41),2)</f>
        <v>29.7</v>
      </c>
      <c r="D41" s="1">
        <f t="shared" ref="D41:L41" si="22">ROUND((+D31/$M$41),2)</f>
        <v>30.44</v>
      </c>
      <c r="E41" s="1">
        <f t="shared" si="22"/>
        <v>31.2</v>
      </c>
      <c r="F41" s="1">
        <f t="shared" si="22"/>
        <v>31.98</v>
      </c>
      <c r="G41" s="1">
        <f t="shared" si="22"/>
        <v>32.78</v>
      </c>
      <c r="H41" s="1">
        <f t="shared" si="22"/>
        <v>33.43</v>
      </c>
      <c r="I41" s="1">
        <f t="shared" si="22"/>
        <v>34.1</v>
      </c>
      <c r="J41" s="1">
        <f t="shared" si="22"/>
        <v>34.79</v>
      </c>
      <c r="K41" s="1">
        <f t="shared" si="22"/>
        <v>35.479999999999997</v>
      </c>
      <c r="L41" s="1">
        <f t="shared" si="22"/>
        <v>36.369999999999997</v>
      </c>
      <c r="M41" s="712">
        <v>2080</v>
      </c>
    </row>
    <row r="42" spans="1:13" x14ac:dyDescent="0.25">
      <c r="A42" s="270" t="s">
        <v>1711</v>
      </c>
      <c r="B42" s="1"/>
      <c r="C42" s="1">
        <f>ROUND((+C31/$M$42),2)</f>
        <v>29.7</v>
      </c>
      <c r="D42" s="1">
        <f t="shared" ref="D42:L42" si="23">ROUND((+D31/$M$42),2)</f>
        <v>30.44</v>
      </c>
      <c r="E42" s="1">
        <f t="shared" si="23"/>
        <v>31.2</v>
      </c>
      <c r="F42" s="1">
        <f t="shared" si="23"/>
        <v>31.98</v>
      </c>
      <c r="G42" s="1">
        <f t="shared" si="23"/>
        <v>32.78</v>
      </c>
      <c r="H42" s="1">
        <f t="shared" si="23"/>
        <v>33.43</v>
      </c>
      <c r="I42" s="1">
        <f t="shared" si="23"/>
        <v>34.1</v>
      </c>
      <c r="J42" s="1">
        <f t="shared" si="23"/>
        <v>34.79</v>
      </c>
      <c r="K42" s="1">
        <f t="shared" si="23"/>
        <v>35.479999999999997</v>
      </c>
      <c r="L42" s="1">
        <f t="shared" si="23"/>
        <v>36.369999999999997</v>
      </c>
      <c r="M42" s="712">
        <v>2080</v>
      </c>
    </row>
    <row r="43" spans="1:13" x14ac:dyDescent="0.25">
      <c r="A43" s="124" t="s">
        <v>1712</v>
      </c>
      <c r="B43" s="712">
        <v>52.2</v>
      </c>
      <c r="C43" s="202" t="s">
        <v>1713</v>
      </c>
      <c r="G43" s="64"/>
      <c r="H43" s="64"/>
      <c r="I43" s="64"/>
      <c r="J43" s="64"/>
      <c r="K43" s="64"/>
    </row>
    <row r="45" spans="1:13" x14ac:dyDescent="0.25">
      <c r="A45" s="806" t="s">
        <v>1714</v>
      </c>
      <c r="B45" s="317"/>
      <c r="C45" s="317"/>
      <c r="D45" s="317"/>
      <c r="E45" s="837">
        <v>0.03</v>
      </c>
      <c r="G45" s="290" t="s">
        <v>194</v>
      </c>
    </row>
    <row r="46" spans="1:13" x14ac:dyDescent="0.25">
      <c r="B46" s="202" t="s">
        <v>1672</v>
      </c>
    </row>
    <row r="47" spans="1:13" x14ac:dyDescent="0.25">
      <c r="A47" s="270" t="s">
        <v>1699</v>
      </c>
      <c r="B47" s="757">
        <v>1</v>
      </c>
      <c r="C47" s="757">
        <v>1</v>
      </c>
      <c r="D47" s="757">
        <v>2</v>
      </c>
      <c r="E47" s="757">
        <v>3</v>
      </c>
      <c r="F47" s="757">
        <v>4</v>
      </c>
      <c r="G47" s="757">
        <v>5</v>
      </c>
      <c r="H47" s="757">
        <v>6</v>
      </c>
      <c r="I47" s="757">
        <v>7</v>
      </c>
      <c r="J47" s="757">
        <v>8</v>
      </c>
      <c r="K47" s="757">
        <v>9</v>
      </c>
      <c r="L47" s="757">
        <v>10</v>
      </c>
    </row>
    <row r="48" spans="1:13" x14ac:dyDescent="0.25">
      <c r="A48" s="270" t="s">
        <v>1599</v>
      </c>
      <c r="B48" s="218"/>
      <c r="C48" s="218">
        <f>ROUND((+C70*(1+$E$45)),2)</f>
        <v>15.95</v>
      </c>
      <c r="D48" s="218">
        <f t="shared" ref="D48:L48" si="24">ROUND((+D70*(1+$E$45)),2)</f>
        <v>16.34</v>
      </c>
      <c r="E48" s="218">
        <f t="shared" si="24"/>
        <v>16.78</v>
      </c>
      <c r="F48" s="218">
        <f t="shared" si="24"/>
        <v>17.16</v>
      </c>
      <c r="G48" s="218">
        <f t="shared" si="24"/>
        <v>17.600000000000001</v>
      </c>
      <c r="H48" s="218">
        <f t="shared" si="24"/>
        <v>18</v>
      </c>
      <c r="I48" s="218">
        <f t="shared" si="24"/>
        <v>18.399999999999999</v>
      </c>
      <c r="J48" s="218">
        <f t="shared" si="24"/>
        <v>18.78</v>
      </c>
      <c r="K48" s="218">
        <f t="shared" si="24"/>
        <v>19.149999999999999</v>
      </c>
      <c r="L48" s="218">
        <f t="shared" si="24"/>
        <v>19.63</v>
      </c>
    </row>
    <row r="49" spans="1:13" x14ac:dyDescent="0.25">
      <c r="A49" s="270" t="s">
        <v>1603</v>
      </c>
      <c r="B49" s="218"/>
      <c r="C49" s="218">
        <f t="shared" ref="C49:L49" si="25">ROUND((+C71*(1+$E$45)),2)</f>
        <v>18.809999999999999</v>
      </c>
      <c r="D49" s="218">
        <f t="shared" si="25"/>
        <v>19.27</v>
      </c>
      <c r="E49" s="218">
        <f t="shared" si="25"/>
        <v>19.75</v>
      </c>
      <c r="F49" s="218">
        <f t="shared" si="25"/>
        <v>20.25</v>
      </c>
      <c r="G49" s="218">
        <f t="shared" si="25"/>
        <v>20.75</v>
      </c>
      <c r="H49" s="218">
        <f t="shared" si="25"/>
        <v>21.29</v>
      </c>
      <c r="I49" s="218">
        <f t="shared" si="25"/>
        <v>21.69</v>
      </c>
      <c r="J49" s="218">
        <f t="shared" si="25"/>
        <v>22.15</v>
      </c>
      <c r="K49" s="218">
        <f t="shared" si="25"/>
        <v>22.58</v>
      </c>
      <c r="L49" s="218">
        <f t="shared" si="25"/>
        <v>23.14</v>
      </c>
    </row>
    <row r="50" spans="1:13" x14ac:dyDescent="0.25">
      <c r="A50" s="270" t="s">
        <v>1609</v>
      </c>
      <c r="B50" s="218"/>
      <c r="C50" s="218">
        <f t="shared" ref="C50:L50" si="26">ROUND((+C72*(1+$E$45)),2)</f>
        <v>20.239999999999998</v>
      </c>
      <c r="D50" s="218">
        <f t="shared" si="26"/>
        <v>20.73</v>
      </c>
      <c r="E50" s="218">
        <f t="shared" si="26"/>
        <v>21.27</v>
      </c>
      <c r="F50" s="218">
        <f t="shared" si="26"/>
        <v>21.77</v>
      </c>
      <c r="G50" s="218">
        <f t="shared" si="26"/>
        <v>22.35</v>
      </c>
      <c r="H50" s="218">
        <f t="shared" si="26"/>
        <v>22.88</v>
      </c>
      <c r="I50" s="218">
        <f t="shared" si="26"/>
        <v>23.36</v>
      </c>
      <c r="J50" s="218">
        <f t="shared" si="26"/>
        <v>23.81</v>
      </c>
      <c r="K50" s="218">
        <f t="shared" si="26"/>
        <v>24.29</v>
      </c>
      <c r="L50" s="218">
        <f t="shared" si="26"/>
        <v>24.9</v>
      </c>
    </row>
    <row r="51" spans="1:13" x14ac:dyDescent="0.25">
      <c r="A51" s="270" t="s">
        <v>1612</v>
      </c>
      <c r="B51" s="218"/>
      <c r="C51" s="218">
        <f t="shared" ref="C51:L51" si="27">ROUND((+C73*(1+$E$45)),2)</f>
        <v>22.05</v>
      </c>
      <c r="D51" s="218">
        <f t="shared" si="27"/>
        <v>22.6</v>
      </c>
      <c r="E51" s="218">
        <f t="shared" si="27"/>
        <v>23.16</v>
      </c>
      <c r="F51" s="218">
        <f t="shared" si="27"/>
        <v>23.74</v>
      </c>
      <c r="G51" s="218">
        <f t="shared" si="27"/>
        <v>24.35</v>
      </c>
      <c r="H51" s="218">
        <f t="shared" si="27"/>
        <v>24.96</v>
      </c>
      <c r="I51" s="218">
        <f t="shared" si="27"/>
        <v>25.45</v>
      </c>
      <c r="J51" s="218">
        <f t="shared" si="27"/>
        <v>25.97</v>
      </c>
      <c r="K51" s="218">
        <f t="shared" si="27"/>
        <v>26.47</v>
      </c>
      <c r="L51" s="218">
        <f t="shared" si="27"/>
        <v>27.13</v>
      </c>
    </row>
    <row r="52" spans="1:13" x14ac:dyDescent="0.25">
      <c r="A52" s="270" t="s">
        <v>1700</v>
      </c>
      <c r="B52" s="218"/>
      <c r="C52" s="218">
        <f t="shared" ref="C52:L52" si="28">ROUND((+C74*(1+$E$45)),2)</f>
        <v>23.8</v>
      </c>
      <c r="D52" s="218">
        <f t="shared" si="28"/>
        <v>24.41</v>
      </c>
      <c r="E52" s="218">
        <f t="shared" si="28"/>
        <v>25.01</v>
      </c>
      <c r="F52" s="218">
        <f t="shared" si="28"/>
        <v>25.64</v>
      </c>
      <c r="G52" s="218">
        <f t="shared" si="28"/>
        <v>26.28</v>
      </c>
      <c r="H52" s="218">
        <f t="shared" si="28"/>
        <v>26.93</v>
      </c>
      <c r="I52" s="218">
        <f t="shared" si="28"/>
        <v>27.47</v>
      </c>
      <c r="J52" s="218">
        <f t="shared" si="28"/>
        <v>28.03</v>
      </c>
      <c r="K52" s="218">
        <f t="shared" si="28"/>
        <v>28.58</v>
      </c>
      <c r="L52" s="218">
        <f t="shared" si="28"/>
        <v>29.29</v>
      </c>
    </row>
    <row r="53" spans="1:13" x14ac:dyDescent="0.25">
      <c r="A53" s="270" t="s">
        <v>1701</v>
      </c>
      <c r="B53" s="282"/>
      <c r="C53" s="561">
        <f>ROUND((+C75*(1+$E$45)),0)</f>
        <v>60263</v>
      </c>
      <c r="D53" s="561">
        <f t="shared" ref="D53:L54" si="29">ROUND((+D75*(1+$E$45)),0)</f>
        <v>61767</v>
      </c>
      <c r="E53" s="561">
        <f t="shared" si="29"/>
        <v>63312</v>
      </c>
      <c r="F53" s="561">
        <f t="shared" si="29"/>
        <v>64895</v>
      </c>
      <c r="G53" s="561">
        <f t="shared" si="29"/>
        <v>66518</v>
      </c>
      <c r="H53" s="561">
        <f t="shared" si="29"/>
        <v>67847</v>
      </c>
      <c r="I53" s="561">
        <f t="shared" si="29"/>
        <v>69206</v>
      </c>
      <c r="J53" s="561">
        <f t="shared" si="29"/>
        <v>70589</v>
      </c>
      <c r="K53" s="561">
        <f t="shared" si="29"/>
        <v>72000</v>
      </c>
      <c r="L53" s="561">
        <f t="shared" si="29"/>
        <v>73800</v>
      </c>
    </row>
    <row r="54" spans="1:13" x14ac:dyDescent="0.25">
      <c r="A54" s="270" t="s">
        <v>1702</v>
      </c>
      <c r="B54" s="282"/>
      <c r="C54" s="561">
        <f>ROUND((+C76*(1+$E$45)),0)</f>
        <v>64035</v>
      </c>
      <c r="D54" s="561">
        <f t="shared" si="29"/>
        <v>65637</v>
      </c>
      <c r="E54" s="561">
        <f t="shared" si="29"/>
        <v>67277</v>
      </c>
      <c r="F54" s="561">
        <f t="shared" si="29"/>
        <v>68957</v>
      </c>
      <c r="G54" s="561">
        <f t="shared" si="29"/>
        <v>70683</v>
      </c>
      <c r="H54" s="561">
        <f t="shared" si="29"/>
        <v>72097</v>
      </c>
      <c r="I54" s="561">
        <f t="shared" si="29"/>
        <v>73538</v>
      </c>
      <c r="J54" s="561">
        <f t="shared" si="29"/>
        <v>75009</v>
      </c>
      <c r="K54" s="561">
        <f t="shared" si="29"/>
        <v>76510</v>
      </c>
      <c r="L54" s="561">
        <f t="shared" si="29"/>
        <v>78423</v>
      </c>
    </row>
    <row r="55" spans="1:13" x14ac:dyDescent="0.25">
      <c r="A55" s="270" t="s">
        <v>1703</v>
      </c>
      <c r="B55" s="530"/>
      <c r="C55" s="530"/>
      <c r="D55" s="530"/>
      <c r="E55" s="530"/>
      <c r="F55" s="530"/>
      <c r="G55" s="531">
        <f>+ROUND((((+G54*1.085)/$B$65)/37.69),2)</f>
        <v>38.979999999999997</v>
      </c>
      <c r="H55" s="531">
        <f t="shared" ref="H55:L55" si="30">+ROUND((((+H54*1.085)/$B$65)/37.69),2)</f>
        <v>39.76</v>
      </c>
      <c r="I55" s="531">
        <f t="shared" si="30"/>
        <v>40.56</v>
      </c>
      <c r="J55" s="531">
        <f t="shared" si="30"/>
        <v>41.37</v>
      </c>
      <c r="K55" s="531">
        <f t="shared" si="30"/>
        <v>42.19</v>
      </c>
      <c r="L55" s="531">
        <f t="shared" si="30"/>
        <v>43.25</v>
      </c>
    </row>
    <row r="56" spans="1:13" x14ac:dyDescent="0.25">
      <c r="A56" s="270" t="s">
        <v>1704</v>
      </c>
      <c r="B56" s="282"/>
      <c r="C56" s="561">
        <f t="shared" ref="C56:L56" si="31">ROUND((+C78*(1+$E$45)),0)</f>
        <v>81393</v>
      </c>
      <c r="D56" s="561">
        <f t="shared" si="31"/>
        <v>83426</v>
      </c>
      <c r="E56" s="561">
        <f t="shared" si="31"/>
        <v>85515</v>
      </c>
      <c r="F56" s="561">
        <f t="shared" si="31"/>
        <v>87652</v>
      </c>
      <c r="G56" s="561">
        <f t="shared" si="31"/>
        <v>89844</v>
      </c>
      <c r="H56" s="561">
        <f t="shared" si="31"/>
        <v>92089</v>
      </c>
      <c r="I56" s="561">
        <f t="shared" si="31"/>
        <v>93932</v>
      </c>
      <c r="J56" s="561">
        <f t="shared" si="31"/>
        <v>95809</v>
      </c>
      <c r="K56" s="561">
        <f t="shared" si="31"/>
        <v>97724</v>
      </c>
      <c r="L56" s="561">
        <f t="shared" si="31"/>
        <v>100168</v>
      </c>
    </row>
    <row r="57" spans="1:13" x14ac:dyDescent="0.25">
      <c r="A57" s="270" t="s">
        <v>1705</v>
      </c>
      <c r="B57" s="282"/>
      <c r="C57" s="561">
        <f t="shared" ref="C57:L57" si="32">ROUND((+C79*(1+$E$45)),0)</f>
        <v>89532</v>
      </c>
      <c r="D57" s="561">
        <f t="shared" si="32"/>
        <v>91771</v>
      </c>
      <c r="E57" s="561">
        <f t="shared" si="32"/>
        <v>94066</v>
      </c>
      <c r="F57" s="561">
        <f t="shared" si="32"/>
        <v>96415</v>
      </c>
      <c r="G57" s="561">
        <f t="shared" si="32"/>
        <v>98825</v>
      </c>
      <c r="H57" s="561">
        <f t="shared" si="32"/>
        <v>101295</v>
      </c>
      <c r="I57" s="561">
        <f t="shared" si="32"/>
        <v>103323</v>
      </c>
      <c r="J57" s="561">
        <f t="shared" si="32"/>
        <v>105389</v>
      </c>
      <c r="K57" s="561">
        <f t="shared" si="32"/>
        <v>107497</v>
      </c>
      <c r="L57" s="561">
        <f t="shared" si="32"/>
        <v>110185</v>
      </c>
    </row>
    <row r="58" spans="1:13" x14ac:dyDescent="0.25">
      <c r="A58" s="270" t="s">
        <v>1706</v>
      </c>
      <c r="B58" s="282"/>
      <c r="C58" s="561">
        <f t="shared" ref="C58:L58" si="33">ROUND((+C80*(1+$E$45)),0)</f>
        <v>98484</v>
      </c>
      <c r="D58" s="561">
        <f t="shared" si="33"/>
        <v>100948</v>
      </c>
      <c r="E58" s="561">
        <f t="shared" si="33"/>
        <v>103472</v>
      </c>
      <c r="F58" s="561">
        <f t="shared" si="33"/>
        <v>106058</v>
      </c>
      <c r="G58" s="561">
        <f t="shared" si="33"/>
        <v>108710</v>
      </c>
      <c r="H58" s="561">
        <f t="shared" si="33"/>
        <v>111427</v>
      </c>
      <c r="I58" s="561">
        <f t="shared" si="33"/>
        <v>113654</v>
      </c>
      <c r="J58" s="561">
        <f t="shared" si="33"/>
        <v>115929</v>
      </c>
      <c r="K58" s="561">
        <f t="shared" si="33"/>
        <v>118248</v>
      </c>
      <c r="L58" s="561">
        <f t="shared" si="33"/>
        <v>121203</v>
      </c>
    </row>
    <row r="60" spans="1:13" x14ac:dyDescent="0.25">
      <c r="A60" s="270" t="s">
        <v>762</v>
      </c>
      <c r="B60" s="202" t="s">
        <v>1707</v>
      </c>
    </row>
    <row r="61" spans="1:13" x14ac:dyDescent="0.25">
      <c r="A61" s="270" t="s">
        <v>1699</v>
      </c>
      <c r="B61" s="757">
        <v>1</v>
      </c>
      <c r="C61" s="757">
        <v>2</v>
      </c>
      <c r="D61" s="757">
        <v>3</v>
      </c>
      <c r="E61" s="757">
        <v>4</v>
      </c>
      <c r="F61" s="757">
        <v>5</v>
      </c>
      <c r="G61" s="757">
        <v>6</v>
      </c>
      <c r="H61" s="757">
        <v>7</v>
      </c>
      <c r="I61" s="757">
        <v>8</v>
      </c>
      <c r="J61" s="757">
        <v>9</v>
      </c>
      <c r="K61" s="757">
        <v>10</v>
      </c>
      <c r="L61" s="757">
        <v>11</v>
      </c>
      <c r="M61" t="s">
        <v>1708</v>
      </c>
    </row>
    <row r="62" spans="1:13" x14ac:dyDescent="0.25">
      <c r="A62" s="270" t="s">
        <v>1709</v>
      </c>
      <c r="B62" s="1"/>
      <c r="C62" s="1">
        <f>ROUND((+C53/$M$62),2)</f>
        <v>32.979999999999997</v>
      </c>
      <c r="D62" s="1">
        <f t="shared" ref="D62:L62" si="34">ROUND((+D53/$M$62),2)</f>
        <v>33.81</v>
      </c>
      <c r="E62" s="1">
        <f t="shared" si="34"/>
        <v>34.65</v>
      </c>
      <c r="F62" s="1">
        <f t="shared" si="34"/>
        <v>35.520000000000003</v>
      </c>
      <c r="G62" s="1">
        <f t="shared" si="34"/>
        <v>36.409999999999997</v>
      </c>
      <c r="H62" s="1">
        <f t="shared" si="34"/>
        <v>37.14</v>
      </c>
      <c r="I62" s="1">
        <f t="shared" si="34"/>
        <v>37.880000000000003</v>
      </c>
      <c r="J62" s="1">
        <f t="shared" si="34"/>
        <v>38.64</v>
      </c>
      <c r="K62" s="1">
        <f t="shared" si="34"/>
        <v>39.409999999999997</v>
      </c>
      <c r="L62" s="1">
        <f t="shared" si="34"/>
        <v>40.39</v>
      </c>
      <c r="M62" s="712">
        <v>1827</v>
      </c>
    </row>
    <row r="63" spans="1:13" x14ac:dyDescent="0.25">
      <c r="A63" s="270" t="s">
        <v>1710</v>
      </c>
      <c r="B63" s="1"/>
      <c r="C63" s="1">
        <f>ROUND((+C53/$M$63),2)</f>
        <v>28.97</v>
      </c>
      <c r="D63" s="1">
        <f t="shared" ref="D63:L63" si="35">ROUND((+D53/$M$63),2)</f>
        <v>29.7</v>
      </c>
      <c r="E63" s="1">
        <f t="shared" si="35"/>
        <v>30.44</v>
      </c>
      <c r="F63" s="1">
        <f t="shared" si="35"/>
        <v>31.2</v>
      </c>
      <c r="G63" s="1">
        <f t="shared" si="35"/>
        <v>31.98</v>
      </c>
      <c r="H63" s="1">
        <f t="shared" si="35"/>
        <v>32.619999999999997</v>
      </c>
      <c r="I63" s="1">
        <f t="shared" si="35"/>
        <v>33.270000000000003</v>
      </c>
      <c r="J63" s="1">
        <f t="shared" si="35"/>
        <v>33.94</v>
      </c>
      <c r="K63" s="1">
        <f t="shared" si="35"/>
        <v>34.619999999999997</v>
      </c>
      <c r="L63" s="1">
        <f t="shared" si="35"/>
        <v>35.479999999999997</v>
      </c>
      <c r="M63" s="712">
        <v>2080</v>
      </c>
    </row>
    <row r="64" spans="1:13" x14ac:dyDescent="0.25">
      <c r="A64" s="270" t="s">
        <v>1711</v>
      </c>
      <c r="B64" s="1"/>
      <c r="C64" s="1">
        <f>ROUND((+C53/$M$64),2)</f>
        <v>28.86</v>
      </c>
      <c r="D64" s="1">
        <f t="shared" ref="D64:L64" si="36">ROUND((+D53/$M$64),2)</f>
        <v>29.58</v>
      </c>
      <c r="E64" s="1">
        <f t="shared" si="36"/>
        <v>30.32</v>
      </c>
      <c r="F64" s="1">
        <f t="shared" si="36"/>
        <v>31.08</v>
      </c>
      <c r="G64" s="1">
        <f t="shared" si="36"/>
        <v>31.86</v>
      </c>
      <c r="H64" s="1">
        <f t="shared" si="36"/>
        <v>32.49</v>
      </c>
      <c r="I64" s="1">
        <f t="shared" si="36"/>
        <v>33.14</v>
      </c>
      <c r="J64" s="1">
        <f t="shared" si="36"/>
        <v>33.81</v>
      </c>
      <c r="K64" s="1">
        <f t="shared" si="36"/>
        <v>34.479999999999997</v>
      </c>
      <c r="L64" s="1">
        <f t="shared" si="36"/>
        <v>35.340000000000003</v>
      </c>
      <c r="M64" s="712">
        <v>2088</v>
      </c>
    </row>
    <row r="65" spans="1:12" x14ac:dyDescent="0.25">
      <c r="A65" s="124" t="s">
        <v>1712</v>
      </c>
      <c r="B65" s="712">
        <v>52.2</v>
      </c>
      <c r="C65" s="202" t="s">
        <v>1713</v>
      </c>
      <c r="G65" s="64"/>
      <c r="H65" s="64"/>
      <c r="I65" s="64"/>
      <c r="J65" s="64"/>
      <c r="K65" s="64"/>
    </row>
    <row r="66" spans="1:12" x14ac:dyDescent="0.25">
      <c r="A66" s="281"/>
      <c r="G66" s="290"/>
    </row>
    <row r="67" spans="1:12" x14ac:dyDescent="0.25">
      <c r="A67" s="281" t="s">
        <v>1715</v>
      </c>
      <c r="G67" s="290"/>
    </row>
    <row r="68" spans="1:12" x14ac:dyDescent="0.25">
      <c r="B68" s="202" t="s">
        <v>1672</v>
      </c>
    </row>
    <row r="69" spans="1:12" x14ac:dyDescent="0.25">
      <c r="A69" s="270" t="s">
        <v>1699</v>
      </c>
      <c r="B69" s="757">
        <v>1</v>
      </c>
      <c r="C69" s="757">
        <v>2</v>
      </c>
      <c r="D69" s="757">
        <v>3</v>
      </c>
      <c r="E69" s="757">
        <v>4</v>
      </c>
      <c r="F69" s="757">
        <v>5</v>
      </c>
      <c r="G69" s="757">
        <v>6</v>
      </c>
      <c r="H69" s="757">
        <v>7</v>
      </c>
      <c r="I69" s="757">
        <v>8</v>
      </c>
      <c r="J69" s="757">
        <v>9</v>
      </c>
      <c r="K69" s="757">
        <v>10</v>
      </c>
      <c r="L69" s="757">
        <v>11</v>
      </c>
    </row>
    <row r="70" spans="1:12" x14ac:dyDescent="0.25">
      <c r="A70" s="270" t="s">
        <v>1599</v>
      </c>
      <c r="B70" s="218"/>
      <c r="C70" s="218">
        <f>ROUND((+C92*1.015),2)</f>
        <v>15.49</v>
      </c>
      <c r="D70" s="218">
        <f t="shared" ref="D70:L70" si="37">ROUND((+D92*1.015),2)</f>
        <v>15.86</v>
      </c>
      <c r="E70" s="218">
        <f t="shared" si="37"/>
        <v>16.29</v>
      </c>
      <c r="F70" s="218">
        <f t="shared" si="37"/>
        <v>16.66</v>
      </c>
      <c r="G70" s="218">
        <f t="shared" si="37"/>
        <v>17.09</v>
      </c>
      <c r="H70" s="218">
        <f t="shared" si="37"/>
        <v>17.48</v>
      </c>
      <c r="I70" s="218">
        <f t="shared" si="37"/>
        <v>17.86</v>
      </c>
      <c r="J70" s="218">
        <f t="shared" si="37"/>
        <v>18.23</v>
      </c>
      <c r="K70" s="218">
        <f t="shared" si="37"/>
        <v>18.59</v>
      </c>
      <c r="L70" s="218">
        <f t="shared" si="37"/>
        <v>19.059999999999999</v>
      </c>
    </row>
    <row r="71" spans="1:12" x14ac:dyDescent="0.25">
      <c r="A71" s="270" t="s">
        <v>1603</v>
      </c>
      <c r="B71" s="218"/>
      <c r="C71" s="218">
        <f t="shared" ref="C71:L71" si="38">ROUND((+C93*1.015),2)</f>
        <v>18.260000000000002</v>
      </c>
      <c r="D71" s="218">
        <f t="shared" si="38"/>
        <v>18.71</v>
      </c>
      <c r="E71" s="218">
        <f t="shared" si="38"/>
        <v>19.170000000000002</v>
      </c>
      <c r="F71" s="218">
        <f t="shared" si="38"/>
        <v>19.66</v>
      </c>
      <c r="G71" s="218">
        <f t="shared" si="38"/>
        <v>20.149999999999999</v>
      </c>
      <c r="H71" s="218">
        <f t="shared" si="38"/>
        <v>20.67</v>
      </c>
      <c r="I71" s="218">
        <f t="shared" si="38"/>
        <v>21.06</v>
      </c>
      <c r="J71" s="218">
        <f t="shared" si="38"/>
        <v>21.5</v>
      </c>
      <c r="K71" s="218">
        <f t="shared" si="38"/>
        <v>21.92</v>
      </c>
      <c r="L71" s="218">
        <f t="shared" si="38"/>
        <v>22.47</v>
      </c>
    </row>
    <row r="72" spans="1:12" x14ac:dyDescent="0.25">
      <c r="A72" s="270" t="s">
        <v>1609</v>
      </c>
      <c r="B72" s="218"/>
      <c r="C72" s="218">
        <f t="shared" ref="C72:L72" si="39">ROUND((+C94*1.015),2)</f>
        <v>19.649999999999999</v>
      </c>
      <c r="D72" s="218">
        <f t="shared" si="39"/>
        <v>20.13</v>
      </c>
      <c r="E72" s="218">
        <f t="shared" si="39"/>
        <v>20.65</v>
      </c>
      <c r="F72" s="218">
        <f t="shared" si="39"/>
        <v>21.14</v>
      </c>
      <c r="G72" s="218">
        <f t="shared" si="39"/>
        <v>21.7</v>
      </c>
      <c r="H72" s="218">
        <f t="shared" si="39"/>
        <v>22.21</v>
      </c>
      <c r="I72" s="218">
        <f t="shared" si="39"/>
        <v>22.68</v>
      </c>
      <c r="J72" s="218">
        <f t="shared" si="39"/>
        <v>23.12</v>
      </c>
      <c r="K72" s="218">
        <f t="shared" si="39"/>
        <v>23.58</v>
      </c>
      <c r="L72" s="218">
        <f t="shared" si="39"/>
        <v>24.17</v>
      </c>
    </row>
    <row r="73" spans="1:12" x14ac:dyDescent="0.25">
      <c r="A73" s="270" t="s">
        <v>1612</v>
      </c>
      <c r="B73" s="218"/>
      <c r="C73" s="218">
        <f t="shared" ref="C73:L73" si="40">ROUND((+C95*1.015),2)</f>
        <v>21.41</v>
      </c>
      <c r="D73" s="218">
        <f t="shared" si="40"/>
        <v>21.94</v>
      </c>
      <c r="E73" s="218">
        <f t="shared" si="40"/>
        <v>22.49</v>
      </c>
      <c r="F73" s="218">
        <f t="shared" si="40"/>
        <v>23.05</v>
      </c>
      <c r="G73" s="218">
        <f t="shared" si="40"/>
        <v>23.64</v>
      </c>
      <c r="H73" s="218">
        <f t="shared" si="40"/>
        <v>24.23</v>
      </c>
      <c r="I73" s="218">
        <f t="shared" si="40"/>
        <v>24.71</v>
      </c>
      <c r="J73" s="218">
        <f t="shared" si="40"/>
        <v>25.21</v>
      </c>
      <c r="K73" s="218">
        <f t="shared" si="40"/>
        <v>25.7</v>
      </c>
      <c r="L73" s="218">
        <f t="shared" si="40"/>
        <v>26.34</v>
      </c>
    </row>
    <row r="74" spans="1:12" x14ac:dyDescent="0.25">
      <c r="A74" s="270" t="s">
        <v>1700</v>
      </c>
      <c r="B74" s="218"/>
      <c r="C74" s="218">
        <f t="shared" ref="C74:L74" si="41">ROUND((+C96*1.015),2)</f>
        <v>23.11</v>
      </c>
      <c r="D74" s="218">
        <f t="shared" si="41"/>
        <v>23.7</v>
      </c>
      <c r="E74" s="218">
        <f t="shared" si="41"/>
        <v>24.28</v>
      </c>
      <c r="F74" s="218">
        <f t="shared" si="41"/>
        <v>24.89</v>
      </c>
      <c r="G74" s="218">
        <f t="shared" si="41"/>
        <v>25.51</v>
      </c>
      <c r="H74" s="218">
        <f t="shared" si="41"/>
        <v>26.15</v>
      </c>
      <c r="I74" s="218">
        <f t="shared" si="41"/>
        <v>26.67</v>
      </c>
      <c r="J74" s="218">
        <f t="shared" si="41"/>
        <v>27.21</v>
      </c>
      <c r="K74" s="218">
        <f t="shared" si="41"/>
        <v>27.75</v>
      </c>
      <c r="L74" s="218">
        <f t="shared" si="41"/>
        <v>28.44</v>
      </c>
    </row>
    <row r="75" spans="1:12" x14ac:dyDescent="0.25">
      <c r="A75" s="270" t="s">
        <v>1701</v>
      </c>
      <c r="B75" s="282"/>
      <c r="C75" s="561">
        <f>ROUND((+C97*1.015),0)</f>
        <v>58508</v>
      </c>
      <c r="D75" s="561">
        <f t="shared" ref="D75:L75" si="42">ROUND((+D97*1.015),0)</f>
        <v>59968</v>
      </c>
      <c r="E75" s="561">
        <f t="shared" si="42"/>
        <v>61468</v>
      </c>
      <c r="F75" s="561">
        <f t="shared" si="42"/>
        <v>63005</v>
      </c>
      <c r="G75" s="561">
        <f t="shared" si="42"/>
        <v>64581</v>
      </c>
      <c r="H75" s="561">
        <f t="shared" si="42"/>
        <v>65871</v>
      </c>
      <c r="I75" s="561">
        <f t="shared" si="42"/>
        <v>67190</v>
      </c>
      <c r="J75" s="561">
        <f t="shared" si="42"/>
        <v>68533</v>
      </c>
      <c r="K75" s="561">
        <f t="shared" si="42"/>
        <v>69903</v>
      </c>
      <c r="L75" s="561">
        <f t="shared" si="42"/>
        <v>71650</v>
      </c>
    </row>
    <row r="76" spans="1:12" x14ac:dyDescent="0.25">
      <c r="A76" s="270" t="s">
        <v>1702</v>
      </c>
      <c r="B76" s="282"/>
      <c r="C76" s="561">
        <f>ROUND((+C98*1.015),0)</f>
        <v>62170</v>
      </c>
      <c r="D76" s="561">
        <f t="shared" ref="D76:L76" si="43">ROUND((+D98*1.015),0)</f>
        <v>63725</v>
      </c>
      <c r="E76" s="561">
        <f t="shared" si="43"/>
        <v>65317</v>
      </c>
      <c r="F76" s="561">
        <f t="shared" si="43"/>
        <v>66949</v>
      </c>
      <c r="G76" s="561">
        <f t="shared" si="43"/>
        <v>68624</v>
      </c>
      <c r="H76" s="561">
        <f t="shared" si="43"/>
        <v>69997</v>
      </c>
      <c r="I76" s="561">
        <f t="shared" si="43"/>
        <v>71396</v>
      </c>
      <c r="J76" s="561">
        <f t="shared" si="43"/>
        <v>72824</v>
      </c>
      <c r="K76" s="561">
        <f t="shared" si="43"/>
        <v>74282</v>
      </c>
      <c r="L76" s="561">
        <f t="shared" si="43"/>
        <v>76139</v>
      </c>
    </row>
    <row r="77" spans="1:12" x14ac:dyDescent="0.25">
      <c r="A77" s="270" t="s">
        <v>1703</v>
      </c>
      <c r="B77" s="530"/>
      <c r="C77" s="530"/>
      <c r="D77" s="530"/>
      <c r="E77" s="530"/>
      <c r="F77" s="530"/>
      <c r="G77" s="531">
        <f>+ROUND((((+G76*1.085)/$B$109)/37.69),2)</f>
        <v>37.85</v>
      </c>
      <c r="H77" s="531">
        <f t="shared" ref="H77:L77" si="44">+ROUND((((+H76*1.085)/$B$109)/37.69),2)</f>
        <v>38.6</v>
      </c>
      <c r="I77" s="531">
        <f t="shared" si="44"/>
        <v>39.369999999999997</v>
      </c>
      <c r="J77" s="531">
        <f t="shared" si="44"/>
        <v>40.159999999999997</v>
      </c>
      <c r="K77" s="531">
        <f t="shared" si="44"/>
        <v>40.97</v>
      </c>
      <c r="L77" s="531">
        <f t="shared" si="44"/>
        <v>41.99</v>
      </c>
    </row>
    <row r="78" spans="1:12" x14ac:dyDescent="0.25">
      <c r="A78" s="270" t="s">
        <v>1704</v>
      </c>
      <c r="B78" s="282"/>
      <c r="C78" s="561">
        <f t="shared" ref="C78:L78" si="45">ROUND((+C100*1.015),0)</f>
        <v>79022</v>
      </c>
      <c r="D78" s="561">
        <f t="shared" si="45"/>
        <v>80996</v>
      </c>
      <c r="E78" s="561">
        <f t="shared" si="45"/>
        <v>83024</v>
      </c>
      <c r="F78" s="561">
        <f t="shared" si="45"/>
        <v>85099</v>
      </c>
      <c r="G78" s="561">
        <f t="shared" si="45"/>
        <v>87227</v>
      </c>
      <c r="H78" s="561">
        <f t="shared" si="45"/>
        <v>89407</v>
      </c>
      <c r="I78" s="561">
        <f t="shared" si="45"/>
        <v>91196</v>
      </c>
      <c r="J78" s="561">
        <f t="shared" si="45"/>
        <v>93018</v>
      </c>
      <c r="K78" s="561">
        <f t="shared" si="45"/>
        <v>94878</v>
      </c>
      <c r="L78" s="561">
        <f t="shared" si="45"/>
        <v>97250</v>
      </c>
    </row>
    <row r="79" spans="1:12" x14ac:dyDescent="0.25">
      <c r="A79" s="270" t="s">
        <v>1705</v>
      </c>
      <c r="B79" s="282"/>
      <c r="C79" s="561">
        <f t="shared" ref="C79:L79" si="46">ROUND((+C101*1.015),0)</f>
        <v>86924</v>
      </c>
      <c r="D79" s="561">
        <f t="shared" si="46"/>
        <v>89098</v>
      </c>
      <c r="E79" s="561">
        <f t="shared" si="46"/>
        <v>91326</v>
      </c>
      <c r="F79" s="561">
        <f t="shared" si="46"/>
        <v>93607</v>
      </c>
      <c r="G79" s="561">
        <f t="shared" si="46"/>
        <v>95947</v>
      </c>
      <c r="H79" s="561">
        <f t="shared" si="46"/>
        <v>98345</v>
      </c>
      <c r="I79" s="561">
        <f t="shared" si="46"/>
        <v>100314</v>
      </c>
      <c r="J79" s="561">
        <f t="shared" si="46"/>
        <v>102319</v>
      </c>
      <c r="K79" s="561">
        <f t="shared" si="46"/>
        <v>104366</v>
      </c>
      <c r="L79" s="561">
        <f t="shared" si="46"/>
        <v>106976</v>
      </c>
    </row>
    <row r="80" spans="1:12" x14ac:dyDescent="0.25">
      <c r="A80" s="270" t="s">
        <v>1706</v>
      </c>
      <c r="B80" s="282"/>
      <c r="C80" s="561">
        <f t="shared" ref="C80:L80" si="47">ROUND((+C102*1.015),0)</f>
        <v>95616</v>
      </c>
      <c r="D80" s="561">
        <f t="shared" si="47"/>
        <v>98008</v>
      </c>
      <c r="E80" s="561">
        <f t="shared" si="47"/>
        <v>100458</v>
      </c>
      <c r="F80" s="561">
        <f t="shared" si="47"/>
        <v>102969</v>
      </c>
      <c r="G80" s="561">
        <f t="shared" si="47"/>
        <v>105544</v>
      </c>
      <c r="H80" s="561">
        <f t="shared" si="47"/>
        <v>108182</v>
      </c>
      <c r="I80" s="561">
        <f t="shared" si="47"/>
        <v>110344</v>
      </c>
      <c r="J80" s="561">
        <f t="shared" si="47"/>
        <v>112552</v>
      </c>
      <c r="K80" s="561">
        <f t="shared" si="47"/>
        <v>114804</v>
      </c>
      <c r="L80" s="561">
        <f t="shared" si="47"/>
        <v>117673</v>
      </c>
    </row>
    <row r="82" spans="1:13" x14ac:dyDescent="0.25">
      <c r="A82" s="270" t="s">
        <v>762</v>
      </c>
      <c r="B82" s="202" t="s">
        <v>1707</v>
      </c>
    </row>
    <row r="83" spans="1:13" x14ac:dyDescent="0.25">
      <c r="A83" s="270" t="s">
        <v>1699</v>
      </c>
      <c r="B83" s="757">
        <v>1</v>
      </c>
      <c r="C83" s="757">
        <v>2</v>
      </c>
      <c r="D83" s="757">
        <v>3</v>
      </c>
      <c r="E83" s="757">
        <v>4</v>
      </c>
      <c r="F83" s="757">
        <v>5</v>
      </c>
      <c r="G83" s="757">
        <v>6</v>
      </c>
      <c r="H83" s="757">
        <v>7</v>
      </c>
      <c r="I83" s="757">
        <v>8</v>
      </c>
      <c r="J83" s="757">
        <v>9</v>
      </c>
      <c r="K83" s="757">
        <v>10</v>
      </c>
      <c r="L83" s="757">
        <v>11</v>
      </c>
      <c r="M83" t="s">
        <v>1708</v>
      </c>
    </row>
    <row r="84" spans="1:13" x14ac:dyDescent="0.25">
      <c r="A84" s="270" t="s">
        <v>1709</v>
      </c>
      <c r="B84" s="805"/>
      <c r="C84" s="1">
        <f>ROUND((+C75/+$M$84),2)</f>
        <v>32.020000000000003</v>
      </c>
      <c r="D84" s="1">
        <f t="shared" ref="D84:L84" si="48">ROUND((+D75/+$M$84),2)</f>
        <v>32.82</v>
      </c>
      <c r="E84" s="1">
        <f t="shared" si="48"/>
        <v>33.64</v>
      </c>
      <c r="F84" s="1">
        <f t="shared" si="48"/>
        <v>34.49</v>
      </c>
      <c r="G84" s="1">
        <f t="shared" si="48"/>
        <v>35.35</v>
      </c>
      <c r="H84" s="1">
        <f t="shared" si="48"/>
        <v>36.049999999999997</v>
      </c>
      <c r="I84" s="1">
        <f t="shared" si="48"/>
        <v>36.78</v>
      </c>
      <c r="J84" s="1">
        <f t="shared" si="48"/>
        <v>37.51</v>
      </c>
      <c r="K84" s="1">
        <f t="shared" si="48"/>
        <v>38.26</v>
      </c>
      <c r="L84" s="1">
        <f t="shared" si="48"/>
        <v>39.22</v>
      </c>
      <c r="M84" s="712">
        <v>1827</v>
      </c>
    </row>
    <row r="85" spans="1:13" x14ac:dyDescent="0.25">
      <c r="A85" s="270" t="s">
        <v>1710</v>
      </c>
      <c r="B85" s="805"/>
      <c r="C85" s="1">
        <f>ROUND((+C75/$M$85),2)</f>
        <v>27.99</v>
      </c>
      <c r="D85" s="1">
        <f t="shared" ref="D85:L85" si="49">ROUND((+D75/$M$85),2)</f>
        <v>28.69</v>
      </c>
      <c r="E85" s="1">
        <f t="shared" si="49"/>
        <v>29.41</v>
      </c>
      <c r="F85" s="1">
        <f t="shared" si="49"/>
        <v>30.15</v>
      </c>
      <c r="G85" s="1">
        <f t="shared" si="49"/>
        <v>30.9</v>
      </c>
      <c r="H85" s="1">
        <f t="shared" si="49"/>
        <v>31.52</v>
      </c>
      <c r="I85" s="1">
        <f t="shared" si="49"/>
        <v>32.15</v>
      </c>
      <c r="J85" s="1">
        <f t="shared" si="49"/>
        <v>32.79</v>
      </c>
      <c r="K85" s="1">
        <f t="shared" si="49"/>
        <v>33.450000000000003</v>
      </c>
      <c r="L85" s="1">
        <f t="shared" si="49"/>
        <v>34.28</v>
      </c>
      <c r="M85" s="712">
        <v>2090</v>
      </c>
    </row>
    <row r="86" spans="1:13" x14ac:dyDescent="0.25">
      <c r="A86" s="270" t="s">
        <v>1711</v>
      </c>
      <c r="B86" s="805"/>
      <c r="C86" s="1">
        <f>ROUND((+C75/$M$86),2)</f>
        <v>28.02</v>
      </c>
      <c r="D86" s="1">
        <f t="shared" ref="D86:L86" si="50">ROUND((+D75/$M$86),2)</f>
        <v>28.72</v>
      </c>
      <c r="E86" s="1">
        <f t="shared" si="50"/>
        <v>29.44</v>
      </c>
      <c r="F86" s="1">
        <f t="shared" si="50"/>
        <v>30.17</v>
      </c>
      <c r="G86" s="1">
        <f t="shared" si="50"/>
        <v>30.93</v>
      </c>
      <c r="H86" s="1">
        <f t="shared" si="50"/>
        <v>31.55</v>
      </c>
      <c r="I86" s="1">
        <f t="shared" si="50"/>
        <v>32.18</v>
      </c>
      <c r="J86" s="1">
        <f t="shared" si="50"/>
        <v>32.82</v>
      </c>
      <c r="K86" s="1">
        <f t="shared" si="50"/>
        <v>33.479999999999997</v>
      </c>
      <c r="L86" s="1">
        <f t="shared" si="50"/>
        <v>34.32</v>
      </c>
      <c r="M86" s="712">
        <v>2088</v>
      </c>
    </row>
    <row r="87" spans="1:13" x14ac:dyDescent="0.25">
      <c r="A87" s="124" t="s">
        <v>1712</v>
      </c>
      <c r="B87" s="712">
        <v>52.2</v>
      </c>
      <c r="C87" s="202" t="s">
        <v>1713</v>
      </c>
      <c r="G87" s="64"/>
      <c r="H87" s="64"/>
      <c r="I87" s="64"/>
      <c r="J87" s="64"/>
      <c r="K87" s="64"/>
    </row>
    <row r="88" spans="1:13" x14ac:dyDescent="0.25">
      <c r="A88" s="281"/>
      <c r="G88" s="290"/>
    </row>
    <row r="89" spans="1:13" x14ac:dyDescent="0.25">
      <c r="A89" s="281" t="s">
        <v>1716</v>
      </c>
      <c r="G89" s="290"/>
    </row>
    <row r="90" spans="1:13" x14ac:dyDescent="0.25">
      <c r="B90" s="202" t="s">
        <v>1672</v>
      </c>
    </row>
    <row r="91" spans="1:13" x14ac:dyDescent="0.25">
      <c r="A91" s="270" t="s">
        <v>1699</v>
      </c>
      <c r="B91" s="757">
        <v>1</v>
      </c>
      <c r="C91" s="757">
        <v>2</v>
      </c>
      <c r="D91" s="757">
        <v>3</v>
      </c>
      <c r="E91" s="757">
        <v>4</v>
      </c>
      <c r="F91" s="757">
        <v>5</v>
      </c>
      <c r="G91" s="757">
        <v>6</v>
      </c>
      <c r="H91" s="757">
        <v>7</v>
      </c>
      <c r="I91" s="757">
        <v>8</v>
      </c>
      <c r="J91" s="757">
        <v>9</v>
      </c>
      <c r="K91" s="757">
        <v>10</v>
      </c>
      <c r="L91" s="757">
        <v>11</v>
      </c>
    </row>
    <row r="92" spans="1:13" x14ac:dyDescent="0.25">
      <c r="A92" s="270" t="s">
        <v>1599</v>
      </c>
      <c r="B92" s="218"/>
      <c r="C92" s="218">
        <f>ROUND((+C114*1.015),2)</f>
        <v>15.26</v>
      </c>
      <c r="D92" s="218">
        <f t="shared" ref="D92:L92" si="51">ROUND((+D114*1.015),2)</f>
        <v>15.63</v>
      </c>
      <c r="E92" s="218">
        <f t="shared" si="51"/>
        <v>16.05</v>
      </c>
      <c r="F92" s="218">
        <f t="shared" si="51"/>
        <v>16.41</v>
      </c>
      <c r="G92" s="218">
        <f t="shared" si="51"/>
        <v>16.84</v>
      </c>
      <c r="H92" s="218">
        <f t="shared" si="51"/>
        <v>17.22</v>
      </c>
      <c r="I92" s="218">
        <f t="shared" si="51"/>
        <v>17.600000000000001</v>
      </c>
      <c r="J92" s="218">
        <f t="shared" si="51"/>
        <v>17.96</v>
      </c>
      <c r="K92" s="218">
        <f t="shared" si="51"/>
        <v>18.32</v>
      </c>
      <c r="L92" s="218">
        <f t="shared" si="51"/>
        <v>18.78</v>
      </c>
    </row>
    <row r="93" spans="1:13" x14ac:dyDescent="0.25">
      <c r="A93" s="270" t="s">
        <v>1603</v>
      </c>
      <c r="B93" s="218"/>
      <c r="C93" s="218">
        <f t="shared" ref="C93:L96" si="52">ROUND((+C115*1.015),2)</f>
        <v>17.989999999999998</v>
      </c>
      <c r="D93" s="218">
        <f t="shared" si="52"/>
        <v>18.43</v>
      </c>
      <c r="E93" s="218">
        <f t="shared" si="52"/>
        <v>18.89</v>
      </c>
      <c r="F93" s="218">
        <f t="shared" si="52"/>
        <v>19.37</v>
      </c>
      <c r="G93" s="218">
        <f t="shared" si="52"/>
        <v>19.850000000000001</v>
      </c>
      <c r="H93" s="218">
        <f t="shared" si="52"/>
        <v>20.36</v>
      </c>
      <c r="I93" s="218">
        <f t="shared" si="52"/>
        <v>20.75</v>
      </c>
      <c r="J93" s="218">
        <f t="shared" si="52"/>
        <v>21.18</v>
      </c>
      <c r="K93" s="218">
        <f t="shared" si="52"/>
        <v>21.6</v>
      </c>
      <c r="L93" s="218">
        <f t="shared" si="52"/>
        <v>22.14</v>
      </c>
    </row>
    <row r="94" spans="1:13" x14ac:dyDescent="0.25">
      <c r="A94" s="270" t="s">
        <v>1609</v>
      </c>
      <c r="B94" s="218"/>
      <c r="C94" s="218">
        <f t="shared" si="52"/>
        <v>19.36</v>
      </c>
      <c r="D94" s="218">
        <f t="shared" si="52"/>
        <v>19.829999999999998</v>
      </c>
      <c r="E94" s="218">
        <f t="shared" si="52"/>
        <v>20.34</v>
      </c>
      <c r="F94" s="218">
        <f t="shared" si="52"/>
        <v>20.83</v>
      </c>
      <c r="G94" s="218">
        <f t="shared" si="52"/>
        <v>21.38</v>
      </c>
      <c r="H94" s="218">
        <f t="shared" si="52"/>
        <v>21.88</v>
      </c>
      <c r="I94" s="218">
        <f t="shared" si="52"/>
        <v>22.34</v>
      </c>
      <c r="J94" s="218">
        <f t="shared" si="52"/>
        <v>22.78</v>
      </c>
      <c r="K94" s="218">
        <f t="shared" si="52"/>
        <v>23.23</v>
      </c>
      <c r="L94" s="218">
        <f t="shared" si="52"/>
        <v>23.81</v>
      </c>
    </row>
    <row r="95" spans="1:13" x14ac:dyDescent="0.25">
      <c r="A95" s="270" t="s">
        <v>1612</v>
      </c>
      <c r="B95" s="218"/>
      <c r="C95" s="218">
        <f t="shared" si="52"/>
        <v>21.09</v>
      </c>
      <c r="D95" s="218">
        <f t="shared" si="52"/>
        <v>21.62</v>
      </c>
      <c r="E95" s="218">
        <f t="shared" si="52"/>
        <v>22.16</v>
      </c>
      <c r="F95" s="218">
        <f t="shared" si="52"/>
        <v>22.71</v>
      </c>
      <c r="G95" s="218">
        <f t="shared" si="52"/>
        <v>23.29</v>
      </c>
      <c r="H95" s="218">
        <f t="shared" si="52"/>
        <v>23.87</v>
      </c>
      <c r="I95" s="218">
        <f t="shared" si="52"/>
        <v>24.34</v>
      </c>
      <c r="J95" s="218">
        <f t="shared" si="52"/>
        <v>24.84</v>
      </c>
      <c r="K95" s="218">
        <f t="shared" si="52"/>
        <v>25.32</v>
      </c>
      <c r="L95" s="218">
        <f t="shared" si="52"/>
        <v>25.95</v>
      </c>
    </row>
    <row r="96" spans="1:13" x14ac:dyDescent="0.25">
      <c r="A96" s="270" t="s">
        <v>1700</v>
      </c>
      <c r="B96" s="218"/>
      <c r="C96" s="218">
        <f t="shared" si="52"/>
        <v>22.77</v>
      </c>
      <c r="D96" s="218">
        <f t="shared" si="52"/>
        <v>23.35</v>
      </c>
      <c r="E96" s="218">
        <f t="shared" si="52"/>
        <v>23.92</v>
      </c>
      <c r="F96" s="218">
        <f t="shared" si="52"/>
        <v>24.52</v>
      </c>
      <c r="G96" s="218">
        <f t="shared" si="52"/>
        <v>25.13</v>
      </c>
      <c r="H96" s="218">
        <f t="shared" si="52"/>
        <v>25.76</v>
      </c>
      <c r="I96" s="218">
        <f t="shared" si="52"/>
        <v>26.28</v>
      </c>
      <c r="J96" s="218">
        <f t="shared" si="52"/>
        <v>26.81</v>
      </c>
      <c r="K96" s="218">
        <f t="shared" si="52"/>
        <v>27.34</v>
      </c>
      <c r="L96" s="218">
        <f t="shared" si="52"/>
        <v>28.02</v>
      </c>
    </row>
    <row r="97" spans="1:12" x14ac:dyDescent="0.25">
      <c r="A97" s="270" t="s">
        <v>1701</v>
      </c>
      <c r="B97" s="282"/>
      <c r="C97" s="561">
        <f>ROUND((+C119*1.015),0)</f>
        <v>57643</v>
      </c>
      <c r="D97" s="561">
        <f t="shared" ref="D97:L97" si="53">ROUND((+D119*1.015),0)</f>
        <v>59082</v>
      </c>
      <c r="E97" s="561">
        <f t="shared" si="53"/>
        <v>60560</v>
      </c>
      <c r="F97" s="561">
        <f t="shared" si="53"/>
        <v>62074</v>
      </c>
      <c r="G97" s="561">
        <f t="shared" si="53"/>
        <v>63627</v>
      </c>
      <c r="H97" s="561">
        <f t="shared" si="53"/>
        <v>64898</v>
      </c>
      <c r="I97" s="561">
        <f t="shared" si="53"/>
        <v>66197</v>
      </c>
      <c r="J97" s="561">
        <f t="shared" si="53"/>
        <v>67520</v>
      </c>
      <c r="K97" s="561">
        <f t="shared" si="53"/>
        <v>68870</v>
      </c>
      <c r="L97" s="561">
        <f t="shared" si="53"/>
        <v>70591</v>
      </c>
    </row>
    <row r="98" spans="1:12" x14ac:dyDescent="0.25">
      <c r="A98" s="270" t="s">
        <v>1702</v>
      </c>
      <c r="B98" s="282"/>
      <c r="C98" s="561">
        <f>ROUND((+C120*1.015),0)</f>
        <v>61251</v>
      </c>
      <c r="D98" s="561">
        <f t="shared" ref="D98:L98" si="54">ROUND((+D120*1.015),0)</f>
        <v>62783</v>
      </c>
      <c r="E98" s="561">
        <f t="shared" si="54"/>
        <v>64352</v>
      </c>
      <c r="F98" s="561">
        <f t="shared" si="54"/>
        <v>65960</v>
      </c>
      <c r="G98" s="561">
        <f t="shared" si="54"/>
        <v>67610</v>
      </c>
      <c r="H98" s="561">
        <f t="shared" si="54"/>
        <v>68963</v>
      </c>
      <c r="I98" s="561">
        <f t="shared" si="54"/>
        <v>70341</v>
      </c>
      <c r="J98" s="561">
        <f t="shared" si="54"/>
        <v>71748</v>
      </c>
      <c r="K98" s="561">
        <f t="shared" si="54"/>
        <v>73184</v>
      </c>
      <c r="L98" s="561">
        <f t="shared" si="54"/>
        <v>75014</v>
      </c>
    </row>
    <row r="99" spans="1:12" x14ac:dyDescent="0.25">
      <c r="A99" s="270" t="s">
        <v>1703</v>
      </c>
      <c r="B99" s="530"/>
      <c r="C99" s="530"/>
      <c r="D99" s="530"/>
      <c r="E99" s="530"/>
      <c r="F99" s="530"/>
      <c r="G99" s="531">
        <f>+ROUND((((+G98*1.085)/$B$109)/37.69),2)</f>
        <v>37.29</v>
      </c>
      <c r="H99" s="531">
        <f t="shared" ref="H99:L99" si="55">+ROUND((((+H98*1.085)/$B$109)/37.69),2)</f>
        <v>38.03</v>
      </c>
      <c r="I99" s="531">
        <f t="shared" si="55"/>
        <v>38.79</v>
      </c>
      <c r="J99" s="531">
        <f t="shared" si="55"/>
        <v>39.57</v>
      </c>
      <c r="K99" s="531">
        <f t="shared" si="55"/>
        <v>40.36</v>
      </c>
      <c r="L99" s="531">
        <f t="shared" si="55"/>
        <v>41.37</v>
      </c>
    </row>
    <row r="100" spans="1:12" x14ac:dyDescent="0.25">
      <c r="A100" s="270" t="s">
        <v>1704</v>
      </c>
      <c r="B100" s="282"/>
      <c r="C100" s="561">
        <f t="shared" ref="C100:L102" si="56">ROUND((+C122*1.015),0)</f>
        <v>77854</v>
      </c>
      <c r="D100" s="561">
        <f t="shared" si="56"/>
        <v>79799</v>
      </c>
      <c r="E100" s="561">
        <f t="shared" si="56"/>
        <v>81797</v>
      </c>
      <c r="F100" s="561">
        <f t="shared" si="56"/>
        <v>83841</v>
      </c>
      <c r="G100" s="561">
        <f t="shared" si="56"/>
        <v>85938</v>
      </c>
      <c r="H100" s="561">
        <f t="shared" si="56"/>
        <v>88086</v>
      </c>
      <c r="I100" s="561">
        <f t="shared" si="56"/>
        <v>89848</v>
      </c>
      <c r="J100" s="561">
        <f t="shared" si="56"/>
        <v>91643</v>
      </c>
      <c r="K100" s="561">
        <f t="shared" si="56"/>
        <v>93476</v>
      </c>
      <c r="L100" s="561">
        <f t="shared" si="56"/>
        <v>95813</v>
      </c>
    </row>
    <row r="101" spans="1:12" x14ac:dyDescent="0.25">
      <c r="A101" s="270" t="s">
        <v>1705</v>
      </c>
      <c r="B101" s="282"/>
      <c r="C101" s="561">
        <f t="shared" si="56"/>
        <v>85639</v>
      </c>
      <c r="D101" s="561">
        <f t="shared" si="56"/>
        <v>87781</v>
      </c>
      <c r="E101" s="561">
        <f t="shared" si="56"/>
        <v>89976</v>
      </c>
      <c r="F101" s="561">
        <f t="shared" si="56"/>
        <v>92224</v>
      </c>
      <c r="G101" s="561">
        <f t="shared" si="56"/>
        <v>94529</v>
      </c>
      <c r="H101" s="561">
        <f t="shared" si="56"/>
        <v>96892</v>
      </c>
      <c r="I101" s="561">
        <f t="shared" si="56"/>
        <v>98832</v>
      </c>
      <c r="J101" s="561">
        <f t="shared" si="56"/>
        <v>100807</v>
      </c>
      <c r="K101" s="561">
        <f t="shared" si="56"/>
        <v>102824</v>
      </c>
      <c r="L101" s="561">
        <f t="shared" si="56"/>
        <v>105395</v>
      </c>
    </row>
    <row r="102" spans="1:12" x14ac:dyDescent="0.25">
      <c r="A102" s="270" t="s">
        <v>1706</v>
      </c>
      <c r="B102" s="282"/>
      <c r="C102" s="561">
        <f t="shared" si="56"/>
        <v>94203</v>
      </c>
      <c r="D102" s="561">
        <f t="shared" si="56"/>
        <v>96560</v>
      </c>
      <c r="E102" s="561">
        <f t="shared" si="56"/>
        <v>98973</v>
      </c>
      <c r="F102" s="561">
        <f t="shared" si="56"/>
        <v>101447</v>
      </c>
      <c r="G102" s="561">
        <f t="shared" si="56"/>
        <v>103984</v>
      </c>
      <c r="H102" s="561">
        <f t="shared" si="56"/>
        <v>106583</v>
      </c>
      <c r="I102" s="561">
        <f t="shared" si="56"/>
        <v>108713</v>
      </c>
      <c r="J102" s="561">
        <f t="shared" si="56"/>
        <v>110889</v>
      </c>
      <c r="K102" s="561">
        <f t="shared" si="56"/>
        <v>113107</v>
      </c>
      <c r="L102" s="561">
        <f t="shared" si="56"/>
        <v>115934</v>
      </c>
    </row>
    <row r="104" spans="1:12" x14ac:dyDescent="0.25">
      <c r="A104" s="270" t="s">
        <v>762</v>
      </c>
      <c r="B104" s="202" t="s">
        <v>1707</v>
      </c>
    </row>
    <row r="105" spans="1:12" x14ac:dyDescent="0.25">
      <c r="A105" s="270" t="s">
        <v>1699</v>
      </c>
      <c r="B105" s="757">
        <v>1</v>
      </c>
      <c r="C105" s="757">
        <v>2</v>
      </c>
      <c r="D105" s="757">
        <v>3</v>
      </c>
      <c r="E105" s="757">
        <v>4</v>
      </c>
      <c r="F105" s="757">
        <v>5</v>
      </c>
      <c r="G105" s="757">
        <v>6</v>
      </c>
      <c r="H105" s="757">
        <v>7</v>
      </c>
      <c r="I105" s="757">
        <v>8</v>
      </c>
      <c r="J105" s="757">
        <v>9</v>
      </c>
      <c r="K105" s="757">
        <v>10</v>
      </c>
      <c r="L105" s="757">
        <v>11</v>
      </c>
    </row>
    <row r="106" spans="1:12" x14ac:dyDescent="0.25">
      <c r="A106" s="270" t="s">
        <v>1709</v>
      </c>
      <c r="B106" s="1"/>
      <c r="C106" s="1">
        <f>ROUND((+C97/+'To Do and Changes'!$E26),2)</f>
        <v>31.55</v>
      </c>
      <c r="D106" s="1">
        <f>ROUND((+D97/+'To Do and Changes'!$E26),2)</f>
        <v>32.340000000000003</v>
      </c>
      <c r="E106" s="1">
        <f>ROUND((+E97/+'To Do and Changes'!$E26),2)</f>
        <v>33.15</v>
      </c>
      <c r="F106" s="1">
        <f>ROUND((+F97/+'To Do and Changes'!$E26),2)</f>
        <v>33.979999999999997</v>
      </c>
      <c r="G106" s="1">
        <f>ROUND((+G97/+'To Do and Changes'!$E26),2)</f>
        <v>34.83</v>
      </c>
      <c r="H106" s="1">
        <f>ROUND((+H97/+'To Do and Changes'!$E26),2)</f>
        <v>35.520000000000003</v>
      </c>
      <c r="I106" s="1">
        <f>ROUND((+I97/+'To Do and Changes'!$E26),2)</f>
        <v>36.229999999999997</v>
      </c>
      <c r="J106" s="1">
        <f>ROUND((+J97/+'To Do and Changes'!$E26),2)</f>
        <v>36.96</v>
      </c>
      <c r="K106" s="1">
        <f>ROUND((+K97/+'To Do and Changes'!$E26),2)</f>
        <v>37.700000000000003</v>
      </c>
      <c r="L106" s="1">
        <f>ROUND((+L97/+'To Do and Changes'!$E26),2)</f>
        <v>38.64</v>
      </c>
    </row>
    <row r="107" spans="1:12" x14ac:dyDescent="0.25">
      <c r="A107" s="270" t="s">
        <v>1710</v>
      </c>
      <c r="B107" s="1"/>
      <c r="C107" s="1">
        <f>ROUND((+C97/'To Do and Changes'!$E29),2)</f>
        <v>27.58</v>
      </c>
      <c r="D107" s="1">
        <f>ROUND((+D97/'To Do and Changes'!$E29),2)</f>
        <v>28.27</v>
      </c>
      <c r="E107" s="1">
        <f>ROUND((+E97/'To Do and Changes'!$E29),2)</f>
        <v>28.98</v>
      </c>
      <c r="F107" s="1">
        <f>ROUND((+F97/'To Do and Changes'!$E29),2)</f>
        <v>29.7</v>
      </c>
      <c r="G107" s="1">
        <f>ROUND((+G97/'To Do and Changes'!$E29),2)</f>
        <v>30.44</v>
      </c>
      <c r="H107" s="1">
        <f>ROUND((+H97/'To Do and Changes'!$E29),2)</f>
        <v>31.05</v>
      </c>
      <c r="I107" s="1">
        <f>ROUND((+I97/'To Do and Changes'!$E29),2)</f>
        <v>31.67</v>
      </c>
      <c r="J107" s="1">
        <f>ROUND((+J97/'To Do and Changes'!$E29),2)</f>
        <v>32.31</v>
      </c>
      <c r="K107" s="1">
        <f>ROUND((+K97/'To Do and Changes'!$E29),2)</f>
        <v>32.950000000000003</v>
      </c>
      <c r="L107" s="1">
        <f>ROUND((+L97/'To Do and Changes'!$E29),2)</f>
        <v>33.78</v>
      </c>
    </row>
    <row r="108" spans="1:12" x14ac:dyDescent="0.25">
      <c r="A108" s="270" t="s">
        <v>1711</v>
      </c>
      <c r="B108" s="1"/>
      <c r="C108" s="1">
        <f>ROUND((+C97/+'To Do and Changes'!$E28),2)</f>
        <v>27.61</v>
      </c>
      <c r="D108" s="1">
        <f>ROUND((+D97/+'To Do and Changes'!$E28),2)</f>
        <v>28.3</v>
      </c>
      <c r="E108" s="1">
        <f>ROUND((+E97/+'To Do and Changes'!$E28),2)</f>
        <v>29</v>
      </c>
      <c r="F108" s="1">
        <f>ROUND((+F97/+'To Do and Changes'!$E28),2)</f>
        <v>29.73</v>
      </c>
      <c r="G108" s="1">
        <f>ROUND((+G97/+'To Do and Changes'!$E28),2)</f>
        <v>30.47</v>
      </c>
      <c r="H108" s="1">
        <f>ROUND((+H97/+'To Do and Changes'!$E28),2)</f>
        <v>31.08</v>
      </c>
      <c r="I108" s="1">
        <f>ROUND((+I97/+'To Do and Changes'!$E28),2)</f>
        <v>31.7</v>
      </c>
      <c r="J108" s="1">
        <f>ROUND((+J97/+'To Do and Changes'!$E28),2)</f>
        <v>32.340000000000003</v>
      </c>
      <c r="K108" s="1">
        <f>ROUND((+K97/+'To Do and Changes'!$E28),2)</f>
        <v>32.979999999999997</v>
      </c>
      <c r="L108" s="1">
        <f>ROUND((+L97/+'To Do and Changes'!$E28),2)</f>
        <v>33.81</v>
      </c>
    </row>
    <row r="109" spans="1:12" x14ac:dyDescent="0.25">
      <c r="A109" s="124" t="s">
        <v>1712</v>
      </c>
      <c r="B109" s="712">
        <v>52.2</v>
      </c>
      <c r="C109" s="202" t="s">
        <v>1713</v>
      </c>
      <c r="G109" s="64"/>
      <c r="H109" s="64"/>
      <c r="I109" s="64"/>
      <c r="J109" s="64"/>
      <c r="K109" s="64"/>
    </row>
    <row r="111" spans="1:12" x14ac:dyDescent="0.25">
      <c r="A111" s="281" t="s">
        <v>1717</v>
      </c>
    </row>
    <row r="112" spans="1:12" x14ac:dyDescent="0.25">
      <c r="B112" s="202" t="s">
        <v>1672</v>
      </c>
      <c r="L112" s="325" t="s">
        <v>1718</v>
      </c>
    </row>
    <row r="113" spans="1:12" x14ac:dyDescent="0.25">
      <c r="A113" s="270" t="s">
        <v>1699</v>
      </c>
      <c r="B113" s="757">
        <v>1</v>
      </c>
      <c r="C113" s="757">
        <v>2</v>
      </c>
      <c r="D113" s="757">
        <v>3</v>
      </c>
      <c r="E113" s="757">
        <v>4</v>
      </c>
      <c r="F113" s="757">
        <v>5</v>
      </c>
      <c r="G113" s="757">
        <v>6</v>
      </c>
      <c r="H113" s="757">
        <v>7</v>
      </c>
      <c r="I113" s="757">
        <v>8</v>
      </c>
      <c r="J113" s="757">
        <v>9</v>
      </c>
      <c r="K113" s="757">
        <v>10</v>
      </c>
      <c r="L113" s="757">
        <v>11</v>
      </c>
    </row>
    <row r="114" spans="1:12" x14ac:dyDescent="0.25">
      <c r="A114" s="270" t="s">
        <v>1599</v>
      </c>
      <c r="B114" s="218"/>
      <c r="C114" s="218">
        <f t="shared" ref="C114:K114" si="57">ROUND((+C136*1.01),2)</f>
        <v>15.03</v>
      </c>
      <c r="D114" s="218">
        <f t="shared" si="57"/>
        <v>15.4</v>
      </c>
      <c r="E114" s="218">
        <f t="shared" si="57"/>
        <v>15.81</v>
      </c>
      <c r="F114" s="218">
        <f t="shared" si="57"/>
        <v>16.170000000000002</v>
      </c>
      <c r="G114" s="218">
        <f t="shared" si="57"/>
        <v>16.59</v>
      </c>
      <c r="H114" s="218">
        <f t="shared" si="57"/>
        <v>16.97</v>
      </c>
      <c r="I114" s="218">
        <f t="shared" si="57"/>
        <v>17.34</v>
      </c>
      <c r="J114" s="218">
        <f t="shared" si="57"/>
        <v>17.690000000000001</v>
      </c>
      <c r="K114" s="218">
        <f t="shared" si="57"/>
        <v>18.05</v>
      </c>
      <c r="L114" s="563">
        <f>ROUND((+K114*1.025),2)</f>
        <v>18.5</v>
      </c>
    </row>
    <row r="115" spans="1:12" x14ac:dyDescent="0.25">
      <c r="A115" s="270" t="s">
        <v>1603</v>
      </c>
      <c r="B115" s="218"/>
      <c r="C115" s="218">
        <f t="shared" ref="C115:K118" si="58">ROUND((+C137*1.01),2)</f>
        <v>17.72</v>
      </c>
      <c r="D115" s="218">
        <f t="shared" si="58"/>
        <v>18.16</v>
      </c>
      <c r="E115" s="218">
        <f t="shared" si="58"/>
        <v>18.61</v>
      </c>
      <c r="F115" s="218">
        <f t="shared" si="58"/>
        <v>19.079999999999998</v>
      </c>
      <c r="G115" s="218">
        <f t="shared" si="58"/>
        <v>19.559999999999999</v>
      </c>
      <c r="H115" s="218">
        <f t="shared" si="58"/>
        <v>20.059999999999999</v>
      </c>
      <c r="I115" s="218">
        <f t="shared" si="58"/>
        <v>20.440000000000001</v>
      </c>
      <c r="J115" s="218">
        <f t="shared" si="58"/>
        <v>20.87</v>
      </c>
      <c r="K115" s="218">
        <f t="shared" si="58"/>
        <v>21.28</v>
      </c>
      <c r="L115" s="563">
        <f t="shared" ref="L115:L118" si="59">ROUND((+K115*1.025),2)</f>
        <v>21.81</v>
      </c>
    </row>
    <row r="116" spans="1:12" x14ac:dyDescent="0.25">
      <c r="A116" s="270" t="s">
        <v>1609</v>
      </c>
      <c r="B116" s="218"/>
      <c r="C116" s="218">
        <f t="shared" si="58"/>
        <v>19.07</v>
      </c>
      <c r="D116" s="218">
        <f t="shared" si="58"/>
        <v>19.54</v>
      </c>
      <c r="E116" s="218">
        <f t="shared" si="58"/>
        <v>20.04</v>
      </c>
      <c r="F116" s="218">
        <f t="shared" si="58"/>
        <v>20.52</v>
      </c>
      <c r="G116" s="218">
        <f t="shared" si="58"/>
        <v>21.06</v>
      </c>
      <c r="H116" s="218">
        <f t="shared" si="58"/>
        <v>21.56</v>
      </c>
      <c r="I116" s="218">
        <f t="shared" si="58"/>
        <v>22.01</v>
      </c>
      <c r="J116" s="218">
        <f t="shared" si="58"/>
        <v>22.44</v>
      </c>
      <c r="K116" s="218">
        <f t="shared" si="58"/>
        <v>22.89</v>
      </c>
      <c r="L116" s="563">
        <f t="shared" si="59"/>
        <v>23.46</v>
      </c>
    </row>
    <row r="117" spans="1:12" x14ac:dyDescent="0.25">
      <c r="A117" s="270" t="s">
        <v>1612</v>
      </c>
      <c r="B117" s="218"/>
      <c r="C117" s="218">
        <f t="shared" si="58"/>
        <v>20.78</v>
      </c>
      <c r="D117" s="218">
        <f t="shared" si="58"/>
        <v>21.3</v>
      </c>
      <c r="E117" s="218">
        <f t="shared" si="58"/>
        <v>21.83</v>
      </c>
      <c r="F117" s="218">
        <f t="shared" si="58"/>
        <v>22.37</v>
      </c>
      <c r="G117" s="218">
        <f t="shared" si="58"/>
        <v>22.95</v>
      </c>
      <c r="H117" s="218">
        <f t="shared" si="58"/>
        <v>23.52</v>
      </c>
      <c r="I117" s="218">
        <f t="shared" si="58"/>
        <v>23.98</v>
      </c>
      <c r="J117" s="218">
        <f t="shared" si="58"/>
        <v>24.47</v>
      </c>
      <c r="K117" s="218">
        <f t="shared" si="58"/>
        <v>24.95</v>
      </c>
      <c r="L117" s="563">
        <f t="shared" si="59"/>
        <v>25.57</v>
      </c>
    </row>
    <row r="118" spans="1:12" x14ac:dyDescent="0.25">
      <c r="A118" s="270" t="s">
        <v>1700</v>
      </c>
      <c r="B118" s="218"/>
      <c r="C118" s="218">
        <f t="shared" si="58"/>
        <v>22.43</v>
      </c>
      <c r="D118" s="218">
        <f t="shared" si="58"/>
        <v>23</v>
      </c>
      <c r="E118" s="218">
        <f t="shared" si="58"/>
        <v>23.57</v>
      </c>
      <c r="F118" s="218">
        <f t="shared" si="58"/>
        <v>24.16</v>
      </c>
      <c r="G118" s="218">
        <f t="shared" si="58"/>
        <v>24.76</v>
      </c>
      <c r="H118" s="218">
        <f t="shared" si="58"/>
        <v>25.38</v>
      </c>
      <c r="I118" s="218">
        <f t="shared" si="58"/>
        <v>25.89</v>
      </c>
      <c r="J118" s="218">
        <f t="shared" si="58"/>
        <v>26.41</v>
      </c>
      <c r="K118" s="218">
        <f t="shared" si="58"/>
        <v>26.94</v>
      </c>
      <c r="L118" s="563">
        <f t="shared" si="59"/>
        <v>27.61</v>
      </c>
    </row>
    <row r="119" spans="1:12" x14ac:dyDescent="0.25">
      <c r="A119" s="270" t="s">
        <v>1701</v>
      </c>
      <c r="B119" s="561"/>
      <c r="C119" s="561">
        <f>ROUND((+C141*1.01),0)</f>
        <v>56791</v>
      </c>
      <c r="D119" s="561">
        <f t="shared" ref="D119:K119" si="60">ROUND((+D141*1.01),0)</f>
        <v>58209</v>
      </c>
      <c r="E119" s="561">
        <f t="shared" si="60"/>
        <v>59665</v>
      </c>
      <c r="F119" s="561">
        <f t="shared" si="60"/>
        <v>61157</v>
      </c>
      <c r="G119" s="561">
        <f t="shared" si="60"/>
        <v>62687</v>
      </c>
      <c r="H119" s="561">
        <f t="shared" si="60"/>
        <v>63939</v>
      </c>
      <c r="I119" s="561">
        <f t="shared" si="60"/>
        <v>65219</v>
      </c>
      <c r="J119" s="561">
        <f t="shared" si="60"/>
        <v>66522</v>
      </c>
      <c r="K119" s="561">
        <f t="shared" si="60"/>
        <v>67852</v>
      </c>
      <c r="L119" s="564">
        <f>ROUND((+K119*1.025),0)</f>
        <v>69548</v>
      </c>
    </row>
    <row r="120" spans="1:12" x14ac:dyDescent="0.25">
      <c r="A120" s="270" t="s">
        <v>1702</v>
      </c>
      <c r="B120" s="561"/>
      <c r="C120" s="561">
        <f>ROUND((+C142*1.01),0)</f>
        <v>60346</v>
      </c>
      <c r="D120" s="561">
        <f t="shared" ref="D120:K120" si="61">ROUND((+D142*1.01),0)</f>
        <v>61855</v>
      </c>
      <c r="E120" s="561">
        <f t="shared" si="61"/>
        <v>63401</v>
      </c>
      <c r="F120" s="561">
        <f t="shared" si="61"/>
        <v>64985</v>
      </c>
      <c r="G120" s="561">
        <f t="shared" si="61"/>
        <v>66611</v>
      </c>
      <c r="H120" s="561">
        <f t="shared" si="61"/>
        <v>67944</v>
      </c>
      <c r="I120" s="561">
        <f t="shared" si="61"/>
        <v>69301</v>
      </c>
      <c r="J120" s="561">
        <f t="shared" si="61"/>
        <v>70688</v>
      </c>
      <c r="K120" s="561">
        <f t="shared" si="61"/>
        <v>72102</v>
      </c>
      <c r="L120" s="564">
        <f>ROUND((+K120*1.025),0)</f>
        <v>73905</v>
      </c>
    </row>
    <row r="121" spans="1:12" x14ac:dyDescent="0.25">
      <c r="A121" s="270" t="s">
        <v>1703</v>
      </c>
      <c r="B121" s="562"/>
      <c r="C121" s="562">
        <f t="shared" ref="C121:F121" si="62">+ROUND((((+C120*1.085)/$B$131)/37.69),2)</f>
        <v>33.15</v>
      </c>
      <c r="D121" s="562">
        <f t="shared" si="62"/>
        <v>33.979999999999997</v>
      </c>
      <c r="E121" s="562">
        <f t="shared" si="62"/>
        <v>34.83</v>
      </c>
      <c r="F121" s="562">
        <f t="shared" si="62"/>
        <v>35.700000000000003</v>
      </c>
      <c r="G121" s="531">
        <f t="shared" ref="G121:L121" si="63">+ROUND((((+G120*1.085)/$B$131)/37.69),2)</f>
        <v>36.590000000000003</v>
      </c>
      <c r="H121" s="531">
        <f t="shared" si="63"/>
        <v>37.33</v>
      </c>
      <c r="I121" s="531">
        <f t="shared" si="63"/>
        <v>38.07</v>
      </c>
      <c r="J121" s="531">
        <f t="shared" si="63"/>
        <v>38.83</v>
      </c>
      <c r="K121" s="531">
        <f t="shared" si="63"/>
        <v>39.61</v>
      </c>
      <c r="L121" s="531">
        <f t="shared" si="63"/>
        <v>40.6</v>
      </c>
    </row>
    <row r="122" spans="1:12" x14ac:dyDescent="0.25">
      <c r="A122" s="270" t="s">
        <v>1704</v>
      </c>
      <c r="B122" s="561"/>
      <c r="C122" s="561">
        <f t="shared" ref="C122:C124" si="64">ROUND((+C144*1.01),0)</f>
        <v>76703</v>
      </c>
      <c r="D122" s="561">
        <f t="shared" ref="D122:K122" si="65">ROUND((+D144*1.01),0)</f>
        <v>78620</v>
      </c>
      <c r="E122" s="561">
        <f t="shared" si="65"/>
        <v>80588</v>
      </c>
      <c r="F122" s="561">
        <f t="shared" si="65"/>
        <v>82602</v>
      </c>
      <c r="G122" s="561">
        <f t="shared" si="65"/>
        <v>84668</v>
      </c>
      <c r="H122" s="561">
        <f t="shared" si="65"/>
        <v>86784</v>
      </c>
      <c r="I122" s="561">
        <f t="shared" si="65"/>
        <v>88520</v>
      </c>
      <c r="J122" s="561">
        <f t="shared" si="65"/>
        <v>90289</v>
      </c>
      <c r="K122" s="561">
        <f t="shared" si="65"/>
        <v>92095</v>
      </c>
      <c r="L122" s="564">
        <f t="shared" ref="L122:L124" si="66">ROUND((+K122*1.025),0)</f>
        <v>94397</v>
      </c>
    </row>
    <row r="123" spans="1:12" x14ac:dyDescent="0.25">
      <c r="A123" s="270" t="s">
        <v>1705</v>
      </c>
      <c r="B123" s="561"/>
      <c r="C123" s="561">
        <f t="shared" si="64"/>
        <v>84373</v>
      </c>
      <c r="D123" s="561">
        <f t="shared" ref="D123:K123" si="67">ROUND((+D145*1.01),0)</f>
        <v>86484</v>
      </c>
      <c r="E123" s="561">
        <f t="shared" si="67"/>
        <v>88646</v>
      </c>
      <c r="F123" s="561">
        <f t="shared" si="67"/>
        <v>90861</v>
      </c>
      <c r="G123" s="561">
        <f t="shared" si="67"/>
        <v>93132</v>
      </c>
      <c r="H123" s="561">
        <f t="shared" si="67"/>
        <v>95460</v>
      </c>
      <c r="I123" s="561">
        <f t="shared" si="67"/>
        <v>97371</v>
      </c>
      <c r="J123" s="561">
        <f t="shared" si="67"/>
        <v>99317</v>
      </c>
      <c r="K123" s="561">
        <f t="shared" si="67"/>
        <v>101304</v>
      </c>
      <c r="L123" s="564">
        <f t="shared" si="66"/>
        <v>103837</v>
      </c>
    </row>
    <row r="124" spans="1:12" x14ac:dyDescent="0.25">
      <c r="A124" s="270" t="s">
        <v>1706</v>
      </c>
      <c r="B124" s="561"/>
      <c r="C124" s="561">
        <f t="shared" si="64"/>
        <v>92811</v>
      </c>
      <c r="D124" s="561">
        <f t="shared" ref="D124:K124" si="68">ROUND((+D146*1.01),0)</f>
        <v>95133</v>
      </c>
      <c r="E124" s="561">
        <f t="shared" si="68"/>
        <v>97510</v>
      </c>
      <c r="F124" s="561">
        <f t="shared" si="68"/>
        <v>99948</v>
      </c>
      <c r="G124" s="561">
        <f t="shared" si="68"/>
        <v>102447</v>
      </c>
      <c r="H124" s="561">
        <f t="shared" si="68"/>
        <v>105008</v>
      </c>
      <c r="I124" s="561">
        <f t="shared" si="68"/>
        <v>107106</v>
      </c>
      <c r="J124" s="561">
        <f t="shared" si="68"/>
        <v>109250</v>
      </c>
      <c r="K124" s="561">
        <f t="shared" si="68"/>
        <v>111435</v>
      </c>
      <c r="L124" s="564">
        <f t="shared" si="66"/>
        <v>114221</v>
      </c>
    </row>
    <row r="126" spans="1:12" x14ac:dyDescent="0.25">
      <c r="A126" s="270" t="s">
        <v>762</v>
      </c>
      <c r="B126" s="202" t="s">
        <v>1707</v>
      </c>
    </row>
    <row r="127" spans="1:12" x14ac:dyDescent="0.25">
      <c r="A127" s="270" t="s">
        <v>1699</v>
      </c>
      <c r="B127" s="757">
        <v>1</v>
      </c>
      <c r="C127" s="757">
        <v>2</v>
      </c>
      <c r="D127" s="757">
        <v>3</v>
      </c>
      <c r="E127" s="757">
        <v>4</v>
      </c>
      <c r="F127" s="757">
        <v>5</v>
      </c>
      <c r="G127" s="757">
        <v>6</v>
      </c>
      <c r="H127" s="757">
        <v>7</v>
      </c>
      <c r="I127" s="757">
        <v>8</v>
      </c>
      <c r="J127" s="757">
        <v>9</v>
      </c>
      <c r="K127" s="757">
        <v>10</v>
      </c>
      <c r="L127" s="757">
        <v>11</v>
      </c>
    </row>
    <row r="128" spans="1:12" x14ac:dyDescent="0.25">
      <c r="A128" s="270" t="s">
        <v>1709</v>
      </c>
      <c r="B128" s="1">
        <f>ROUND((+B119/1834),2)</f>
        <v>0</v>
      </c>
      <c r="C128" s="1">
        <f>ROUND((+C119/1834),2)</f>
        <v>30.97</v>
      </c>
      <c r="D128" s="1">
        <f t="shared" ref="D128:L128" si="69">ROUND((+D119/1834),2)</f>
        <v>31.74</v>
      </c>
      <c r="E128" s="1">
        <f t="shared" si="69"/>
        <v>32.53</v>
      </c>
      <c r="F128" s="1">
        <f t="shared" si="69"/>
        <v>33.35</v>
      </c>
      <c r="G128" s="1">
        <f t="shared" si="69"/>
        <v>34.18</v>
      </c>
      <c r="H128" s="1">
        <f t="shared" si="69"/>
        <v>34.86</v>
      </c>
      <c r="I128" s="1">
        <f t="shared" si="69"/>
        <v>35.56</v>
      </c>
      <c r="J128" s="1">
        <f t="shared" si="69"/>
        <v>36.270000000000003</v>
      </c>
      <c r="K128" s="1">
        <f t="shared" si="69"/>
        <v>37</v>
      </c>
      <c r="L128" s="1">
        <f t="shared" si="69"/>
        <v>37.92</v>
      </c>
    </row>
    <row r="129" spans="1:12" x14ac:dyDescent="0.25">
      <c r="A129" s="270" t="s">
        <v>1710</v>
      </c>
      <c r="B129" s="1">
        <f>ROUND((+B119/2100),2)</f>
        <v>0</v>
      </c>
      <c r="C129" s="1">
        <f t="shared" ref="C129:L129" si="70">ROUND((+C119/2100),2)</f>
        <v>27.04</v>
      </c>
      <c r="D129" s="1">
        <f t="shared" si="70"/>
        <v>27.72</v>
      </c>
      <c r="E129" s="1">
        <f t="shared" si="70"/>
        <v>28.41</v>
      </c>
      <c r="F129" s="1">
        <f t="shared" si="70"/>
        <v>29.12</v>
      </c>
      <c r="G129" s="1">
        <f t="shared" si="70"/>
        <v>29.85</v>
      </c>
      <c r="H129" s="1">
        <f t="shared" si="70"/>
        <v>30.45</v>
      </c>
      <c r="I129" s="1">
        <f t="shared" si="70"/>
        <v>31.06</v>
      </c>
      <c r="J129" s="1">
        <f t="shared" si="70"/>
        <v>31.68</v>
      </c>
      <c r="K129" s="1">
        <f t="shared" si="70"/>
        <v>32.31</v>
      </c>
      <c r="L129" s="1">
        <f t="shared" si="70"/>
        <v>33.119999999999997</v>
      </c>
    </row>
    <row r="130" spans="1:12" x14ac:dyDescent="0.25">
      <c r="A130" s="270" t="s">
        <v>1711</v>
      </c>
      <c r="B130" s="1">
        <f>ROUND((+B119/2096),2)</f>
        <v>0</v>
      </c>
      <c r="C130" s="1">
        <f t="shared" ref="C130:L130" si="71">ROUND((+C119/2096),2)</f>
        <v>27.09</v>
      </c>
      <c r="D130" s="1">
        <f t="shared" si="71"/>
        <v>27.77</v>
      </c>
      <c r="E130" s="1">
        <f t="shared" si="71"/>
        <v>28.47</v>
      </c>
      <c r="F130" s="1">
        <f t="shared" si="71"/>
        <v>29.18</v>
      </c>
      <c r="G130" s="1">
        <f t="shared" si="71"/>
        <v>29.91</v>
      </c>
      <c r="H130" s="1">
        <f t="shared" si="71"/>
        <v>30.51</v>
      </c>
      <c r="I130" s="1">
        <f t="shared" si="71"/>
        <v>31.12</v>
      </c>
      <c r="J130" s="1">
        <f t="shared" si="71"/>
        <v>31.74</v>
      </c>
      <c r="K130" s="1">
        <f t="shared" si="71"/>
        <v>32.369999999999997</v>
      </c>
      <c r="L130" s="1">
        <f t="shared" si="71"/>
        <v>33.18</v>
      </c>
    </row>
    <row r="131" spans="1:12" x14ac:dyDescent="0.25">
      <c r="A131" s="124" t="s">
        <v>1712</v>
      </c>
      <c r="B131">
        <v>52.4</v>
      </c>
      <c r="C131" s="202" t="s">
        <v>1713</v>
      </c>
      <c r="G131" s="64"/>
      <c r="H131" s="64"/>
      <c r="I131" s="64"/>
      <c r="J131" s="64"/>
      <c r="K131" s="64"/>
      <c r="L131" s="64"/>
    </row>
    <row r="133" spans="1:12" x14ac:dyDescent="0.25">
      <c r="A133" s="281" t="s">
        <v>1719</v>
      </c>
    </row>
    <row r="134" spans="1:12" x14ac:dyDescent="0.25">
      <c r="B134" s="202" t="s">
        <v>1672</v>
      </c>
    </row>
    <row r="135" spans="1:12" x14ac:dyDescent="0.25">
      <c r="A135" s="270" t="s">
        <v>1699</v>
      </c>
      <c r="B135" s="757">
        <v>1</v>
      </c>
      <c r="C135" s="757">
        <v>2</v>
      </c>
      <c r="D135" s="757">
        <v>3</v>
      </c>
      <c r="E135" s="757">
        <v>4</v>
      </c>
      <c r="F135" s="757">
        <v>5</v>
      </c>
      <c r="G135" s="757">
        <v>6</v>
      </c>
      <c r="H135" s="757">
        <v>7</v>
      </c>
      <c r="I135" s="757">
        <v>8</v>
      </c>
      <c r="J135" s="757">
        <v>9</v>
      </c>
      <c r="K135" s="757">
        <v>10</v>
      </c>
      <c r="L135" s="757">
        <v>11</v>
      </c>
    </row>
    <row r="136" spans="1:12" x14ac:dyDescent="0.25">
      <c r="A136" s="270" t="s">
        <v>1599</v>
      </c>
      <c r="B136" s="218">
        <f>ROUND((+B158*1.02),2)</f>
        <v>14.52</v>
      </c>
      <c r="C136" s="218">
        <f t="shared" ref="C136:K136" si="72">ROUND((+C158*1.02),2)</f>
        <v>14.88</v>
      </c>
      <c r="D136" s="218">
        <f t="shared" si="72"/>
        <v>15.25</v>
      </c>
      <c r="E136" s="218">
        <f t="shared" si="72"/>
        <v>15.65</v>
      </c>
      <c r="F136" s="218">
        <f t="shared" si="72"/>
        <v>16.010000000000002</v>
      </c>
      <c r="G136" s="218">
        <f t="shared" si="72"/>
        <v>16.43</v>
      </c>
      <c r="H136" s="218">
        <f t="shared" si="72"/>
        <v>16.8</v>
      </c>
      <c r="I136" s="218">
        <f t="shared" si="72"/>
        <v>17.170000000000002</v>
      </c>
      <c r="J136" s="218">
        <f t="shared" si="72"/>
        <v>17.510000000000002</v>
      </c>
      <c r="K136" s="218">
        <f t="shared" si="72"/>
        <v>17.87</v>
      </c>
    </row>
    <row r="137" spans="1:12" x14ac:dyDescent="0.25">
      <c r="A137" s="270" t="s">
        <v>1603</v>
      </c>
      <c r="B137" s="218">
        <f t="shared" ref="B137:K140" si="73">ROUND((+B159*1.02),2)</f>
        <v>17.12</v>
      </c>
      <c r="C137" s="218">
        <f t="shared" si="73"/>
        <v>17.54</v>
      </c>
      <c r="D137" s="218">
        <f t="shared" si="73"/>
        <v>17.98</v>
      </c>
      <c r="E137" s="218">
        <f t="shared" si="73"/>
        <v>18.43</v>
      </c>
      <c r="F137" s="218">
        <f t="shared" si="73"/>
        <v>18.89</v>
      </c>
      <c r="G137" s="218">
        <f t="shared" si="73"/>
        <v>19.37</v>
      </c>
      <c r="H137" s="218">
        <f t="shared" si="73"/>
        <v>19.86</v>
      </c>
      <c r="I137" s="218">
        <f t="shared" si="73"/>
        <v>20.239999999999998</v>
      </c>
      <c r="J137" s="218">
        <f t="shared" si="73"/>
        <v>20.66</v>
      </c>
      <c r="K137" s="218">
        <f t="shared" si="73"/>
        <v>21.07</v>
      </c>
    </row>
    <row r="138" spans="1:12" x14ac:dyDescent="0.25">
      <c r="A138" s="270" t="s">
        <v>1609</v>
      </c>
      <c r="B138" s="218">
        <f t="shared" si="73"/>
        <v>18.420000000000002</v>
      </c>
      <c r="C138" s="218">
        <f t="shared" si="73"/>
        <v>18.88</v>
      </c>
      <c r="D138" s="218">
        <f t="shared" si="73"/>
        <v>19.350000000000001</v>
      </c>
      <c r="E138" s="218">
        <f t="shared" si="73"/>
        <v>19.84</v>
      </c>
      <c r="F138" s="218">
        <f t="shared" si="73"/>
        <v>20.32</v>
      </c>
      <c r="G138" s="218">
        <f t="shared" si="73"/>
        <v>20.85</v>
      </c>
      <c r="H138" s="218">
        <f t="shared" si="73"/>
        <v>21.35</v>
      </c>
      <c r="I138" s="218">
        <f t="shared" si="73"/>
        <v>21.79</v>
      </c>
      <c r="J138" s="218">
        <f t="shared" si="73"/>
        <v>22.22</v>
      </c>
      <c r="K138" s="218">
        <f t="shared" si="73"/>
        <v>22.66</v>
      </c>
    </row>
    <row r="139" spans="1:12" x14ac:dyDescent="0.25">
      <c r="A139" s="270" t="s">
        <v>1612</v>
      </c>
      <c r="B139" s="218">
        <f t="shared" si="73"/>
        <v>20.07</v>
      </c>
      <c r="C139" s="218">
        <f t="shared" si="73"/>
        <v>20.57</v>
      </c>
      <c r="D139" s="218">
        <f t="shared" si="73"/>
        <v>21.09</v>
      </c>
      <c r="E139" s="218">
        <f t="shared" si="73"/>
        <v>21.61</v>
      </c>
      <c r="F139" s="218">
        <f t="shared" si="73"/>
        <v>22.15</v>
      </c>
      <c r="G139" s="218">
        <f t="shared" si="73"/>
        <v>22.72</v>
      </c>
      <c r="H139" s="218">
        <f t="shared" si="73"/>
        <v>23.29</v>
      </c>
      <c r="I139" s="218">
        <f t="shared" si="73"/>
        <v>23.74</v>
      </c>
      <c r="J139" s="218">
        <f t="shared" si="73"/>
        <v>24.23</v>
      </c>
      <c r="K139" s="218">
        <f t="shared" si="73"/>
        <v>24.7</v>
      </c>
    </row>
    <row r="140" spans="1:12" x14ac:dyDescent="0.25">
      <c r="A140" s="270" t="s">
        <v>1700</v>
      </c>
      <c r="B140" s="218">
        <f t="shared" si="73"/>
        <v>21.66</v>
      </c>
      <c r="C140" s="218">
        <f t="shared" si="73"/>
        <v>22.21</v>
      </c>
      <c r="D140" s="218">
        <f t="shared" si="73"/>
        <v>22.77</v>
      </c>
      <c r="E140" s="218">
        <f t="shared" si="73"/>
        <v>23.34</v>
      </c>
      <c r="F140" s="218">
        <f t="shared" si="73"/>
        <v>23.92</v>
      </c>
      <c r="G140" s="218">
        <f t="shared" si="73"/>
        <v>24.51</v>
      </c>
      <c r="H140" s="218">
        <f t="shared" si="73"/>
        <v>25.13</v>
      </c>
      <c r="I140" s="218">
        <f t="shared" si="73"/>
        <v>25.63</v>
      </c>
      <c r="J140" s="218">
        <f t="shared" si="73"/>
        <v>26.15</v>
      </c>
      <c r="K140" s="218">
        <f t="shared" si="73"/>
        <v>26.67</v>
      </c>
    </row>
    <row r="141" spans="1:12" x14ac:dyDescent="0.25">
      <c r="A141" s="270" t="s">
        <v>1701</v>
      </c>
      <c r="B141" s="282">
        <f>ROUND((+B163*1.02),0)</f>
        <v>54857</v>
      </c>
      <c r="C141" s="282">
        <f t="shared" ref="C141:K141" si="74">ROUND((+C163*1.02),0)</f>
        <v>56229</v>
      </c>
      <c r="D141" s="282">
        <f t="shared" si="74"/>
        <v>57633</v>
      </c>
      <c r="E141" s="282">
        <f t="shared" si="74"/>
        <v>59074</v>
      </c>
      <c r="F141" s="282">
        <f t="shared" si="74"/>
        <v>60551</v>
      </c>
      <c r="G141" s="282">
        <f t="shared" si="74"/>
        <v>62066</v>
      </c>
      <c r="H141" s="282">
        <f t="shared" si="74"/>
        <v>63306</v>
      </c>
      <c r="I141" s="282">
        <f t="shared" si="74"/>
        <v>64573</v>
      </c>
      <c r="J141" s="282">
        <f t="shared" si="74"/>
        <v>65863</v>
      </c>
      <c r="K141" s="282">
        <f t="shared" si="74"/>
        <v>67180</v>
      </c>
    </row>
    <row r="142" spans="1:12" x14ac:dyDescent="0.25">
      <c r="A142" s="270" t="s">
        <v>1702</v>
      </c>
      <c r="B142" s="282">
        <f>ROUND((+B164*1.02),0)</f>
        <v>58291</v>
      </c>
      <c r="C142" s="282">
        <f t="shared" ref="C142:K142" si="75">ROUND((+C164*1.02),0)</f>
        <v>59749</v>
      </c>
      <c r="D142" s="282">
        <f t="shared" si="75"/>
        <v>61243</v>
      </c>
      <c r="E142" s="282">
        <f t="shared" si="75"/>
        <v>62773</v>
      </c>
      <c r="F142" s="282">
        <f t="shared" si="75"/>
        <v>64342</v>
      </c>
      <c r="G142" s="282">
        <f t="shared" si="75"/>
        <v>65951</v>
      </c>
      <c r="H142" s="282">
        <f t="shared" si="75"/>
        <v>67271</v>
      </c>
      <c r="I142" s="282">
        <f t="shared" si="75"/>
        <v>68615</v>
      </c>
      <c r="J142" s="282">
        <f t="shared" si="75"/>
        <v>69988</v>
      </c>
      <c r="K142" s="282">
        <f t="shared" si="75"/>
        <v>71388</v>
      </c>
    </row>
    <row r="143" spans="1:12" x14ac:dyDescent="0.25">
      <c r="A143" s="270"/>
      <c r="B143" s="282"/>
      <c r="C143" s="282"/>
      <c r="D143" s="282"/>
      <c r="E143" s="282"/>
      <c r="F143" s="282"/>
      <c r="G143" s="282"/>
      <c r="H143" s="282"/>
      <c r="I143" s="282"/>
      <c r="J143" s="282"/>
      <c r="K143" s="282"/>
    </row>
    <row r="144" spans="1:12" x14ac:dyDescent="0.25">
      <c r="A144" s="270" t="s">
        <v>1704</v>
      </c>
      <c r="B144" s="282">
        <f t="shared" ref="B144:K146" si="76">ROUND((+B165*1.02),0)</f>
        <v>74094</v>
      </c>
      <c r="C144" s="282">
        <f t="shared" si="76"/>
        <v>75944</v>
      </c>
      <c r="D144" s="282">
        <f t="shared" si="76"/>
        <v>77842</v>
      </c>
      <c r="E144" s="282">
        <f t="shared" si="76"/>
        <v>79790</v>
      </c>
      <c r="F144" s="282">
        <f t="shared" si="76"/>
        <v>81784</v>
      </c>
      <c r="G144" s="282">
        <f t="shared" si="76"/>
        <v>83830</v>
      </c>
      <c r="H144" s="282">
        <f t="shared" si="76"/>
        <v>85925</v>
      </c>
      <c r="I144" s="282">
        <f t="shared" si="76"/>
        <v>87644</v>
      </c>
      <c r="J144" s="282">
        <f t="shared" si="76"/>
        <v>89395</v>
      </c>
      <c r="K144" s="282">
        <f t="shared" si="76"/>
        <v>91183</v>
      </c>
    </row>
    <row r="145" spans="1:12" x14ac:dyDescent="0.25">
      <c r="A145" s="270" t="s">
        <v>1705</v>
      </c>
      <c r="B145" s="282">
        <f t="shared" si="76"/>
        <v>81501</v>
      </c>
      <c r="C145" s="282">
        <f t="shared" si="76"/>
        <v>83538</v>
      </c>
      <c r="D145" s="282">
        <f t="shared" si="76"/>
        <v>85628</v>
      </c>
      <c r="E145" s="282">
        <f t="shared" si="76"/>
        <v>87768</v>
      </c>
      <c r="F145" s="282">
        <f t="shared" si="76"/>
        <v>89961</v>
      </c>
      <c r="G145" s="282">
        <f t="shared" si="76"/>
        <v>92210</v>
      </c>
      <c r="H145" s="282">
        <f t="shared" si="76"/>
        <v>94515</v>
      </c>
      <c r="I145" s="282">
        <f t="shared" si="76"/>
        <v>96407</v>
      </c>
      <c r="J145" s="282">
        <f t="shared" si="76"/>
        <v>98334</v>
      </c>
      <c r="K145" s="282">
        <f t="shared" si="76"/>
        <v>100301</v>
      </c>
    </row>
    <row r="146" spans="1:12" x14ac:dyDescent="0.25">
      <c r="A146" s="270" t="s">
        <v>1706</v>
      </c>
      <c r="B146" s="282">
        <f t="shared" si="76"/>
        <v>89651</v>
      </c>
      <c r="C146" s="282">
        <f t="shared" si="76"/>
        <v>91892</v>
      </c>
      <c r="D146" s="282">
        <f t="shared" si="76"/>
        <v>94191</v>
      </c>
      <c r="E146" s="282">
        <f t="shared" si="76"/>
        <v>96545</v>
      </c>
      <c r="F146" s="282">
        <f t="shared" si="76"/>
        <v>98958</v>
      </c>
      <c r="G146" s="282">
        <f t="shared" si="76"/>
        <v>101433</v>
      </c>
      <c r="H146" s="282">
        <f t="shared" si="76"/>
        <v>103968</v>
      </c>
      <c r="I146" s="282">
        <f t="shared" si="76"/>
        <v>106046</v>
      </c>
      <c r="J146" s="282">
        <f t="shared" si="76"/>
        <v>108168</v>
      </c>
      <c r="K146" s="282">
        <f t="shared" si="76"/>
        <v>110332</v>
      </c>
    </row>
    <row r="148" spans="1:12" x14ac:dyDescent="0.25">
      <c r="A148" s="270" t="s">
        <v>762</v>
      </c>
      <c r="B148" s="288" t="s">
        <v>1720</v>
      </c>
      <c r="C148" s="317"/>
      <c r="D148" s="317"/>
      <c r="E148" s="317"/>
    </row>
    <row r="149" spans="1:12" x14ac:dyDescent="0.25">
      <c r="A149" s="270" t="s">
        <v>1699</v>
      </c>
      <c r="B149" s="757">
        <v>1</v>
      </c>
      <c r="C149" s="757">
        <v>2</v>
      </c>
      <c r="D149" s="757">
        <v>3</v>
      </c>
      <c r="E149" s="757">
        <v>4</v>
      </c>
      <c r="F149" s="757">
        <v>5</v>
      </c>
      <c r="G149" s="757">
        <v>6</v>
      </c>
      <c r="H149" s="757">
        <v>7</v>
      </c>
      <c r="I149" s="757">
        <v>8</v>
      </c>
      <c r="J149" s="757">
        <v>9</v>
      </c>
      <c r="K149" s="757">
        <v>10</v>
      </c>
      <c r="L149" s="757">
        <v>11</v>
      </c>
    </row>
    <row r="150" spans="1:12" x14ac:dyDescent="0.25">
      <c r="A150" s="270" t="s">
        <v>1709</v>
      </c>
      <c r="B150" s="1">
        <f>ROUND((+B141/1820),2)</f>
        <v>30.14</v>
      </c>
      <c r="C150" s="1">
        <f t="shared" ref="C150:K150" si="77">ROUND((+C141/1820),2)</f>
        <v>30.9</v>
      </c>
      <c r="D150" s="1">
        <f t="shared" si="77"/>
        <v>31.67</v>
      </c>
      <c r="E150" s="1">
        <f t="shared" si="77"/>
        <v>32.46</v>
      </c>
      <c r="F150" s="1">
        <f t="shared" si="77"/>
        <v>33.270000000000003</v>
      </c>
      <c r="G150" s="1">
        <f t="shared" si="77"/>
        <v>34.1</v>
      </c>
      <c r="H150" s="1">
        <f t="shared" si="77"/>
        <v>34.78</v>
      </c>
      <c r="I150" s="1">
        <f t="shared" si="77"/>
        <v>35.479999999999997</v>
      </c>
      <c r="J150" s="1">
        <f t="shared" si="77"/>
        <v>36.19</v>
      </c>
      <c r="K150" s="1">
        <f t="shared" si="77"/>
        <v>36.909999999999997</v>
      </c>
    </row>
    <row r="151" spans="1:12" x14ac:dyDescent="0.25">
      <c r="A151" s="270" t="s">
        <v>1710</v>
      </c>
      <c r="B151" s="1">
        <f>ROUND((+B141/2080),2)</f>
        <v>26.37</v>
      </c>
      <c r="C151" s="1">
        <f t="shared" ref="C151:K151" si="78">ROUND((+C141/2080),2)</f>
        <v>27.03</v>
      </c>
      <c r="D151" s="1">
        <f t="shared" si="78"/>
        <v>27.71</v>
      </c>
      <c r="E151" s="1">
        <f t="shared" si="78"/>
        <v>28.4</v>
      </c>
      <c r="F151" s="1">
        <f t="shared" si="78"/>
        <v>29.11</v>
      </c>
      <c r="G151" s="1">
        <f t="shared" si="78"/>
        <v>29.84</v>
      </c>
      <c r="H151" s="1">
        <f t="shared" si="78"/>
        <v>30.44</v>
      </c>
      <c r="I151" s="1">
        <f t="shared" si="78"/>
        <v>31.04</v>
      </c>
      <c r="J151" s="1">
        <f t="shared" si="78"/>
        <v>31.66</v>
      </c>
      <c r="K151" s="1">
        <f t="shared" si="78"/>
        <v>32.299999999999997</v>
      </c>
    </row>
    <row r="152" spans="1:12" x14ac:dyDescent="0.25">
      <c r="A152" s="270" t="s">
        <v>1711</v>
      </c>
      <c r="B152" s="1">
        <f>ROUND((+B141/2080),2)</f>
        <v>26.37</v>
      </c>
      <c r="C152" s="1">
        <f t="shared" ref="C152:K152" si="79">ROUND((+C141/2080),2)</f>
        <v>27.03</v>
      </c>
      <c r="D152" s="1">
        <f t="shared" si="79"/>
        <v>27.71</v>
      </c>
      <c r="E152" s="1">
        <f t="shared" si="79"/>
        <v>28.4</v>
      </c>
      <c r="F152" s="1">
        <f t="shared" si="79"/>
        <v>29.11</v>
      </c>
      <c r="G152" s="1">
        <f t="shared" si="79"/>
        <v>29.84</v>
      </c>
      <c r="H152" s="1">
        <f t="shared" si="79"/>
        <v>30.44</v>
      </c>
      <c r="I152" s="1">
        <f t="shared" si="79"/>
        <v>31.04</v>
      </c>
      <c r="J152" s="1">
        <f t="shared" si="79"/>
        <v>31.66</v>
      </c>
      <c r="K152" s="1">
        <f t="shared" si="79"/>
        <v>32.299999999999997</v>
      </c>
    </row>
    <row r="153" spans="1:12" x14ac:dyDescent="0.25">
      <c r="A153" s="124" t="s">
        <v>1712</v>
      </c>
      <c r="G153" s="64">
        <f>ROUND(((+G142*1.085)/52/37.69),2)</f>
        <v>36.51</v>
      </c>
      <c r="H153" s="64">
        <f>ROUND(((+H142*1.085)/52/37.69),2)</f>
        <v>37.24</v>
      </c>
      <c r="I153" s="64">
        <f>ROUND(((+I142*1.085)/52/37.69),2)</f>
        <v>37.99</v>
      </c>
      <c r="J153" s="64">
        <f>ROUND(((+J142*1.085)/52/37.69),2)</f>
        <v>38.75</v>
      </c>
      <c r="K153" s="64">
        <f>ROUND(((+K142*1.085)/52/37.69),2)</f>
        <v>39.520000000000003</v>
      </c>
    </row>
    <row r="155" spans="1:12" x14ac:dyDescent="0.25">
      <c r="A155" s="281" t="s">
        <v>1721</v>
      </c>
    </row>
    <row r="156" spans="1:12" x14ac:dyDescent="0.25">
      <c r="B156" s="202" t="s">
        <v>1672</v>
      </c>
    </row>
    <row r="157" spans="1:12" x14ac:dyDescent="0.25">
      <c r="A157" s="270" t="s">
        <v>1699</v>
      </c>
      <c r="B157" s="757">
        <v>1</v>
      </c>
      <c r="C157" s="757">
        <v>2</v>
      </c>
      <c r="D157" s="757">
        <v>3</v>
      </c>
      <c r="E157" s="757">
        <v>4</v>
      </c>
      <c r="F157" s="757">
        <v>5</v>
      </c>
      <c r="G157" s="757">
        <v>6</v>
      </c>
      <c r="H157" s="757">
        <v>7</v>
      </c>
      <c r="I157" s="757">
        <v>8</v>
      </c>
      <c r="J157" s="757">
        <v>9</v>
      </c>
      <c r="K157" s="757">
        <v>10</v>
      </c>
      <c r="L157" s="757">
        <v>11</v>
      </c>
    </row>
    <row r="158" spans="1:12" x14ac:dyDescent="0.25">
      <c r="A158" s="270" t="s">
        <v>1599</v>
      </c>
      <c r="B158" s="218">
        <f>ROUND((+B179*1.015),2)</f>
        <v>14.24</v>
      </c>
      <c r="C158" s="218">
        <f t="shared" ref="C158:K158" si="80">ROUND((+C179*1.015),2)</f>
        <v>14.59</v>
      </c>
      <c r="D158" s="218">
        <f t="shared" si="80"/>
        <v>14.95</v>
      </c>
      <c r="E158" s="218">
        <f t="shared" si="80"/>
        <v>15.34</v>
      </c>
      <c r="F158" s="218">
        <f t="shared" si="80"/>
        <v>15.7</v>
      </c>
      <c r="G158" s="218">
        <f t="shared" si="80"/>
        <v>16.11</v>
      </c>
      <c r="H158" s="218">
        <f t="shared" si="80"/>
        <v>16.47</v>
      </c>
      <c r="I158" s="218">
        <f t="shared" si="80"/>
        <v>16.829999999999998</v>
      </c>
      <c r="J158" s="218">
        <f t="shared" si="80"/>
        <v>17.170000000000002</v>
      </c>
      <c r="K158" s="218">
        <f t="shared" si="80"/>
        <v>17.52</v>
      </c>
    </row>
    <row r="159" spans="1:12" x14ac:dyDescent="0.25">
      <c r="A159" s="270" t="s">
        <v>1603</v>
      </c>
      <c r="B159" s="218">
        <f t="shared" ref="B159:K162" si="81">ROUND((+B180*1.015),2)</f>
        <v>16.78</v>
      </c>
      <c r="C159" s="218">
        <f t="shared" si="81"/>
        <v>17.2</v>
      </c>
      <c r="D159" s="218">
        <f t="shared" si="81"/>
        <v>17.63</v>
      </c>
      <c r="E159" s="218">
        <f t="shared" si="81"/>
        <v>18.07</v>
      </c>
      <c r="F159" s="218">
        <f t="shared" si="81"/>
        <v>18.52</v>
      </c>
      <c r="G159" s="218">
        <f t="shared" si="81"/>
        <v>18.989999999999998</v>
      </c>
      <c r="H159" s="218">
        <f t="shared" si="81"/>
        <v>19.47</v>
      </c>
      <c r="I159" s="218">
        <f t="shared" si="81"/>
        <v>19.84</v>
      </c>
      <c r="J159" s="218">
        <f t="shared" si="81"/>
        <v>20.25</v>
      </c>
      <c r="K159" s="218">
        <f t="shared" si="81"/>
        <v>20.66</v>
      </c>
    </row>
    <row r="160" spans="1:12" x14ac:dyDescent="0.25">
      <c r="A160" s="270" t="s">
        <v>1609</v>
      </c>
      <c r="B160" s="218">
        <f t="shared" si="81"/>
        <v>18.059999999999999</v>
      </c>
      <c r="C160" s="218">
        <f t="shared" si="81"/>
        <v>18.510000000000002</v>
      </c>
      <c r="D160" s="218">
        <f t="shared" si="81"/>
        <v>18.97</v>
      </c>
      <c r="E160" s="218">
        <f t="shared" si="81"/>
        <v>19.45</v>
      </c>
      <c r="F160" s="218">
        <f t="shared" si="81"/>
        <v>19.920000000000002</v>
      </c>
      <c r="G160" s="218">
        <f t="shared" si="81"/>
        <v>20.440000000000001</v>
      </c>
      <c r="H160" s="218">
        <f t="shared" si="81"/>
        <v>20.93</v>
      </c>
      <c r="I160" s="218">
        <f t="shared" si="81"/>
        <v>21.36</v>
      </c>
      <c r="J160" s="218">
        <f t="shared" si="81"/>
        <v>21.78</v>
      </c>
      <c r="K160" s="218">
        <f t="shared" si="81"/>
        <v>22.22</v>
      </c>
    </row>
    <row r="161" spans="1:12" x14ac:dyDescent="0.25">
      <c r="A161" s="270" t="s">
        <v>1612</v>
      </c>
      <c r="B161" s="218">
        <f t="shared" si="81"/>
        <v>19.68</v>
      </c>
      <c r="C161" s="218">
        <f t="shared" si="81"/>
        <v>20.170000000000002</v>
      </c>
      <c r="D161" s="218">
        <f t="shared" si="81"/>
        <v>20.68</v>
      </c>
      <c r="E161" s="218">
        <f t="shared" si="81"/>
        <v>21.19</v>
      </c>
      <c r="F161" s="218">
        <f t="shared" si="81"/>
        <v>21.72</v>
      </c>
      <c r="G161" s="218">
        <f t="shared" si="81"/>
        <v>22.27</v>
      </c>
      <c r="H161" s="218">
        <f t="shared" si="81"/>
        <v>22.83</v>
      </c>
      <c r="I161" s="218">
        <f t="shared" si="81"/>
        <v>23.27</v>
      </c>
      <c r="J161" s="218">
        <f t="shared" si="81"/>
        <v>23.75</v>
      </c>
      <c r="K161" s="218">
        <f t="shared" si="81"/>
        <v>24.22</v>
      </c>
    </row>
    <row r="162" spans="1:12" x14ac:dyDescent="0.25">
      <c r="A162" s="270" t="s">
        <v>1700</v>
      </c>
      <c r="B162" s="218">
        <f t="shared" si="81"/>
        <v>21.24</v>
      </c>
      <c r="C162" s="218">
        <f t="shared" si="81"/>
        <v>21.77</v>
      </c>
      <c r="D162" s="218">
        <f t="shared" si="81"/>
        <v>22.32</v>
      </c>
      <c r="E162" s="218">
        <f t="shared" si="81"/>
        <v>22.88</v>
      </c>
      <c r="F162" s="218">
        <f t="shared" si="81"/>
        <v>23.45</v>
      </c>
      <c r="G162" s="218">
        <f t="shared" si="81"/>
        <v>24.03</v>
      </c>
      <c r="H162" s="218">
        <f t="shared" si="81"/>
        <v>24.64</v>
      </c>
      <c r="I162" s="218">
        <f t="shared" si="81"/>
        <v>25.13</v>
      </c>
      <c r="J162" s="218">
        <f t="shared" si="81"/>
        <v>25.64</v>
      </c>
      <c r="K162" s="218">
        <f t="shared" si="81"/>
        <v>26.15</v>
      </c>
    </row>
    <row r="163" spans="1:12" x14ac:dyDescent="0.25">
      <c r="A163" s="270" t="s">
        <v>1701</v>
      </c>
      <c r="B163" s="282">
        <f>ROUND((+B184*1.015),0)</f>
        <v>53781</v>
      </c>
      <c r="C163" s="282">
        <f t="shared" ref="C163:K163" si="82">ROUND((+C184*1.015),0)</f>
        <v>55126</v>
      </c>
      <c r="D163" s="282">
        <f t="shared" si="82"/>
        <v>56503</v>
      </c>
      <c r="E163" s="282">
        <f t="shared" si="82"/>
        <v>57916</v>
      </c>
      <c r="F163" s="282">
        <f t="shared" si="82"/>
        <v>59364</v>
      </c>
      <c r="G163" s="282">
        <f t="shared" si="82"/>
        <v>60849</v>
      </c>
      <c r="H163" s="282">
        <f t="shared" si="82"/>
        <v>62065</v>
      </c>
      <c r="I163" s="282">
        <f t="shared" si="82"/>
        <v>63307</v>
      </c>
      <c r="J163" s="282">
        <f t="shared" si="82"/>
        <v>64572</v>
      </c>
      <c r="K163" s="282">
        <f t="shared" si="82"/>
        <v>65863</v>
      </c>
    </row>
    <row r="164" spans="1:12" x14ac:dyDescent="0.25">
      <c r="A164" s="270" t="s">
        <v>1702</v>
      </c>
      <c r="B164" s="282">
        <f t="shared" ref="B164:K167" si="83">ROUND((+B185*1.015),0)</f>
        <v>57148</v>
      </c>
      <c r="C164" s="282">
        <f t="shared" si="83"/>
        <v>58577</v>
      </c>
      <c r="D164" s="282">
        <f t="shared" si="83"/>
        <v>60042</v>
      </c>
      <c r="E164" s="282">
        <f t="shared" si="83"/>
        <v>61542</v>
      </c>
      <c r="F164" s="282">
        <f t="shared" si="83"/>
        <v>63080</v>
      </c>
      <c r="G164" s="282">
        <f t="shared" si="83"/>
        <v>64658</v>
      </c>
      <c r="H164" s="282">
        <f t="shared" si="83"/>
        <v>65952</v>
      </c>
      <c r="I164" s="282">
        <f t="shared" si="83"/>
        <v>67270</v>
      </c>
      <c r="J164" s="282">
        <f t="shared" si="83"/>
        <v>68616</v>
      </c>
      <c r="K164" s="282">
        <f t="shared" si="83"/>
        <v>69988</v>
      </c>
    </row>
    <row r="165" spans="1:12" x14ac:dyDescent="0.25">
      <c r="A165" s="270" t="s">
        <v>1704</v>
      </c>
      <c r="B165" s="282">
        <f t="shared" si="83"/>
        <v>72641</v>
      </c>
      <c r="C165" s="282">
        <f t="shared" si="83"/>
        <v>74455</v>
      </c>
      <c r="D165" s="282">
        <f t="shared" si="83"/>
        <v>76316</v>
      </c>
      <c r="E165" s="282">
        <f t="shared" si="83"/>
        <v>78225</v>
      </c>
      <c r="F165" s="282">
        <f t="shared" si="83"/>
        <v>80180</v>
      </c>
      <c r="G165" s="282">
        <f t="shared" si="83"/>
        <v>82186</v>
      </c>
      <c r="H165" s="282">
        <f t="shared" si="83"/>
        <v>84240</v>
      </c>
      <c r="I165" s="282">
        <f t="shared" si="83"/>
        <v>85925</v>
      </c>
      <c r="J165" s="282">
        <f t="shared" si="83"/>
        <v>87642</v>
      </c>
      <c r="K165" s="282">
        <f t="shared" si="83"/>
        <v>89395</v>
      </c>
    </row>
    <row r="166" spans="1:12" x14ac:dyDescent="0.25">
      <c r="A166" s="270" t="s">
        <v>1705</v>
      </c>
      <c r="B166" s="282">
        <f t="shared" si="83"/>
        <v>79903</v>
      </c>
      <c r="C166" s="282">
        <f t="shared" si="83"/>
        <v>81900</v>
      </c>
      <c r="D166" s="282">
        <f t="shared" si="83"/>
        <v>83949</v>
      </c>
      <c r="E166" s="282">
        <f t="shared" si="83"/>
        <v>86047</v>
      </c>
      <c r="F166" s="282">
        <f t="shared" si="83"/>
        <v>88197</v>
      </c>
      <c r="G166" s="282">
        <f t="shared" si="83"/>
        <v>90402</v>
      </c>
      <c r="H166" s="282">
        <f t="shared" si="83"/>
        <v>92662</v>
      </c>
      <c r="I166" s="282">
        <f t="shared" si="83"/>
        <v>94517</v>
      </c>
      <c r="J166" s="282">
        <f t="shared" si="83"/>
        <v>96406</v>
      </c>
      <c r="K166" s="282">
        <f t="shared" si="83"/>
        <v>98334</v>
      </c>
    </row>
    <row r="167" spans="1:12" x14ac:dyDescent="0.25">
      <c r="A167" s="270" t="s">
        <v>1706</v>
      </c>
      <c r="B167" s="282">
        <f t="shared" si="83"/>
        <v>87893</v>
      </c>
      <c r="C167" s="282">
        <f t="shared" si="83"/>
        <v>90090</v>
      </c>
      <c r="D167" s="282">
        <f t="shared" si="83"/>
        <v>92344</v>
      </c>
      <c r="E167" s="282">
        <f t="shared" si="83"/>
        <v>94652</v>
      </c>
      <c r="F167" s="282">
        <f t="shared" si="83"/>
        <v>97018</v>
      </c>
      <c r="G167" s="282">
        <f t="shared" si="83"/>
        <v>99444</v>
      </c>
      <c r="H167" s="282">
        <f t="shared" si="83"/>
        <v>101929</v>
      </c>
      <c r="I167" s="282">
        <f t="shared" si="83"/>
        <v>103967</v>
      </c>
      <c r="J167" s="282">
        <f t="shared" si="83"/>
        <v>106047</v>
      </c>
      <c r="K167" s="282">
        <f t="shared" si="83"/>
        <v>108169</v>
      </c>
    </row>
    <row r="169" spans="1:12" x14ac:dyDescent="0.25">
      <c r="A169" s="270" t="s">
        <v>762</v>
      </c>
      <c r="B169" s="288" t="s">
        <v>1720</v>
      </c>
      <c r="C169" s="317"/>
      <c r="D169" s="317"/>
      <c r="E169" s="317"/>
    </row>
    <row r="170" spans="1:12" x14ac:dyDescent="0.25">
      <c r="A170" s="270" t="s">
        <v>1699</v>
      </c>
      <c r="B170" s="757">
        <v>1</v>
      </c>
      <c r="C170" s="757">
        <v>2</v>
      </c>
      <c r="D170" s="757">
        <v>3</v>
      </c>
      <c r="E170" s="757">
        <v>4</v>
      </c>
      <c r="F170" s="757">
        <v>5</v>
      </c>
      <c r="G170" s="757">
        <v>6</v>
      </c>
      <c r="H170" s="757">
        <v>7</v>
      </c>
      <c r="I170" s="757">
        <v>8</v>
      </c>
      <c r="J170" s="757">
        <v>9</v>
      </c>
      <c r="K170" s="757">
        <v>10</v>
      </c>
      <c r="L170" s="757">
        <v>11</v>
      </c>
    </row>
    <row r="171" spans="1:12" x14ac:dyDescent="0.25">
      <c r="A171" s="270" t="s">
        <v>1709</v>
      </c>
      <c r="B171" s="1">
        <f>ROUND((+B163/1820),2)</f>
        <v>29.55</v>
      </c>
      <c r="C171" s="1">
        <f t="shared" ref="C171:K171" si="84">ROUND((+C163/1820),2)</f>
        <v>30.29</v>
      </c>
      <c r="D171" s="1">
        <f t="shared" si="84"/>
        <v>31.05</v>
      </c>
      <c r="E171" s="1">
        <f t="shared" si="84"/>
        <v>31.82</v>
      </c>
      <c r="F171" s="1">
        <f t="shared" si="84"/>
        <v>32.619999999999997</v>
      </c>
      <c r="G171" s="1">
        <f t="shared" si="84"/>
        <v>33.43</v>
      </c>
      <c r="H171" s="1">
        <f t="shared" si="84"/>
        <v>34.1</v>
      </c>
      <c r="I171" s="1">
        <f t="shared" si="84"/>
        <v>34.78</v>
      </c>
      <c r="J171" s="1">
        <f t="shared" si="84"/>
        <v>35.479999999999997</v>
      </c>
      <c r="K171" s="1">
        <f t="shared" si="84"/>
        <v>36.19</v>
      </c>
    </row>
    <row r="172" spans="1:12" x14ac:dyDescent="0.25">
      <c r="A172" s="270" t="s">
        <v>1710</v>
      </c>
      <c r="B172" s="1">
        <f>ROUND((+B163/2080),2)</f>
        <v>25.86</v>
      </c>
      <c r="C172" s="1">
        <f t="shared" ref="C172:K172" si="85">ROUND((+C163/2080),2)</f>
        <v>26.5</v>
      </c>
      <c r="D172" s="1">
        <f t="shared" si="85"/>
        <v>27.16</v>
      </c>
      <c r="E172" s="1">
        <f t="shared" si="85"/>
        <v>27.84</v>
      </c>
      <c r="F172" s="1">
        <f t="shared" si="85"/>
        <v>28.54</v>
      </c>
      <c r="G172" s="1">
        <f t="shared" si="85"/>
        <v>29.25</v>
      </c>
      <c r="H172" s="1">
        <f t="shared" si="85"/>
        <v>29.84</v>
      </c>
      <c r="I172" s="1">
        <f t="shared" si="85"/>
        <v>30.44</v>
      </c>
      <c r="J172" s="1">
        <f t="shared" si="85"/>
        <v>31.04</v>
      </c>
      <c r="K172" s="1">
        <f t="shared" si="85"/>
        <v>31.66</v>
      </c>
    </row>
    <row r="173" spans="1:12" x14ac:dyDescent="0.25">
      <c r="A173" s="270" t="s">
        <v>1711</v>
      </c>
      <c r="B173" s="1">
        <f>ROUND((+B163/2080),2)</f>
        <v>25.86</v>
      </c>
      <c r="C173" s="1">
        <f t="shared" ref="C173:K173" si="86">ROUND((+C163/2080),2)</f>
        <v>26.5</v>
      </c>
      <c r="D173" s="1">
        <f t="shared" si="86"/>
        <v>27.16</v>
      </c>
      <c r="E173" s="1">
        <f t="shared" si="86"/>
        <v>27.84</v>
      </c>
      <c r="F173" s="1">
        <f t="shared" si="86"/>
        <v>28.54</v>
      </c>
      <c r="G173" s="1">
        <f t="shared" si="86"/>
        <v>29.25</v>
      </c>
      <c r="H173" s="1">
        <f t="shared" si="86"/>
        <v>29.84</v>
      </c>
      <c r="I173" s="1">
        <f t="shared" si="86"/>
        <v>30.44</v>
      </c>
      <c r="J173" s="1">
        <f t="shared" si="86"/>
        <v>31.04</v>
      </c>
      <c r="K173" s="1">
        <f t="shared" si="86"/>
        <v>31.66</v>
      </c>
    </row>
    <row r="174" spans="1:12" x14ac:dyDescent="0.25">
      <c r="A174" s="124" t="s">
        <v>1712</v>
      </c>
      <c r="G174" s="64">
        <f>ROUND(((+G164*1.085)/52/37.69),2)</f>
        <v>35.799999999999997</v>
      </c>
      <c r="H174" s="64">
        <f>ROUND(((+H164*1.085)/52/37.69),2)</f>
        <v>36.51</v>
      </c>
      <c r="I174" s="64">
        <f>ROUND(((+I164*1.085)/52/37.69),2)</f>
        <v>37.24</v>
      </c>
      <c r="J174" s="64">
        <f>ROUND(((+J164*1.085)/52/37.69),2)</f>
        <v>37.99</v>
      </c>
      <c r="K174" s="64">
        <f>ROUND(((+K164*1.085)/52/37.69),2)</f>
        <v>38.75</v>
      </c>
    </row>
    <row r="176" spans="1:12" x14ac:dyDescent="0.25">
      <c r="A176" s="281" t="s">
        <v>1722</v>
      </c>
    </row>
    <row r="177" spans="1:15" x14ac:dyDescent="0.25">
      <c r="B177" s="202" t="s">
        <v>1672</v>
      </c>
      <c r="M177" s="202" t="s">
        <v>1723</v>
      </c>
    </row>
    <row r="178" spans="1:15" x14ac:dyDescent="0.25">
      <c r="A178" s="270" t="s">
        <v>1699</v>
      </c>
      <c r="B178" s="757">
        <v>1</v>
      </c>
      <c r="C178" s="757">
        <v>2</v>
      </c>
      <c r="D178" s="757">
        <v>3</v>
      </c>
      <c r="E178" s="757">
        <v>4</v>
      </c>
      <c r="F178" s="757">
        <v>5</v>
      </c>
      <c r="G178" s="757">
        <v>6</v>
      </c>
      <c r="H178" s="757">
        <v>7</v>
      </c>
      <c r="I178" s="757">
        <v>8</v>
      </c>
      <c r="J178" s="757">
        <v>9</v>
      </c>
      <c r="K178" s="757">
        <v>10</v>
      </c>
      <c r="L178" s="757">
        <v>11</v>
      </c>
      <c r="M178" s="202"/>
      <c r="N178" s="202"/>
    </row>
    <row r="179" spans="1:15" x14ac:dyDescent="0.25">
      <c r="A179" s="270" t="s">
        <v>1599</v>
      </c>
      <c r="B179" s="218">
        <f>ROUND((+B199*1.01),2)</f>
        <v>14.03</v>
      </c>
      <c r="C179" s="218">
        <f t="shared" ref="C179:K179" si="87">ROUND((+C199*1.01),2)</f>
        <v>14.37</v>
      </c>
      <c r="D179" s="218">
        <f t="shared" si="87"/>
        <v>14.73</v>
      </c>
      <c r="E179" s="218">
        <f t="shared" si="87"/>
        <v>15.11</v>
      </c>
      <c r="F179" s="218">
        <f t="shared" si="87"/>
        <v>15.47</v>
      </c>
      <c r="G179" s="218">
        <f t="shared" si="87"/>
        <v>15.87</v>
      </c>
      <c r="H179" s="218">
        <f t="shared" si="87"/>
        <v>16.23</v>
      </c>
      <c r="I179" s="218">
        <f t="shared" si="87"/>
        <v>16.579999999999998</v>
      </c>
      <c r="J179" s="218">
        <f t="shared" si="87"/>
        <v>16.920000000000002</v>
      </c>
      <c r="K179" s="218">
        <f t="shared" si="87"/>
        <v>17.260000000000002</v>
      </c>
      <c r="M179" s="202"/>
    </row>
    <row r="180" spans="1:15" x14ac:dyDescent="0.25">
      <c r="A180" s="270" t="s">
        <v>1603</v>
      </c>
      <c r="B180" s="218">
        <f t="shared" ref="B180:K183" si="88">ROUND((+B200*1.01),2)</f>
        <v>16.53</v>
      </c>
      <c r="C180" s="218">
        <f t="shared" si="88"/>
        <v>16.95</v>
      </c>
      <c r="D180" s="218">
        <f t="shared" si="88"/>
        <v>17.37</v>
      </c>
      <c r="E180" s="218">
        <f t="shared" si="88"/>
        <v>17.8</v>
      </c>
      <c r="F180" s="218">
        <f t="shared" si="88"/>
        <v>18.25</v>
      </c>
      <c r="G180" s="218">
        <f t="shared" si="88"/>
        <v>18.71</v>
      </c>
      <c r="H180" s="218">
        <f t="shared" si="88"/>
        <v>19.18</v>
      </c>
      <c r="I180" s="218">
        <f t="shared" si="88"/>
        <v>19.55</v>
      </c>
      <c r="J180" s="218">
        <f t="shared" si="88"/>
        <v>19.95</v>
      </c>
      <c r="K180" s="218">
        <f t="shared" si="88"/>
        <v>20.350000000000001</v>
      </c>
      <c r="M180" s="202"/>
      <c r="O180" s="202"/>
    </row>
    <row r="181" spans="1:15" x14ac:dyDescent="0.25">
      <c r="A181" s="270" t="s">
        <v>1609</v>
      </c>
      <c r="B181" s="218">
        <f t="shared" si="88"/>
        <v>17.79</v>
      </c>
      <c r="C181" s="218">
        <f t="shared" si="88"/>
        <v>18.239999999999998</v>
      </c>
      <c r="D181" s="218">
        <f t="shared" si="88"/>
        <v>18.690000000000001</v>
      </c>
      <c r="E181" s="218">
        <f t="shared" si="88"/>
        <v>19.16</v>
      </c>
      <c r="F181" s="218">
        <f t="shared" si="88"/>
        <v>19.63</v>
      </c>
      <c r="G181" s="218">
        <f t="shared" si="88"/>
        <v>20.14</v>
      </c>
      <c r="H181" s="218">
        <f t="shared" si="88"/>
        <v>20.62</v>
      </c>
      <c r="I181" s="218">
        <f t="shared" si="88"/>
        <v>21.04</v>
      </c>
      <c r="J181" s="218">
        <f t="shared" si="88"/>
        <v>21.46</v>
      </c>
      <c r="K181" s="218">
        <f t="shared" si="88"/>
        <v>21.89</v>
      </c>
      <c r="M181" s="202"/>
    </row>
    <row r="182" spans="1:15" x14ac:dyDescent="0.25">
      <c r="A182" s="270" t="s">
        <v>1612</v>
      </c>
      <c r="B182" s="218">
        <f t="shared" si="88"/>
        <v>19.39</v>
      </c>
      <c r="C182" s="218">
        <f t="shared" si="88"/>
        <v>19.87</v>
      </c>
      <c r="D182" s="218">
        <f t="shared" si="88"/>
        <v>20.37</v>
      </c>
      <c r="E182" s="218">
        <f t="shared" si="88"/>
        <v>20.88</v>
      </c>
      <c r="F182" s="218">
        <f t="shared" si="88"/>
        <v>21.4</v>
      </c>
      <c r="G182" s="218">
        <f t="shared" si="88"/>
        <v>21.94</v>
      </c>
      <c r="H182" s="218">
        <f t="shared" si="88"/>
        <v>22.49</v>
      </c>
      <c r="I182" s="218">
        <f t="shared" si="88"/>
        <v>22.93</v>
      </c>
      <c r="J182" s="218">
        <f t="shared" si="88"/>
        <v>23.4</v>
      </c>
      <c r="K182" s="218">
        <f t="shared" si="88"/>
        <v>23.86</v>
      </c>
    </row>
    <row r="183" spans="1:15" x14ac:dyDescent="0.25">
      <c r="A183" s="270" t="s">
        <v>1700</v>
      </c>
      <c r="B183" s="218">
        <f t="shared" si="88"/>
        <v>20.93</v>
      </c>
      <c r="C183" s="218">
        <f t="shared" si="88"/>
        <v>21.45</v>
      </c>
      <c r="D183" s="218">
        <f t="shared" si="88"/>
        <v>21.99</v>
      </c>
      <c r="E183" s="218">
        <f t="shared" si="88"/>
        <v>22.54</v>
      </c>
      <c r="F183" s="218">
        <f t="shared" si="88"/>
        <v>23.1</v>
      </c>
      <c r="G183" s="218">
        <f t="shared" si="88"/>
        <v>23.67</v>
      </c>
      <c r="H183" s="218">
        <f t="shared" si="88"/>
        <v>24.28</v>
      </c>
      <c r="I183" s="218">
        <f t="shared" si="88"/>
        <v>24.76</v>
      </c>
      <c r="J183" s="218">
        <f t="shared" si="88"/>
        <v>25.26</v>
      </c>
      <c r="K183" s="218">
        <f t="shared" si="88"/>
        <v>25.76</v>
      </c>
    </row>
    <row r="184" spans="1:15" x14ac:dyDescent="0.25">
      <c r="A184" s="270" t="s">
        <v>1701</v>
      </c>
      <c r="B184" s="282">
        <f>ROUND((+B204*1.01),0)</f>
        <v>52986</v>
      </c>
      <c r="C184" s="282">
        <f t="shared" ref="C184:K184" si="89">ROUND((+C204*1.01),0)</f>
        <v>54311</v>
      </c>
      <c r="D184" s="282">
        <f t="shared" si="89"/>
        <v>55668</v>
      </c>
      <c r="E184" s="282">
        <f t="shared" si="89"/>
        <v>57060</v>
      </c>
      <c r="F184" s="282">
        <f t="shared" si="89"/>
        <v>58487</v>
      </c>
      <c r="G184" s="282">
        <f t="shared" si="89"/>
        <v>59950</v>
      </c>
      <c r="H184" s="282">
        <f t="shared" si="89"/>
        <v>61148</v>
      </c>
      <c r="I184" s="282">
        <f t="shared" si="89"/>
        <v>62371</v>
      </c>
      <c r="J184" s="282">
        <f t="shared" si="89"/>
        <v>63618</v>
      </c>
      <c r="K184" s="282">
        <f t="shared" si="89"/>
        <v>64890</v>
      </c>
    </row>
    <row r="185" spans="1:15" x14ac:dyDescent="0.25">
      <c r="A185" s="270" t="s">
        <v>1702</v>
      </c>
      <c r="B185" s="282">
        <f t="shared" ref="B185:K188" si="90">ROUND((+B205*1.01),0)</f>
        <v>56303</v>
      </c>
      <c r="C185" s="282">
        <f t="shared" si="90"/>
        <v>57711</v>
      </c>
      <c r="D185" s="282">
        <f t="shared" si="90"/>
        <v>59155</v>
      </c>
      <c r="E185" s="282">
        <f t="shared" si="90"/>
        <v>60633</v>
      </c>
      <c r="F185" s="282">
        <f t="shared" si="90"/>
        <v>62148</v>
      </c>
      <c r="G185" s="282">
        <f t="shared" si="90"/>
        <v>63702</v>
      </c>
      <c r="H185" s="282">
        <f t="shared" si="90"/>
        <v>64977</v>
      </c>
      <c r="I185" s="282">
        <f t="shared" si="90"/>
        <v>66276</v>
      </c>
      <c r="J185" s="282">
        <f t="shared" si="90"/>
        <v>67602</v>
      </c>
      <c r="K185" s="282">
        <f t="shared" si="90"/>
        <v>68954</v>
      </c>
    </row>
    <row r="186" spans="1:15" x14ac:dyDescent="0.25">
      <c r="A186" s="270" t="s">
        <v>1704</v>
      </c>
      <c r="B186" s="282">
        <f t="shared" si="90"/>
        <v>71567</v>
      </c>
      <c r="C186" s="282">
        <f t="shared" si="90"/>
        <v>73355</v>
      </c>
      <c r="D186" s="282">
        <f t="shared" si="90"/>
        <v>75188</v>
      </c>
      <c r="E186" s="282">
        <f t="shared" si="90"/>
        <v>77069</v>
      </c>
      <c r="F186" s="282">
        <f t="shared" si="90"/>
        <v>78995</v>
      </c>
      <c r="G186" s="282">
        <f t="shared" si="90"/>
        <v>80971</v>
      </c>
      <c r="H186" s="282">
        <f t="shared" si="90"/>
        <v>82995</v>
      </c>
      <c r="I186" s="282">
        <f t="shared" si="90"/>
        <v>84655</v>
      </c>
      <c r="J186" s="282">
        <f t="shared" si="90"/>
        <v>86347</v>
      </c>
      <c r="K186" s="282">
        <f t="shared" si="90"/>
        <v>88074</v>
      </c>
    </row>
    <row r="187" spans="1:15" x14ac:dyDescent="0.25">
      <c r="A187" s="270" t="s">
        <v>1705</v>
      </c>
      <c r="B187" s="282">
        <f t="shared" si="90"/>
        <v>78722</v>
      </c>
      <c r="C187" s="282">
        <f t="shared" si="90"/>
        <v>80690</v>
      </c>
      <c r="D187" s="282">
        <f t="shared" si="90"/>
        <v>82708</v>
      </c>
      <c r="E187" s="282">
        <f t="shared" si="90"/>
        <v>84775</v>
      </c>
      <c r="F187" s="282">
        <f t="shared" si="90"/>
        <v>86894</v>
      </c>
      <c r="G187" s="282">
        <f t="shared" si="90"/>
        <v>89066</v>
      </c>
      <c r="H187" s="282">
        <f t="shared" si="90"/>
        <v>91293</v>
      </c>
      <c r="I187" s="282">
        <f t="shared" si="90"/>
        <v>93120</v>
      </c>
      <c r="J187" s="282">
        <f t="shared" si="90"/>
        <v>94981</v>
      </c>
      <c r="K187" s="282">
        <f t="shared" si="90"/>
        <v>96881</v>
      </c>
    </row>
    <row r="188" spans="1:15" x14ac:dyDescent="0.25">
      <c r="A188" s="270" t="s">
        <v>1706</v>
      </c>
      <c r="B188" s="282">
        <f t="shared" si="90"/>
        <v>86594</v>
      </c>
      <c r="C188" s="282">
        <f t="shared" si="90"/>
        <v>88759</v>
      </c>
      <c r="D188" s="282">
        <f t="shared" si="90"/>
        <v>90979</v>
      </c>
      <c r="E188" s="282">
        <f t="shared" si="90"/>
        <v>93253</v>
      </c>
      <c r="F188" s="282">
        <f t="shared" si="90"/>
        <v>95584</v>
      </c>
      <c r="G188" s="282">
        <f t="shared" si="90"/>
        <v>97974</v>
      </c>
      <c r="H188" s="282">
        <f t="shared" si="90"/>
        <v>100423</v>
      </c>
      <c r="I188" s="282">
        <f t="shared" si="90"/>
        <v>102431</v>
      </c>
      <c r="J188" s="282">
        <f t="shared" si="90"/>
        <v>104480</v>
      </c>
      <c r="K188" s="282">
        <f t="shared" si="90"/>
        <v>106570</v>
      </c>
    </row>
    <row r="190" spans="1:15" x14ac:dyDescent="0.25">
      <c r="A190" s="270" t="s">
        <v>762</v>
      </c>
      <c r="B190" s="288" t="s">
        <v>1720</v>
      </c>
      <c r="C190" s="317"/>
      <c r="D190" s="317"/>
      <c r="E190" s="317"/>
    </row>
    <row r="191" spans="1:15" x14ac:dyDescent="0.25">
      <c r="A191" s="270" t="s">
        <v>1699</v>
      </c>
      <c r="B191" s="757">
        <v>1</v>
      </c>
      <c r="C191" s="757">
        <v>2</v>
      </c>
      <c r="D191" s="757">
        <v>3</v>
      </c>
      <c r="E191" s="757">
        <v>4</v>
      </c>
      <c r="F191" s="757">
        <v>5</v>
      </c>
      <c r="G191" s="757">
        <v>6</v>
      </c>
      <c r="H191" s="757">
        <v>7</v>
      </c>
      <c r="I191" s="757">
        <v>8</v>
      </c>
      <c r="J191" s="757">
        <v>9</v>
      </c>
      <c r="K191" s="757">
        <v>10</v>
      </c>
      <c r="L191" s="757">
        <v>11</v>
      </c>
    </row>
    <row r="192" spans="1:15" x14ac:dyDescent="0.25">
      <c r="A192" s="270" t="s">
        <v>1709</v>
      </c>
      <c r="B192" s="1">
        <f>ROUND((+B184/1827),2)</f>
        <v>29</v>
      </c>
      <c r="C192" s="1">
        <f t="shared" ref="C192:K192" si="91">ROUND((+C184/1827),2)</f>
        <v>29.73</v>
      </c>
      <c r="D192" s="1">
        <f t="shared" si="91"/>
        <v>30.47</v>
      </c>
      <c r="E192" s="1">
        <f t="shared" si="91"/>
        <v>31.23</v>
      </c>
      <c r="F192" s="1">
        <f t="shared" si="91"/>
        <v>32.01</v>
      </c>
      <c r="G192" s="1">
        <f t="shared" si="91"/>
        <v>32.81</v>
      </c>
      <c r="H192" s="1">
        <f t="shared" si="91"/>
        <v>33.47</v>
      </c>
      <c r="I192" s="1">
        <f t="shared" si="91"/>
        <v>34.14</v>
      </c>
      <c r="J192" s="1">
        <f t="shared" si="91"/>
        <v>34.82</v>
      </c>
      <c r="K192" s="1">
        <f t="shared" si="91"/>
        <v>35.520000000000003</v>
      </c>
    </row>
    <row r="193" spans="1:12" x14ac:dyDescent="0.25">
      <c r="A193" s="270" t="s">
        <v>200</v>
      </c>
      <c r="B193" s="1">
        <f>ROUND((+B184/2080),2)</f>
        <v>25.47</v>
      </c>
      <c r="C193" s="1">
        <f t="shared" ref="C193:K193" si="92">ROUND((+C184/2080),2)</f>
        <v>26.11</v>
      </c>
      <c r="D193" s="1">
        <f t="shared" si="92"/>
        <v>26.76</v>
      </c>
      <c r="E193" s="1">
        <f t="shared" si="92"/>
        <v>27.43</v>
      </c>
      <c r="F193" s="1">
        <f t="shared" si="92"/>
        <v>28.12</v>
      </c>
      <c r="G193" s="1">
        <f t="shared" si="92"/>
        <v>28.82</v>
      </c>
      <c r="H193" s="1">
        <f t="shared" si="92"/>
        <v>29.4</v>
      </c>
      <c r="I193" s="1">
        <f t="shared" si="92"/>
        <v>29.99</v>
      </c>
      <c r="J193" s="1">
        <f t="shared" si="92"/>
        <v>30.59</v>
      </c>
      <c r="K193" s="1">
        <f t="shared" si="92"/>
        <v>31.2</v>
      </c>
    </row>
    <row r="194" spans="1:12" x14ac:dyDescent="0.25">
      <c r="A194" s="124" t="s">
        <v>1712</v>
      </c>
      <c r="G194" s="64">
        <f>ROUND(((+G185*1.085)/52.2/37.69),2)</f>
        <v>35.130000000000003</v>
      </c>
      <c r="H194" s="64">
        <f>ROUND(((+H185*1.085)/52.2/37.69),2)</f>
        <v>35.83</v>
      </c>
      <c r="I194" s="64">
        <f>ROUND(((+I185*1.085)/52.2/37.69),2)</f>
        <v>36.549999999999997</v>
      </c>
      <c r="J194" s="64">
        <f>ROUND(((+J185*1.085)/52.2/37.69),2)</f>
        <v>37.28</v>
      </c>
      <c r="K194" s="64">
        <f>ROUND(((+K185*1.085)/52.2/37.69),2)</f>
        <v>38.03</v>
      </c>
    </row>
    <row r="196" spans="1:12" x14ac:dyDescent="0.25">
      <c r="A196" s="281" t="s">
        <v>1724</v>
      </c>
    </row>
    <row r="197" spans="1:12" x14ac:dyDescent="0.25">
      <c r="B197" s="202" t="s">
        <v>1672</v>
      </c>
    </row>
    <row r="198" spans="1:12" x14ac:dyDescent="0.25">
      <c r="A198" s="270" t="s">
        <v>1699</v>
      </c>
      <c r="B198" s="757">
        <v>1</v>
      </c>
      <c r="C198" s="757">
        <v>2</v>
      </c>
      <c r="D198" s="757">
        <v>3</v>
      </c>
      <c r="E198" s="757">
        <v>4</v>
      </c>
      <c r="F198" s="757">
        <v>5</v>
      </c>
      <c r="G198" s="757">
        <v>6</v>
      </c>
      <c r="H198" s="757">
        <v>7</v>
      </c>
      <c r="I198" s="757">
        <v>8</v>
      </c>
      <c r="J198" s="757">
        <v>9</v>
      </c>
      <c r="K198" s="757">
        <v>10</v>
      </c>
      <c r="L198" s="757">
        <v>11</v>
      </c>
    </row>
    <row r="199" spans="1:12" x14ac:dyDescent="0.25">
      <c r="A199" s="270" t="s">
        <v>1599</v>
      </c>
      <c r="B199" s="218">
        <f>ROUND((+B218*1.01),2)</f>
        <v>13.89</v>
      </c>
      <c r="C199" s="218">
        <f t="shared" ref="C199:K199" si="93">ROUND((+C218*1.01),2)</f>
        <v>14.23</v>
      </c>
      <c r="D199" s="218">
        <f t="shared" si="93"/>
        <v>14.58</v>
      </c>
      <c r="E199" s="218">
        <f t="shared" si="93"/>
        <v>14.96</v>
      </c>
      <c r="F199" s="218">
        <f t="shared" si="93"/>
        <v>15.32</v>
      </c>
      <c r="G199" s="218">
        <f t="shared" si="93"/>
        <v>15.71</v>
      </c>
      <c r="H199" s="218">
        <f t="shared" si="93"/>
        <v>16.07</v>
      </c>
      <c r="I199" s="218">
        <f t="shared" si="93"/>
        <v>16.420000000000002</v>
      </c>
      <c r="J199" s="218">
        <f t="shared" si="93"/>
        <v>16.75</v>
      </c>
      <c r="K199" s="218">
        <f t="shared" si="93"/>
        <v>17.09</v>
      </c>
    </row>
    <row r="200" spans="1:12" x14ac:dyDescent="0.25">
      <c r="A200" s="270" t="s">
        <v>1603</v>
      </c>
      <c r="B200" s="218">
        <f t="shared" ref="B200:K203" si="94">ROUND((+B219*1.01),2)</f>
        <v>16.37</v>
      </c>
      <c r="C200" s="218">
        <f t="shared" si="94"/>
        <v>16.78</v>
      </c>
      <c r="D200" s="218">
        <f t="shared" si="94"/>
        <v>17.2</v>
      </c>
      <c r="E200" s="218">
        <f t="shared" si="94"/>
        <v>17.62</v>
      </c>
      <c r="F200" s="218">
        <f t="shared" si="94"/>
        <v>18.07</v>
      </c>
      <c r="G200" s="218">
        <f t="shared" si="94"/>
        <v>18.52</v>
      </c>
      <c r="H200" s="218">
        <f t="shared" si="94"/>
        <v>18.989999999999998</v>
      </c>
      <c r="I200" s="218">
        <f t="shared" si="94"/>
        <v>19.36</v>
      </c>
      <c r="J200" s="218">
        <f t="shared" si="94"/>
        <v>19.75</v>
      </c>
      <c r="K200" s="218">
        <f t="shared" si="94"/>
        <v>20.149999999999999</v>
      </c>
    </row>
    <row r="201" spans="1:12" x14ac:dyDescent="0.25">
      <c r="A201" s="270" t="s">
        <v>1609</v>
      </c>
      <c r="B201" s="218">
        <f t="shared" si="94"/>
        <v>17.61</v>
      </c>
      <c r="C201" s="218">
        <f t="shared" si="94"/>
        <v>18.059999999999999</v>
      </c>
      <c r="D201" s="218">
        <f t="shared" si="94"/>
        <v>18.5</v>
      </c>
      <c r="E201" s="218">
        <f t="shared" si="94"/>
        <v>18.97</v>
      </c>
      <c r="F201" s="218">
        <f t="shared" si="94"/>
        <v>19.440000000000001</v>
      </c>
      <c r="G201" s="218">
        <f t="shared" si="94"/>
        <v>19.940000000000001</v>
      </c>
      <c r="H201" s="218">
        <f t="shared" si="94"/>
        <v>20.420000000000002</v>
      </c>
      <c r="I201" s="218">
        <f t="shared" si="94"/>
        <v>20.83</v>
      </c>
      <c r="J201" s="218">
        <f t="shared" si="94"/>
        <v>21.25</v>
      </c>
      <c r="K201" s="218">
        <f t="shared" si="94"/>
        <v>21.67</v>
      </c>
    </row>
    <row r="202" spans="1:12" x14ac:dyDescent="0.25">
      <c r="A202" s="270" t="s">
        <v>1612</v>
      </c>
      <c r="B202" s="218">
        <f t="shared" si="94"/>
        <v>19.2</v>
      </c>
      <c r="C202" s="218">
        <f t="shared" si="94"/>
        <v>19.670000000000002</v>
      </c>
      <c r="D202" s="218">
        <f t="shared" si="94"/>
        <v>20.170000000000002</v>
      </c>
      <c r="E202" s="218">
        <f t="shared" si="94"/>
        <v>20.67</v>
      </c>
      <c r="F202" s="218">
        <f t="shared" si="94"/>
        <v>21.19</v>
      </c>
      <c r="G202" s="218">
        <f t="shared" si="94"/>
        <v>21.72</v>
      </c>
      <c r="H202" s="218">
        <f t="shared" si="94"/>
        <v>22.27</v>
      </c>
      <c r="I202" s="218">
        <f t="shared" si="94"/>
        <v>22.7</v>
      </c>
      <c r="J202" s="218">
        <f t="shared" si="94"/>
        <v>23.17</v>
      </c>
      <c r="K202" s="218">
        <f t="shared" si="94"/>
        <v>23.62</v>
      </c>
    </row>
    <row r="203" spans="1:12" x14ac:dyDescent="0.25">
      <c r="A203" s="270" t="s">
        <v>1700</v>
      </c>
      <c r="B203" s="218">
        <f t="shared" si="94"/>
        <v>20.72</v>
      </c>
      <c r="C203" s="218">
        <f t="shared" si="94"/>
        <v>21.24</v>
      </c>
      <c r="D203" s="218">
        <f t="shared" si="94"/>
        <v>21.77</v>
      </c>
      <c r="E203" s="218">
        <f t="shared" si="94"/>
        <v>22.32</v>
      </c>
      <c r="F203" s="218">
        <f t="shared" si="94"/>
        <v>22.87</v>
      </c>
      <c r="G203" s="218">
        <f t="shared" si="94"/>
        <v>23.44</v>
      </c>
      <c r="H203" s="218">
        <f t="shared" si="94"/>
        <v>24.04</v>
      </c>
      <c r="I203" s="218">
        <f t="shared" si="94"/>
        <v>24.51</v>
      </c>
      <c r="J203" s="218">
        <f t="shared" si="94"/>
        <v>25.01</v>
      </c>
      <c r="K203" s="218">
        <f t="shared" si="94"/>
        <v>25.5</v>
      </c>
    </row>
    <row r="204" spans="1:12" x14ac:dyDescent="0.25">
      <c r="A204" s="270" t="s">
        <v>1701</v>
      </c>
      <c r="B204" s="219">
        <f>ROUND((+B223*1.01),0)</f>
        <v>52461</v>
      </c>
      <c r="C204" s="219">
        <f t="shared" ref="C204:K204" si="95">ROUND((+C223*1.01),0)</f>
        <v>53773</v>
      </c>
      <c r="D204" s="219">
        <f t="shared" si="95"/>
        <v>55117</v>
      </c>
      <c r="E204" s="219">
        <f t="shared" si="95"/>
        <v>56495</v>
      </c>
      <c r="F204" s="219">
        <f t="shared" si="95"/>
        <v>57908</v>
      </c>
      <c r="G204" s="219">
        <f t="shared" si="95"/>
        <v>59356</v>
      </c>
      <c r="H204" s="219">
        <f t="shared" si="95"/>
        <v>60543</v>
      </c>
      <c r="I204" s="219">
        <f t="shared" si="95"/>
        <v>61753</v>
      </c>
      <c r="J204" s="219">
        <f t="shared" si="95"/>
        <v>62988</v>
      </c>
      <c r="K204" s="219">
        <f t="shared" si="95"/>
        <v>64248</v>
      </c>
    </row>
    <row r="205" spans="1:12" x14ac:dyDescent="0.25">
      <c r="A205" s="270" t="s">
        <v>1702</v>
      </c>
      <c r="B205" s="219">
        <f t="shared" ref="B205:K208" si="96">ROUND((+B224*1.01),0)</f>
        <v>55746</v>
      </c>
      <c r="C205" s="219">
        <f t="shared" si="96"/>
        <v>57140</v>
      </c>
      <c r="D205" s="219">
        <f t="shared" si="96"/>
        <v>58569</v>
      </c>
      <c r="E205" s="219">
        <f t="shared" si="96"/>
        <v>60033</v>
      </c>
      <c r="F205" s="219">
        <f t="shared" si="96"/>
        <v>61533</v>
      </c>
      <c r="G205" s="219">
        <f t="shared" si="96"/>
        <v>63071</v>
      </c>
      <c r="H205" s="219">
        <f t="shared" si="96"/>
        <v>64334</v>
      </c>
      <c r="I205" s="219">
        <f t="shared" si="96"/>
        <v>65620</v>
      </c>
      <c r="J205" s="219">
        <f t="shared" si="96"/>
        <v>66933</v>
      </c>
      <c r="K205" s="219">
        <f t="shared" si="96"/>
        <v>68271</v>
      </c>
    </row>
    <row r="206" spans="1:12" x14ac:dyDescent="0.25">
      <c r="A206" s="270" t="s">
        <v>1704</v>
      </c>
      <c r="B206" s="219">
        <f t="shared" si="96"/>
        <v>70858</v>
      </c>
      <c r="C206" s="219">
        <f t="shared" si="96"/>
        <v>72629</v>
      </c>
      <c r="D206" s="219">
        <f t="shared" si="96"/>
        <v>74444</v>
      </c>
      <c r="E206" s="219">
        <f t="shared" si="96"/>
        <v>76306</v>
      </c>
      <c r="F206" s="219">
        <f t="shared" si="96"/>
        <v>78213</v>
      </c>
      <c r="G206" s="219">
        <f t="shared" si="96"/>
        <v>80169</v>
      </c>
      <c r="H206" s="219">
        <f t="shared" si="96"/>
        <v>82173</v>
      </c>
      <c r="I206" s="219">
        <f t="shared" si="96"/>
        <v>83817</v>
      </c>
      <c r="J206" s="219">
        <f t="shared" si="96"/>
        <v>85492</v>
      </c>
      <c r="K206" s="219">
        <f t="shared" si="96"/>
        <v>87202</v>
      </c>
    </row>
    <row r="207" spans="1:12" x14ac:dyDescent="0.25">
      <c r="A207" s="270" t="s">
        <v>1705</v>
      </c>
      <c r="B207" s="219">
        <f t="shared" si="96"/>
        <v>77943</v>
      </c>
      <c r="C207" s="219">
        <f t="shared" si="96"/>
        <v>79891</v>
      </c>
      <c r="D207" s="219">
        <f t="shared" si="96"/>
        <v>81889</v>
      </c>
      <c r="E207" s="219">
        <f t="shared" si="96"/>
        <v>83936</v>
      </c>
      <c r="F207" s="219">
        <f t="shared" si="96"/>
        <v>86034</v>
      </c>
      <c r="G207" s="219">
        <f t="shared" si="96"/>
        <v>88184</v>
      </c>
      <c r="H207" s="219">
        <f t="shared" si="96"/>
        <v>90389</v>
      </c>
      <c r="I207" s="219">
        <f t="shared" si="96"/>
        <v>92198</v>
      </c>
      <c r="J207" s="219">
        <f t="shared" si="96"/>
        <v>94041</v>
      </c>
      <c r="K207" s="219">
        <f t="shared" si="96"/>
        <v>95922</v>
      </c>
    </row>
    <row r="208" spans="1:12" x14ac:dyDescent="0.25">
      <c r="A208" s="270" t="s">
        <v>1706</v>
      </c>
      <c r="B208" s="219">
        <f t="shared" si="96"/>
        <v>85737</v>
      </c>
      <c r="C208" s="219">
        <f t="shared" si="96"/>
        <v>87880</v>
      </c>
      <c r="D208" s="219">
        <f t="shared" si="96"/>
        <v>90078</v>
      </c>
      <c r="E208" s="219">
        <f t="shared" si="96"/>
        <v>92330</v>
      </c>
      <c r="F208" s="219">
        <f t="shared" si="96"/>
        <v>94638</v>
      </c>
      <c r="G208" s="219">
        <f t="shared" si="96"/>
        <v>97004</v>
      </c>
      <c r="H208" s="219">
        <f t="shared" si="96"/>
        <v>99429</v>
      </c>
      <c r="I208" s="219">
        <f t="shared" si="96"/>
        <v>101417</v>
      </c>
      <c r="J208" s="219">
        <f t="shared" si="96"/>
        <v>103446</v>
      </c>
      <c r="K208" s="219">
        <f t="shared" si="96"/>
        <v>105515</v>
      </c>
    </row>
    <row r="210" spans="1:12" x14ac:dyDescent="0.25">
      <c r="A210" s="270" t="s">
        <v>762</v>
      </c>
      <c r="B210" s="202" t="s">
        <v>1725</v>
      </c>
    </row>
    <row r="211" spans="1:12" x14ac:dyDescent="0.25">
      <c r="A211" s="270" t="s">
        <v>1699</v>
      </c>
      <c r="B211" s="757">
        <v>1</v>
      </c>
      <c r="C211" s="757">
        <v>2</v>
      </c>
      <c r="D211" s="757">
        <v>3</v>
      </c>
      <c r="E211" s="757">
        <v>4</v>
      </c>
      <c r="F211" s="757">
        <v>5</v>
      </c>
      <c r="G211" s="757">
        <v>6</v>
      </c>
      <c r="H211" s="757">
        <v>7</v>
      </c>
      <c r="I211" s="757">
        <v>8</v>
      </c>
      <c r="J211" s="757">
        <v>9</v>
      </c>
      <c r="K211" s="757">
        <v>10</v>
      </c>
      <c r="L211" s="757">
        <v>11</v>
      </c>
    </row>
    <row r="212" spans="1:12" x14ac:dyDescent="0.25">
      <c r="A212" s="270" t="s">
        <v>1701</v>
      </c>
      <c r="B212" s="1">
        <f>ROUND((+B204/1834),2)</f>
        <v>28.6</v>
      </c>
      <c r="C212" s="1">
        <f t="shared" ref="C212:K212" si="97">ROUND((+C204/1827),2)</f>
        <v>29.43</v>
      </c>
      <c r="D212" s="1">
        <f t="shared" si="97"/>
        <v>30.17</v>
      </c>
      <c r="E212" s="1">
        <f t="shared" si="97"/>
        <v>30.92</v>
      </c>
      <c r="F212" s="1">
        <f t="shared" si="97"/>
        <v>31.7</v>
      </c>
      <c r="G212" s="1">
        <f t="shared" si="97"/>
        <v>32.49</v>
      </c>
      <c r="H212" s="1">
        <f t="shared" si="97"/>
        <v>33.14</v>
      </c>
      <c r="I212" s="1">
        <f t="shared" si="97"/>
        <v>33.799999999999997</v>
      </c>
      <c r="J212" s="1">
        <f t="shared" si="97"/>
        <v>34.479999999999997</v>
      </c>
      <c r="K212" s="1">
        <f t="shared" si="97"/>
        <v>35.17</v>
      </c>
    </row>
    <row r="213" spans="1:12" x14ac:dyDescent="0.25">
      <c r="A213" s="270" t="s">
        <v>200</v>
      </c>
      <c r="B213" s="1">
        <f>ROUND((+B204/2100),2)</f>
        <v>24.98</v>
      </c>
      <c r="C213" s="1">
        <f t="shared" ref="C213:K213" si="98">ROUND((+C204/2100),2)</f>
        <v>25.61</v>
      </c>
      <c r="D213" s="1">
        <f t="shared" si="98"/>
        <v>26.25</v>
      </c>
      <c r="E213" s="1">
        <f t="shared" si="98"/>
        <v>26.9</v>
      </c>
      <c r="F213" s="1">
        <f t="shared" si="98"/>
        <v>27.58</v>
      </c>
      <c r="G213" s="1">
        <f t="shared" si="98"/>
        <v>28.26</v>
      </c>
      <c r="H213" s="1">
        <f t="shared" si="98"/>
        <v>28.83</v>
      </c>
      <c r="I213" s="1">
        <f t="shared" si="98"/>
        <v>29.41</v>
      </c>
      <c r="J213" s="1">
        <f t="shared" si="98"/>
        <v>29.99</v>
      </c>
      <c r="K213" s="1">
        <f t="shared" si="98"/>
        <v>30.59</v>
      </c>
    </row>
    <row r="214" spans="1:12" x14ac:dyDescent="0.25">
      <c r="A214" s="124" t="s">
        <v>1712</v>
      </c>
      <c r="G214" s="64">
        <f>ROUND(((+G205*1.085)/52.2/37.69),2)</f>
        <v>34.78</v>
      </c>
      <c r="H214" s="64">
        <f>ROUND(((+H205*1.085)/52.2/37.69),2)</f>
        <v>35.479999999999997</v>
      </c>
      <c r="I214" s="64">
        <f>ROUND(((+I205*1.085)/52.2/37.69),2)</f>
        <v>36.19</v>
      </c>
      <c r="J214" s="64">
        <f>ROUND(((+J205*1.085)/52.2/37.69),2)</f>
        <v>36.909999999999997</v>
      </c>
      <c r="K214" s="64">
        <f>ROUND(((+K205*1.085)/52.2/37.69),2)</f>
        <v>37.65</v>
      </c>
    </row>
    <row r="215" spans="1:12" ht="27.75" customHeight="1" x14ac:dyDescent="0.25">
      <c r="A215" s="281" t="s">
        <v>1726</v>
      </c>
    </row>
    <row r="216" spans="1:12" x14ac:dyDescent="0.25">
      <c r="B216" s="202" t="s">
        <v>1672</v>
      </c>
    </row>
    <row r="217" spans="1:12" x14ac:dyDescent="0.25">
      <c r="A217" s="270" t="s">
        <v>1699</v>
      </c>
      <c r="B217" s="757">
        <v>1</v>
      </c>
      <c r="C217" s="757">
        <v>2</v>
      </c>
      <c r="D217" s="757">
        <v>3</v>
      </c>
      <c r="E217" s="757">
        <v>4</v>
      </c>
      <c r="F217" s="757">
        <v>5</v>
      </c>
      <c r="G217" s="757">
        <v>6</v>
      </c>
      <c r="H217" s="757">
        <v>7</v>
      </c>
      <c r="I217" s="757">
        <v>8</v>
      </c>
      <c r="J217" s="757">
        <v>9</v>
      </c>
      <c r="K217" s="757">
        <v>10</v>
      </c>
      <c r="L217" s="757">
        <v>11</v>
      </c>
    </row>
    <row r="218" spans="1:12" x14ac:dyDescent="0.25">
      <c r="A218" s="270" t="s">
        <v>1599</v>
      </c>
      <c r="B218" s="218">
        <f>ROUND((+B245*1.01),2)</f>
        <v>13.75</v>
      </c>
      <c r="C218" s="218">
        <f t="shared" ref="C218:K218" si="99">ROUND((+C245*1.01),2)</f>
        <v>14.09</v>
      </c>
      <c r="D218" s="218">
        <f t="shared" si="99"/>
        <v>14.44</v>
      </c>
      <c r="E218" s="218">
        <f t="shared" si="99"/>
        <v>14.81</v>
      </c>
      <c r="F218" s="218">
        <f t="shared" si="99"/>
        <v>15.17</v>
      </c>
      <c r="G218" s="218">
        <f t="shared" si="99"/>
        <v>15.55</v>
      </c>
      <c r="H218" s="218">
        <f t="shared" si="99"/>
        <v>15.91</v>
      </c>
      <c r="I218" s="218">
        <f t="shared" si="99"/>
        <v>16.260000000000002</v>
      </c>
      <c r="J218" s="218">
        <f t="shared" si="99"/>
        <v>16.579999999999998</v>
      </c>
      <c r="K218" s="218">
        <f t="shared" si="99"/>
        <v>16.920000000000002</v>
      </c>
    </row>
    <row r="219" spans="1:12" x14ac:dyDescent="0.25">
      <c r="A219" s="270" t="s">
        <v>1603</v>
      </c>
      <c r="B219" s="218">
        <f>ROUND((+B244*1.01),2)</f>
        <v>16.21</v>
      </c>
      <c r="C219" s="218">
        <f t="shared" ref="C219:K219" si="100">ROUND((+C244*1.01),2)</f>
        <v>16.61</v>
      </c>
      <c r="D219" s="218">
        <f t="shared" si="100"/>
        <v>17.03</v>
      </c>
      <c r="E219" s="218">
        <f t="shared" si="100"/>
        <v>17.45</v>
      </c>
      <c r="F219" s="218">
        <f t="shared" si="100"/>
        <v>17.89</v>
      </c>
      <c r="G219" s="218">
        <f t="shared" si="100"/>
        <v>18.34</v>
      </c>
      <c r="H219" s="218">
        <f t="shared" si="100"/>
        <v>18.8</v>
      </c>
      <c r="I219" s="218">
        <f t="shared" si="100"/>
        <v>19.170000000000002</v>
      </c>
      <c r="J219" s="218">
        <f t="shared" si="100"/>
        <v>19.55</v>
      </c>
      <c r="K219" s="218">
        <f t="shared" si="100"/>
        <v>19.95</v>
      </c>
    </row>
    <row r="220" spans="1:12" x14ac:dyDescent="0.25">
      <c r="A220" s="270" t="s">
        <v>1609</v>
      </c>
      <c r="B220" s="218">
        <f>ROUND((+B243*1.01),2)</f>
        <v>17.440000000000001</v>
      </c>
      <c r="C220" s="218">
        <f t="shared" ref="C220:K220" si="101">ROUND((+C243*1.01),2)</f>
        <v>17.88</v>
      </c>
      <c r="D220" s="218">
        <f t="shared" si="101"/>
        <v>18.32</v>
      </c>
      <c r="E220" s="218">
        <f t="shared" si="101"/>
        <v>18.78</v>
      </c>
      <c r="F220" s="218">
        <f t="shared" si="101"/>
        <v>19.25</v>
      </c>
      <c r="G220" s="218">
        <f t="shared" si="101"/>
        <v>19.739999999999998</v>
      </c>
      <c r="H220" s="218">
        <f t="shared" si="101"/>
        <v>20.22</v>
      </c>
      <c r="I220" s="218">
        <f t="shared" si="101"/>
        <v>20.62</v>
      </c>
      <c r="J220" s="218">
        <f t="shared" si="101"/>
        <v>21.04</v>
      </c>
      <c r="K220" s="218">
        <f t="shared" si="101"/>
        <v>21.46</v>
      </c>
    </row>
    <row r="221" spans="1:12" x14ac:dyDescent="0.25">
      <c r="A221" s="270" t="s">
        <v>1612</v>
      </c>
      <c r="B221" s="218">
        <f>ROUND((+B242*1.01),2)</f>
        <v>19.010000000000002</v>
      </c>
      <c r="C221" s="218">
        <f t="shared" ref="C221:K221" si="102">ROUND((+C242*1.01),2)</f>
        <v>19.48</v>
      </c>
      <c r="D221" s="218">
        <f t="shared" si="102"/>
        <v>19.97</v>
      </c>
      <c r="E221" s="218">
        <f t="shared" si="102"/>
        <v>20.47</v>
      </c>
      <c r="F221" s="218">
        <f t="shared" si="102"/>
        <v>20.98</v>
      </c>
      <c r="G221" s="218">
        <f t="shared" si="102"/>
        <v>21.5</v>
      </c>
      <c r="H221" s="218">
        <f t="shared" si="102"/>
        <v>22.05</v>
      </c>
      <c r="I221" s="218">
        <f t="shared" si="102"/>
        <v>22.48</v>
      </c>
      <c r="J221" s="218">
        <f t="shared" si="102"/>
        <v>22.94</v>
      </c>
      <c r="K221" s="218">
        <f t="shared" si="102"/>
        <v>23.39</v>
      </c>
    </row>
    <row r="222" spans="1:12" x14ac:dyDescent="0.25">
      <c r="A222" s="270" t="s">
        <v>1700</v>
      </c>
      <c r="B222" s="218">
        <f>ROUND((+B241*1.01),2)</f>
        <v>20.51</v>
      </c>
      <c r="C222" s="218">
        <f t="shared" ref="C222:K222" si="103">ROUND((+C241*1.01),2)</f>
        <v>21.03</v>
      </c>
      <c r="D222" s="218">
        <f t="shared" si="103"/>
        <v>21.55</v>
      </c>
      <c r="E222" s="218">
        <f t="shared" si="103"/>
        <v>22.1</v>
      </c>
      <c r="F222" s="218">
        <f t="shared" si="103"/>
        <v>22.64</v>
      </c>
      <c r="G222" s="218">
        <f t="shared" si="103"/>
        <v>23.21</v>
      </c>
      <c r="H222" s="218">
        <f t="shared" si="103"/>
        <v>23.8</v>
      </c>
      <c r="I222" s="218">
        <f t="shared" si="103"/>
        <v>24.27</v>
      </c>
      <c r="J222" s="218">
        <f t="shared" si="103"/>
        <v>24.76</v>
      </c>
      <c r="K222" s="218">
        <f t="shared" si="103"/>
        <v>25.25</v>
      </c>
    </row>
    <row r="223" spans="1:12" x14ac:dyDescent="0.25">
      <c r="A223" s="270" t="s">
        <v>1701</v>
      </c>
      <c r="B223" s="219">
        <f>ROUND((+B240*1.01),0)</f>
        <v>51942</v>
      </c>
      <c r="C223" s="219">
        <f t="shared" ref="C223:K223" si="104">ROUND((+C240*1.01),0)</f>
        <v>53241</v>
      </c>
      <c r="D223" s="219">
        <f t="shared" si="104"/>
        <v>54571</v>
      </c>
      <c r="E223" s="219">
        <f t="shared" si="104"/>
        <v>55936</v>
      </c>
      <c r="F223" s="219">
        <f t="shared" si="104"/>
        <v>57335</v>
      </c>
      <c r="G223" s="219">
        <f t="shared" si="104"/>
        <v>58768</v>
      </c>
      <c r="H223" s="219">
        <f t="shared" si="104"/>
        <v>59944</v>
      </c>
      <c r="I223" s="219">
        <f t="shared" si="104"/>
        <v>61142</v>
      </c>
      <c r="J223" s="219">
        <f t="shared" si="104"/>
        <v>62364</v>
      </c>
      <c r="K223" s="219">
        <f t="shared" si="104"/>
        <v>63612</v>
      </c>
    </row>
    <row r="224" spans="1:12" x14ac:dyDescent="0.25">
      <c r="A224" s="270" t="s">
        <v>1702</v>
      </c>
      <c r="B224" s="219">
        <f>ROUND((+B239*1.01),0)</f>
        <v>55194</v>
      </c>
      <c r="C224" s="219">
        <f t="shared" ref="C224:K224" si="105">ROUND((+C239*1.01),0)</f>
        <v>56574</v>
      </c>
      <c r="D224" s="219">
        <f t="shared" si="105"/>
        <v>57989</v>
      </c>
      <c r="E224" s="219">
        <f t="shared" si="105"/>
        <v>59439</v>
      </c>
      <c r="F224" s="219">
        <f t="shared" si="105"/>
        <v>60924</v>
      </c>
      <c r="G224" s="219">
        <f t="shared" si="105"/>
        <v>62447</v>
      </c>
      <c r="H224" s="219">
        <f t="shared" si="105"/>
        <v>63697</v>
      </c>
      <c r="I224" s="219">
        <f t="shared" si="105"/>
        <v>64970</v>
      </c>
      <c r="J224" s="219">
        <f t="shared" si="105"/>
        <v>66270</v>
      </c>
      <c r="K224" s="219">
        <f t="shared" si="105"/>
        <v>67595</v>
      </c>
    </row>
    <row r="225" spans="1:12" x14ac:dyDescent="0.25">
      <c r="A225" s="270" t="s">
        <v>1704</v>
      </c>
      <c r="B225" s="219">
        <f>ROUND((+B238*1.01),0)</f>
        <v>70156</v>
      </c>
      <c r="C225" s="219">
        <f t="shared" ref="C225:K225" si="106">ROUND((+C238*1.01),0)</f>
        <v>71910</v>
      </c>
      <c r="D225" s="219">
        <f t="shared" si="106"/>
        <v>73707</v>
      </c>
      <c r="E225" s="219">
        <f t="shared" si="106"/>
        <v>75550</v>
      </c>
      <c r="F225" s="219">
        <f t="shared" si="106"/>
        <v>77439</v>
      </c>
      <c r="G225" s="219">
        <f t="shared" si="106"/>
        <v>79375</v>
      </c>
      <c r="H225" s="219">
        <f t="shared" si="106"/>
        <v>81359</v>
      </c>
      <c r="I225" s="219">
        <f t="shared" si="106"/>
        <v>82987</v>
      </c>
      <c r="J225" s="219">
        <f t="shared" si="106"/>
        <v>84646</v>
      </c>
      <c r="K225" s="219">
        <f t="shared" si="106"/>
        <v>86339</v>
      </c>
    </row>
    <row r="226" spans="1:12" x14ac:dyDescent="0.25">
      <c r="A226" s="270" t="s">
        <v>1705</v>
      </c>
      <c r="B226" s="219">
        <f>ROUND((+B237*1.01),0)</f>
        <v>77171</v>
      </c>
      <c r="C226" s="219">
        <f t="shared" ref="C226:K226" si="107">ROUND((+C237*1.01),0)</f>
        <v>79100</v>
      </c>
      <c r="D226" s="219">
        <f t="shared" si="107"/>
        <v>81078</v>
      </c>
      <c r="E226" s="219">
        <f t="shared" si="107"/>
        <v>83105</v>
      </c>
      <c r="F226" s="219">
        <f t="shared" si="107"/>
        <v>85182</v>
      </c>
      <c r="G226" s="219">
        <f t="shared" si="107"/>
        <v>87311</v>
      </c>
      <c r="H226" s="219">
        <f t="shared" si="107"/>
        <v>89494</v>
      </c>
      <c r="I226" s="219">
        <f t="shared" si="107"/>
        <v>91285</v>
      </c>
      <c r="J226" s="219">
        <f t="shared" si="107"/>
        <v>93110</v>
      </c>
      <c r="K226" s="219">
        <f t="shared" si="107"/>
        <v>94972</v>
      </c>
    </row>
    <row r="227" spans="1:12" x14ac:dyDescent="0.25">
      <c r="A227" s="270" t="s">
        <v>1706</v>
      </c>
      <c r="B227" s="219">
        <f>ROUND((+B236*1.01),0)</f>
        <v>84888</v>
      </c>
      <c r="C227" s="219">
        <f t="shared" ref="C227:K227" si="108">ROUND((+C236*1.01),0)</f>
        <v>87010</v>
      </c>
      <c r="D227" s="219">
        <f t="shared" si="108"/>
        <v>89186</v>
      </c>
      <c r="E227" s="219">
        <f t="shared" si="108"/>
        <v>91416</v>
      </c>
      <c r="F227" s="219">
        <f t="shared" si="108"/>
        <v>93701</v>
      </c>
      <c r="G227" s="219">
        <f t="shared" si="108"/>
        <v>96044</v>
      </c>
      <c r="H227" s="219">
        <f t="shared" si="108"/>
        <v>98445</v>
      </c>
      <c r="I227" s="219">
        <f t="shared" si="108"/>
        <v>100413</v>
      </c>
      <c r="J227" s="219">
        <f t="shared" si="108"/>
        <v>102422</v>
      </c>
      <c r="K227" s="219">
        <f t="shared" si="108"/>
        <v>104470</v>
      </c>
    </row>
    <row r="229" spans="1:12" x14ac:dyDescent="0.25">
      <c r="A229" s="270" t="s">
        <v>762</v>
      </c>
      <c r="B229" s="202" t="s">
        <v>1725</v>
      </c>
    </row>
    <row r="230" spans="1:12" x14ac:dyDescent="0.25">
      <c r="A230" s="270" t="s">
        <v>1699</v>
      </c>
      <c r="B230" s="757">
        <v>1</v>
      </c>
      <c r="C230" s="757">
        <v>2</v>
      </c>
      <c r="D230" s="757">
        <v>3</v>
      </c>
      <c r="E230" s="757">
        <v>4</v>
      </c>
      <c r="F230" s="757">
        <v>5</v>
      </c>
      <c r="G230" s="757">
        <v>6</v>
      </c>
      <c r="H230" s="757">
        <v>7</v>
      </c>
      <c r="I230" s="757">
        <v>8</v>
      </c>
      <c r="J230" s="757">
        <v>9</v>
      </c>
      <c r="K230" s="757">
        <v>10</v>
      </c>
      <c r="L230" s="757">
        <v>11</v>
      </c>
    </row>
    <row r="231" spans="1:12" x14ac:dyDescent="0.25">
      <c r="A231" s="270" t="s">
        <v>1701</v>
      </c>
      <c r="B231" s="1">
        <f>ROUND((+B223/1827),2)</f>
        <v>28.43</v>
      </c>
      <c r="C231" s="1">
        <f t="shared" ref="C231:K231" si="109">ROUND((+C223/1827),2)</f>
        <v>29.14</v>
      </c>
      <c r="D231" s="1">
        <f t="shared" si="109"/>
        <v>29.87</v>
      </c>
      <c r="E231" s="1">
        <f t="shared" si="109"/>
        <v>30.62</v>
      </c>
      <c r="F231" s="1">
        <f t="shared" si="109"/>
        <v>31.38</v>
      </c>
      <c r="G231" s="1">
        <f t="shared" si="109"/>
        <v>32.17</v>
      </c>
      <c r="H231" s="1">
        <f t="shared" si="109"/>
        <v>32.81</v>
      </c>
      <c r="I231" s="1">
        <f t="shared" si="109"/>
        <v>33.47</v>
      </c>
      <c r="J231" s="1">
        <f t="shared" si="109"/>
        <v>34.130000000000003</v>
      </c>
      <c r="K231" s="1">
        <f t="shared" si="109"/>
        <v>34.82</v>
      </c>
    </row>
    <row r="232" spans="1:12" x14ac:dyDescent="0.25">
      <c r="A232" s="270" t="s">
        <v>200</v>
      </c>
      <c r="B232" s="1">
        <f>ROUND((+B223/2090),2)</f>
        <v>24.85</v>
      </c>
      <c r="C232" s="1">
        <f t="shared" ref="C232:K232" si="110">ROUND((+C223/2090),2)</f>
        <v>25.47</v>
      </c>
      <c r="D232" s="1">
        <f t="shared" si="110"/>
        <v>26.11</v>
      </c>
      <c r="E232" s="1">
        <f t="shared" si="110"/>
        <v>26.76</v>
      </c>
      <c r="F232" s="1">
        <f t="shared" si="110"/>
        <v>27.43</v>
      </c>
      <c r="G232" s="1">
        <f t="shared" si="110"/>
        <v>28.12</v>
      </c>
      <c r="H232" s="1">
        <f t="shared" si="110"/>
        <v>28.68</v>
      </c>
      <c r="I232" s="1">
        <f t="shared" si="110"/>
        <v>29.25</v>
      </c>
      <c r="J232" s="1">
        <f t="shared" si="110"/>
        <v>29.84</v>
      </c>
      <c r="K232" s="1">
        <f t="shared" si="110"/>
        <v>30.44</v>
      </c>
    </row>
    <row r="234" spans="1:12" x14ac:dyDescent="0.25">
      <c r="A234" s="995" t="s">
        <v>462</v>
      </c>
      <c r="B234" s="220"/>
      <c r="C234" s="220"/>
      <c r="D234" s="220"/>
      <c r="E234" s="220"/>
      <c r="F234" s="220"/>
      <c r="G234" s="220"/>
      <c r="H234" s="220"/>
      <c r="I234" s="220"/>
      <c r="J234" s="220"/>
      <c r="K234" s="220"/>
    </row>
    <row r="235" spans="1:12" x14ac:dyDescent="0.25">
      <c r="A235" s="995" t="s">
        <v>1699</v>
      </c>
      <c r="B235" s="757">
        <v>1</v>
      </c>
      <c r="C235" s="757">
        <v>2</v>
      </c>
      <c r="D235" s="757">
        <v>3</v>
      </c>
      <c r="E235" s="757">
        <v>4</v>
      </c>
      <c r="F235" s="757">
        <v>5</v>
      </c>
      <c r="G235" s="757">
        <v>6</v>
      </c>
      <c r="H235" s="757">
        <v>7</v>
      </c>
      <c r="I235" s="757">
        <v>8</v>
      </c>
      <c r="J235" s="757">
        <v>9</v>
      </c>
      <c r="K235" s="757">
        <v>10</v>
      </c>
      <c r="L235" s="757">
        <v>11</v>
      </c>
    </row>
    <row r="236" spans="1:12" x14ac:dyDescent="0.25">
      <c r="A236" s="995" t="s">
        <v>1706</v>
      </c>
      <c r="B236" s="996">
        <v>84048</v>
      </c>
      <c r="C236" s="996">
        <v>86149</v>
      </c>
      <c r="D236" s="996">
        <v>88303</v>
      </c>
      <c r="E236" s="996">
        <v>90511</v>
      </c>
      <c r="F236" s="996">
        <v>92773</v>
      </c>
      <c r="G236" s="996">
        <v>95093</v>
      </c>
      <c r="H236" s="996">
        <v>97470</v>
      </c>
      <c r="I236" s="996">
        <v>99419</v>
      </c>
      <c r="J236" s="996">
        <v>101408</v>
      </c>
      <c r="K236" s="996">
        <v>103436</v>
      </c>
    </row>
    <row r="237" spans="1:12" x14ac:dyDescent="0.25">
      <c r="A237" s="995" t="s">
        <v>1705</v>
      </c>
      <c r="B237" s="996">
        <v>76407</v>
      </c>
      <c r="C237" s="996">
        <v>78317</v>
      </c>
      <c r="D237" s="996">
        <v>80275</v>
      </c>
      <c r="E237" s="996">
        <v>82282</v>
      </c>
      <c r="F237" s="996">
        <v>84339</v>
      </c>
      <c r="G237" s="996">
        <v>86447</v>
      </c>
      <c r="H237" s="996">
        <v>88608</v>
      </c>
      <c r="I237" s="996">
        <v>90381</v>
      </c>
      <c r="J237" s="996">
        <v>92188</v>
      </c>
      <c r="K237" s="996">
        <v>94032</v>
      </c>
    </row>
    <row r="238" spans="1:12" x14ac:dyDescent="0.25">
      <c r="A238" s="995" t="s">
        <v>1704</v>
      </c>
      <c r="B238" s="996">
        <v>69461</v>
      </c>
      <c r="C238" s="996">
        <v>71198</v>
      </c>
      <c r="D238" s="996">
        <v>72977</v>
      </c>
      <c r="E238" s="996">
        <v>74802</v>
      </c>
      <c r="F238" s="996">
        <v>76672</v>
      </c>
      <c r="G238" s="996">
        <v>78589</v>
      </c>
      <c r="H238" s="996">
        <v>80553</v>
      </c>
      <c r="I238" s="996">
        <v>82165</v>
      </c>
      <c r="J238" s="996">
        <v>83808</v>
      </c>
      <c r="K238" s="996">
        <v>85484</v>
      </c>
    </row>
    <row r="239" spans="1:12" x14ac:dyDescent="0.25">
      <c r="A239" s="995" t="s">
        <v>1702</v>
      </c>
      <c r="B239" s="996">
        <v>54648</v>
      </c>
      <c r="C239" s="996">
        <v>56014</v>
      </c>
      <c r="D239" s="996">
        <v>57415</v>
      </c>
      <c r="E239" s="996">
        <v>58850</v>
      </c>
      <c r="F239" s="996">
        <v>60321</v>
      </c>
      <c r="G239" s="996">
        <v>61829</v>
      </c>
      <c r="H239" s="996">
        <v>63066</v>
      </c>
      <c r="I239" s="996">
        <v>64327</v>
      </c>
      <c r="J239" s="996">
        <v>65614</v>
      </c>
      <c r="K239" s="996">
        <v>66926</v>
      </c>
    </row>
    <row r="240" spans="1:12" x14ac:dyDescent="0.25">
      <c r="A240" s="995" t="s">
        <v>1701</v>
      </c>
      <c r="B240" s="996">
        <v>51428</v>
      </c>
      <c r="C240" s="996">
        <v>52714</v>
      </c>
      <c r="D240" s="996">
        <v>54031</v>
      </c>
      <c r="E240" s="996">
        <v>55382</v>
      </c>
      <c r="F240" s="996">
        <v>56767</v>
      </c>
      <c r="G240" s="996">
        <v>58186</v>
      </c>
      <c r="H240" s="996">
        <v>59350</v>
      </c>
      <c r="I240" s="996">
        <v>60537</v>
      </c>
      <c r="J240" s="996">
        <v>61747</v>
      </c>
      <c r="K240" s="996">
        <v>62982</v>
      </c>
    </row>
    <row r="241" spans="1:11" x14ac:dyDescent="0.25">
      <c r="A241" s="995" t="s">
        <v>1700</v>
      </c>
      <c r="B241" s="221">
        <v>20.309999999999999</v>
      </c>
      <c r="C241" s="221">
        <v>20.82</v>
      </c>
      <c r="D241" s="221">
        <v>21.34</v>
      </c>
      <c r="E241" s="221">
        <v>21.88</v>
      </c>
      <c r="F241" s="221">
        <v>22.42</v>
      </c>
      <c r="G241" s="221">
        <v>22.98</v>
      </c>
      <c r="H241" s="221">
        <v>23.56</v>
      </c>
      <c r="I241" s="221">
        <v>24.03</v>
      </c>
      <c r="J241" s="221">
        <v>24.51</v>
      </c>
      <c r="K241" s="221">
        <v>25</v>
      </c>
    </row>
    <row r="242" spans="1:11" x14ac:dyDescent="0.25">
      <c r="A242" s="995" t="s">
        <v>1612</v>
      </c>
      <c r="B242" s="221">
        <v>18.82</v>
      </c>
      <c r="C242" s="221">
        <v>19.29</v>
      </c>
      <c r="D242" s="221">
        <v>19.77</v>
      </c>
      <c r="E242" s="221">
        <v>20.27</v>
      </c>
      <c r="F242" s="221">
        <v>20.77</v>
      </c>
      <c r="G242" s="221">
        <v>21.29</v>
      </c>
      <c r="H242" s="221">
        <v>21.83</v>
      </c>
      <c r="I242" s="221">
        <v>22.26</v>
      </c>
      <c r="J242" s="221">
        <v>22.71</v>
      </c>
      <c r="K242" s="221">
        <v>23.16</v>
      </c>
    </row>
    <row r="243" spans="1:11" x14ac:dyDescent="0.25">
      <c r="A243" s="995" t="s">
        <v>1609</v>
      </c>
      <c r="B243" s="221">
        <v>17.27</v>
      </c>
      <c r="C243" s="221">
        <v>17.7</v>
      </c>
      <c r="D243" s="221">
        <v>18.14</v>
      </c>
      <c r="E243" s="221">
        <v>18.59</v>
      </c>
      <c r="F243" s="221">
        <v>19.059999999999999</v>
      </c>
      <c r="G243" s="221">
        <v>19.54</v>
      </c>
      <c r="H243" s="221">
        <v>20.02</v>
      </c>
      <c r="I243" s="221">
        <v>20.420000000000002</v>
      </c>
      <c r="J243" s="221">
        <v>20.83</v>
      </c>
      <c r="K243" s="221">
        <v>21.25</v>
      </c>
    </row>
    <row r="244" spans="1:11" x14ac:dyDescent="0.25">
      <c r="A244" s="995" t="s">
        <v>1603</v>
      </c>
      <c r="B244" s="221">
        <v>16.05</v>
      </c>
      <c r="C244" s="221">
        <v>16.45</v>
      </c>
      <c r="D244" s="221">
        <v>16.86</v>
      </c>
      <c r="E244" s="221">
        <v>17.28</v>
      </c>
      <c r="F244" s="221">
        <v>17.71</v>
      </c>
      <c r="G244" s="221">
        <v>18.16</v>
      </c>
      <c r="H244" s="221">
        <v>18.61</v>
      </c>
      <c r="I244" s="221">
        <v>18.98</v>
      </c>
      <c r="J244" s="221">
        <v>19.36</v>
      </c>
      <c r="K244" s="221">
        <v>19.75</v>
      </c>
    </row>
    <row r="245" spans="1:11" x14ac:dyDescent="0.25">
      <c r="A245" s="995" t="s">
        <v>1599</v>
      </c>
      <c r="B245" s="221">
        <v>13.61</v>
      </c>
      <c r="C245" s="221">
        <v>13.95</v>
      </c>
      <c r="D245" s="221">
        <v>14.3</v>
      </c>
      <c r="E245" s="221">
        <v>14.66</v>
      </c>
      <c r="F245" s="221">
        <v>15.02</v>
      </c>
      <c r="G245" s="221">
        <v>15.4</v>
      </c>
      <c r="H245" s="221">
        <v>15.75</v>
      </c>
      <c r="I245" s="221">
        <v>16.100000000000001</v>
      </c>
      <c r="J245" s="221">
        <v>16.420000000000002</v>
      </c>
      <c r="K245" s="221">
        <v>16.75</v>
      </c>
    </row>
    <row r="246" spans="1:11" x14ac:dyDescent="0.25">
      <c r="A246" s="270"/>
      <c r="B246" s="202"/>
      <c r="C246" s="202"/>
      <c r="D246" s="202"/>
      <c r="E246" s="202"/>
      <c r="F246" s="202"/>
      <c r="G246" s="202"/>
      <c r="H246" s="202"/>
      <c r="I246" s="202"/>
      <c r="J246" s="202"/>
      <c r="K246" s="202"/>
    </row>
    <row r="247" spans="1:11" x14ac:dyDescent="0.25">
      <c r="A247" s="270" t="s">
        <v>200</v>
      </c>
      <c r="B247" s="1">
        <f>ROUND((+B240/2090),2)</f>
        <v>24.61</v>
      </c>
      <c r="C247" s="1">
        <f t="shared" ref="C247:K247" si="111">ROUND((+C240/2090),2)</f>
        <v>25.22</v>
      </c>
      <c r="D247" s="1">
        <f t="shared" si="111"/>
        <v>25.85</v>
      </c>
      <c r="E247" s="1">
        <f t="shared" si="111"/>
        <v>26.5</v>
      </c>
      <c r="F247" s="1">
        <f t="shared" si="111"/>
        <v>27.16</v>
      </c>
      <c r="G247" s="1">
        <f t="shared" si="111"/>
        <v>27.84</v>
      </c>
      <c r="H247" s="1">
        <f t="shared" si="111"/>
        <v>28.4</v>
      </c>
      <c r="I247" s="1">
        <f t="shared" si="111"/>
        <v>28.97</v>
      </c>
      <c r="J247" s="1">
        <f t="shared" si="111"/>
        <v>29.54</v>
      </c>
      <c r="K247" s="1">
        <f t="shared" si="111"/>
        <v>30.13</v>
      </c>
    </row>
  </sheetData>
  <hyperlinks>
    <hyperlink ref="G45" location="'Table of Contents'!A1" display="TOC" xr:uid="{00000000-0004-0000-4200-000000000000}"/>
    <hyperlink ref="G23" location="'Table of Contents'!A1" display="TOC" xr:uid="{B747CB14-B504-4E67-B7FD-D03D15C84737}"/>
    <hyperlink ref="G1" location="'Table of Contents'!A1" display="TOC" xr:uid="{51EE89DF-AD6F-4A6A-8411-D19C11F04545}"/>
  </hyperlinks>
  <pageMargins left="0.7" right="0.7" top="0.75" bottom="0.75" header="0.3" footer="0.3"/>
  <pageSetup scale="80" orientation="portrait" r:id="rId1"/>
  <headerFooter>
    <oddFooter>&amp;L&amp;D &amp;T&amp;C&amp;F&amp;R&amp;A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Y199"/>
  <sheetViews>
    <sheetView zoomScale="75" zoomScaleNormal="75" workbookViewId="0">
      <pane xSplit="8" ySplit="5" topLeftCell="I57" activePane="bottomRight" state="frozen"/>
      <selection pane="topRight" activeCell="I1" sqref="I1"/>
      <selection pane="bottomLeft" activeCell="A6" sqref="A6"/>
      <selection pane="bottomRight" activeCell="R66" sqref="R66"/>
    </sheetView>
  </sheetViews>
  <sheetFormatPr defaultRowHeight="15" x14ac:dyDescent="0.25"/>
  <cols>
    <col min="1" max="1" width="40" customWidth="1"/>
    <col min="2" max="6" width="18.77734375" style="2" hidden="1" customWidth="1"/>
    <col min="7" max="13" width="16.6640625" style="2" hidden="1" customWidth="1"/>
    <col min="14" max="18" width="16.6640625" style="2" customWidth="1"/>
    <col min="19" max="19" width="13.77734375" customWidth="1"/>
    <col min="20" max="20" width="16.77734375" bestFit="1" customWidth="1"/>
    <col min="21" max="21" width="12.109375" customWidth="1"/>
    <col min="22" max="22" width="49.5546875" style="966" customWidth="1"/>
    <col min="23" max="25" width="16.33203125" customWidth="1"/>
  </cols>
  <sheetData>
    <row r="1" spans="1:25" x14ac:dyDescent="0.25">
      <c r="A1" s="485" t="s">
        <v>2162</v>
      </c>
      <c r="B1" s="486" t="s">
        <v>243</v>
      </c>
      <c r="C1" s="486" t="s">
        <v>244</v>
      </c>
      <c r="D1" s="486" t="s">
        <v>245</v>
      </c>
      <c r="E1" s="486" t="s">
        <v>246</v>
      </c>
      <c r="F1" s="486" t="s">
        <v>247</v>
      </c>
      <c r="G1" s="486" t="s">
        <v>248</v>
      </c>
      <c r="H1" s="486" t="s">
        <v>249</v>
      </c>
      <c r="I1" s="486" t="s">
        <v>250</v>
      </c>
      <c r="J1" s="486" t="s">
        <v>270</v>
      </c>
      <c r="K1" s="486" t="s">
        <v>270</v>
      </c>
      <c r="L1" s="486" t="s">
        <v>271</v>
      </c>
      <c r="M1" s="486" t="s">
        <v>271</v>
      </c>
      <c r="N1" s="486" t="s">
        <v>272</v>
      </c>
      <c r="O1" s="486" t="s">
        <v>272</v>
      </c>
      <c r="P1" s="486" t="s">
        <v>342</v>
      </c>
      <c r="Q1" s="486" t="s">
        <v>342</v>
      </c>
      <c r="R1" s="486" t="s">
        <v>2042</v>
      </c>
      <c r="S1" s="486"/>
      <c r="T1" s="486"/>
      <c r="U1" s="485"/>
    </row>
    <row r="2" spans="1:25" x14ac:dyDescent="0.25">
      <c r="A2" s="290" t="s">
        <v>194</v>
      </c>
      <c r="B2" s="292"/>
      <c r="C2" s="292"/>
      <c r="D2" s="486"/>
      <c r="E2" s="486"/>
      <c r="F2" s="486"/>
      <c r="G2" s="486"/>
      <c r="H2" s="486"/>
      <c r="I2" s="486"/>
      <c r="J2" s="486"/>
      <c r="K2" s="486"/>
      <c r="L2" s="486"/>
      <c r="M2" s="486"/>
      <c r="N2" s="486"/>
      <c r="O2" s="486"/>
      <c r="P2" s="486"/>
      <c r="Q2" s="486"/>
      <c r="R2" s="486" t="s">
        <v>274</v>
      </c>
      <c r="S2" s="971"/>
      <c r="T2" s="485"/>
      <c r="U2" s="485"/>
    </row>
    <row r="3" spans="1:25" x14ac:dyDescent="0.25">
      <c r="A3" s="485"/>
      <c r="B3" s="486" t="s">
        <v>256</v>
      </c>
      <c r="C3" s="486" t="s">
        <v>256</v>
      </c>
      <c r="D3" s="486" t="s">
        <v>256</v>
      </c>
      <c r="E3" s="486" t="s">
        <v>256</v>
      </c>
      <c r="F3" s="486" t="s">
        <v>256</v>
      </c>
      <c r="G3" s="486" t="s">
        <v>256</v>
      </c>
      <c r="H3" s="486" t="s">
        <v>256</v>
      </c>
      <c r="I3" s="486" t="s">
        <v>256</v>
      </c>
      <c r="J3" s="486" t="s">
        <v>255</v>
      </c>
      <c r="K3" s="486" t="s">
        <v>256</v>
      </c>
      <c r="L3" s="486" t="s">
        <v>255</v>
      </c>
      <c r="M3" s="486" t="s">
        <v>256</v>
      </c>
      <c r="N3" s="515" t="s">
        <v>255</v>
      </c>
      <c r="O3" s="486" t="s">
        <v>256</v>
      </c>
      <c r="P3" s="515" t="s">
        <v>255</v>
      </c>
      <c r="Q3" s="486" t="s">
        <v>256</v>
      </c>
      <c r="R3" s="515" t="s">
        <v>255</v>
      </c>
      <c r="S3" s="486"/>
      <c r="T3" s="485"/>
      <c r="U3" s="485"/>
    </row>
    <row r="4" spans="1:25" x14ac:dyDescent="0.25">
      <c r="A4" s="485"/>
      <c r="B4" s="486" t="s">
        <v>273</v>
      </c>
      <c r="C4" s="486" t="s">
        <v>273</v>
      </c>
      <c r="D4" s="486" t="s">
        <v>273</v>
      </c>
      <c r="E4" s="486" t="s">
        <v>273</v>
      </c>
      <c r="F4" s="486" t="s">
        <v>273</v>
      </c>
      <c r="G4" s="486" t="s">
        <v>273</v>
      </c>
      <c r="H4" s="486" t="s">
        <v>273</v>
      </c>
      <c r="I4" s="486"/>
      <c r="J4" s="486" t="s">
        <v>343</v>
      </c>
      <c r="K4" s="486"/>
      <c r="L4" s="486" t="s">
        <v>343</v>
      </c>
      <c r="M4" s="486"/>
      <c r="N4" s="515" t="s">
        <v>275</v>
      </c>
      <c r="O4" s="515"/>
      <c r="P4" s="515" t="s">
        <v>275</v>
      </c>
      <c r="Q4" s="515"/>
      <c r="R4" s="515" t="s">
        <v>275</v>
      </c>
      <c r="S4" s="485"/>
      <c r="T4" s="485"/>
      <c r="U4" s="485"/>
    </row>
    <row r="5" spans="1:25" hidden="1" x14ac:dyDescent="0.25">
      <c r="A5" s="485" t="s">
        <v>1972</v>
      </c>
      <c r="B5" s="486"/>
      <c r="C5" s="1007">
        <f>ROUND((+C10/(+B10+B9+B8)),4)</f>
        <v>3.5299999999999998E-2</v>
      </c>
      <c r="D5" s="1007">
        <f t="shared" ref="D5:H5" si="0">ROUND((+D10/(+C10+C9+C8)),4)</f>
        <v>8.2000000000000007E-3</v>
      </c>
      <c r="E5" s="1007">
        <f t="shared" si="0"/>
        <v>1.0200000000000001E-2</v>
      </c>
      <c r="F5" s="1007">
        <f t="shared" si="0"/>
        <v>1.8100000000000002E-2</v>
      </c>
      <c r="G5" s="1007">
        <f t="shared" si="0"/>
        <v>0.04</v>
      </c>
      <c r="H5" s="1007">
        <f t="shared" si="0"/>
        <v>3.2000000000000001E-2</v>
      </c>
      <c r="I5" s="1007">
        <f>ROUND((+I10/(+H10+H9+H8)),4)</f>
        <v>3.2800000000000003E-2</v>
      </c>
      <c r="J5" s="1007"/>
      <c r="K5" s="1007">
        <f>ROUND((+K10/(+I10+I9+I8)),4)</f>
        <v>2.2200000000000001E-2</v>
      </c>
      <c r="L5" s="1007">
        <f>ROUND((+L10/(+K10+K9+K8)),4)</f>
        <v>7.9000000000000008E-3</v>
      </c>
      <c r="M5" s="1007"/>
      <c r="N5" s="1007">
        <f>ROUND((+N10/(+L10+L9+L8)),4)</f>
        <v>6.1000000000000004E-3</v>
      </c>
      <c r="O5" s="1007"/>
      <c r="P5" s="1007">
        <f>ROUND((+P10/(+N10+N9+N8)),4)</f>
        <v>3.7000000000000002E-3</v>
      </c>
      <c r="Q5" s="1007"/>
      <c r="R5" s="1007">
        <f>ROUND((+R10/(+N10+N9+N8)),4)</f>
        <v>3.7000000000000002E-3</v>
      </c>
      <c r="S5" s="485"/>
      <c r="T5" s="485"/>
      <c r="U5" s="485"/>
    </row>
    <row r="6" spans="1:25" x14ac:dyDescent="0.25">
      <c r="A6" s="485"/>
      <c r="B6" s="486"/>
      <c r="C6" s="486"/>
      <c r="D6" s="292"/>
      <c r="E6" s="292"/>
      <c r="F6" s="292"/>
      <c r="G6" s="486"/>
      <c r="H6" s="292"/>
      <c r="I6" s="292"/>
      <c r="J6" s="292"/>
      <c r="K6" s="292"/>
      <c r="L6" s="292"/>
      <c r="M6" s="292"/>
      <c r="N6" s="292"/>
      <c r="O6" s="292"/>
      <c r="P6" s="292"/>
      <c r="Q6" s="292"/>
      <c r="R6" s="292"/>
      <c r="S6" s="485"/>
      <c r="T6" s="485"/>
      <c r="U6" s="485"/>
    </row>
    <row r="7" spans="1:25" ht="15.6" x14ac:dyDescent="0.3">
      <c r="A7" s="516" t="s">
        <v>344</v>
      </c>
      <c r="B7" s="292"/>
      <c r="C7" s="292"/>
      <c r="D7" s="292"/>
      <c r="E7" s="292"/>
      <c r="F7" s="292"/>
      <c r="G7" s="486"/>
      <c r="H7" s="292"/>
      <c r="I7" s="292"/>
      <c r="J7" s="292"/>
      <c r="K7" s="292"/>
      <c r="L7" s="292"/>
      <c r="M7" s="292"/>
      <c r="N7" s="292"/>
      <c r="O7" s="292"/>
      <c r="P7" s="292"/>
      <c r="Q7" s="292"/>
      <c r="R7" s="292"/>
      <c r="S7" s="485"/>
      <c r="T7" s="485"/>
      <c r="U7" s="485"/>
    </row>
    <row r="8" spans="1:25" ht="15.6" x14ac:dyDescent="0.3">
      <c r="A8" s="485" t="s">
        <v>276</v>
      </c>
      <c r="B8" s="292">
        <v>12456970</v>
      </c>
      <c r="C8" s="292">
        <f t="shared" ref="C8:F8" si="1">+B8+B9+B10</f>
        <v>12911745</v>
      </c>
      <c r="D8" s="292">
        <f t="shared" si="1"/>
        <v>13690149</v>
      </c>
      <c r="E8" s="292">
        <f t="shared" si="1"/>
        <v>14144902</v>
      </c>
      <c r="F8" s="292">
        <f t="shared" si="1"/>
        <v>14642844</v>
      </c>
      <c r="G8" s="292">
        <v>15274313</v>
      </c>
      <c r="H8" s="292">
        <f t="shared" ref="H8" si="2">+G8+G9+G10</f>
        <v>16267561</v>
      </c>
      <c r="I8" s="292">
        <f>+H8+H9+H10</f>
        <v>17194323</v>
      </c>
      <c r="J8" s="292">
        <f>+I8+I9+I10</f>
        <v>18178839</v>
      </c>
      <c r="K8" s="292">
        <f>+I8+I9+I10</f>
        <v>18178839</v>
      </c>
      <c r="L8" s="292">
        <f>+K8+K9+K10</f>
        <v>19037452</v>
      </c>
      <c r="M8" s="292">
        <f>+K8+K9+K10</f>
        <v>19037452</v>
      </c>
      <c r="N8" s="292">
        <f>+M8+M9+M10</f>
        <v>19683180</v>
      </c>
      <c r="O8" s="292">
        <f>+M8+M9+M10</f>
        <v>19683180</v>
      </c>
      <c r="P8" s="292">
        <f>+O8+O9+O10</f>
        <v>21041319</v>
      </c>
      <c r="Q8" s="292">
        <f>+O8+O9+O10</f>
        <v>21041319</v>
      </c>
      <c r="R8" s="292">
        <f>+P8+P9+P10+369000-75000</f>
        <v>21936352</v>
      </c>
      <c r="S8" s="485" t="s">
        <v>2248</v>
      </c>
      <c r="T8" s="493" t="s">
        <v>2181</v>
      </c>
      <c r="U8" s="485"/>
    </row>
    <row r="9" spans="1:25" x14ac:dyDescent="0.25">
      <c r="A9" s="517">
        <v>2.5000000000000001E-2</v>
      </c>
      <c r="B9" s="292">
        <v>311424</v>
      </c>
      <c r="C9" s="292">
        <f t="shared" ref="C9:H9" si="3">ROUND((+C8*0.025),0)</f>
        <v>322794</v>
      </c>
      <c r="D9" s="292">
        <f t="shared" si="3"/>
        <v>342254</v>
      </c>
      <c r="E9" s="292">
        <f t="shared" si="3"/>
        <v>353623</v>
      </c>
      <c r="F9" s="292">
        <f t="shared" si="3"/>
        <v>366071</v>
      </c>
      <c r="G9" s="292">
        <f t="shared" si="3"/>
        <v>381858</v>
      </c>
      <c r="H9" s="292">
        <f t="shared" si="3"/>
        <v>406689</v>
      </c>
      <c r="I9" s="292">
        <f>429614-9761</f>
        <v>419853</v>
      </c>
      <c r="J9" s="292">
        <f>ROUND((+J8*0.025),0)</f>
        <v>454471</v>
      </c>
      <c r="K9" s="292">
        <f>ROUND((+K8*0.025),0)</f>
        <v>454471</v>
      </c>
      <c r="L9" s="292">
        <f>ROUND((+L8*0.025),0)</f>
        <v>475936</v>
      </c>
      <c r="M9" s="292">
        <f>ROUND((+M8*0.025),0)</f>
        <v>475936</v>
      </c>
      <c r="N9" s="292">
        <v>492080</v>
      </c>
      <c r="O9" s="292">
        <f>ROUND((+O8*0.025),0)</f>
        <v>492080</v>
      </c>
      <c r="P9" s="292">
        <f>ROUND((+P8*0.025),0)</f>
        <v>526033</v>
      </c>
      <c r="Q9" s="292">
        <f>ROUND((+Q8*0.025),0)</f>
        <v>526033</v>
      </c>
      <c r="R9" s="292">
        <f>ROUND((+R8*0.025),0)</f>
        <v>548409</v>
      </c>
      <c r="S9" s="485"/>
      <c r="T9" s="485" t="s">
        <v>2287</v>
      </c>
      <c r="U9" s="485"/>
    </row>
    <row r="10" spans="1:25" x14ac:dyDescent="0.25">
      <c r="A10" s="485" t="s">
        <v>277</v>
      </c>
      <c r="B10" s="292">
        <v>143351</v>
      </c>
      <c r="C10" s="292">
        <v>455610</v>
      </c>
      <c r="D10" s="292">
        <v>112499</v>
      </c>
      <c r="E10" s="292">
        <v>144319</v>
      </c>
      <c r="F10" s="292">
        <v>264355</v>
      </c>
      <c r="G10" s="292">
        <v>611390</v>
      </c>
      <c r="H10" s="292">
        <v>520073</v>
      </c>
      <c r="I10" s="292">
        <v>564663</v>
      </c>
      <c r="J10" s="292">
        <v>250000</v>
      </c>
      <c r="K10" s="292">
        <v>404142</v>
      </c>
      <c r="L10" s="292">
        <v>150000</v>
      </c>
      <c r="M10" s="292">
        <v>169792</v>
      </c>
      <c r="N10" s="292">
        <v>120000</v>
      </c>
      <c r="O10" s="292">
        <v>866059</v>
      </c>
      <c r="P10" s="292">
        <v>75000</v>
      </c>
      <c r="Q10" s="1006">
        <v>376857</v>
      </c>
      <c r="R10" s="292">
        <v>75000</v>
      </c>
      <c r="S10" s="485"/>
      <c r="T10" s="292">
        <f>-P12</f>
        <v>1149544</v>
      </c>
      <c r="U10" s="1095">
        <v>3.5200000000000002E-2</v>
      </c>
      <c r="V10" s="485" t="s">
        <v>2226</v>
      </c>
    </row>
    <row r="11" spans="1:25" x14ac:dyDescent="0.25">
      <c r="A11" s="485" t="s">
        <v>148</v>
      </c>
      <c r="B11" s="292">
        <v>713128</v>
      </c>
      <c r="C11" s="292">
        <v>674566</v>
      </c>
      <c r="D11" s="292">
        <v>679626</v>
      </c>
      <c r="E11" s="292">
        <v>677179</v>
      </c>
      <c r="F11" s="292">
        <v>675388</v>
      </c>
      <c r="G11" s="292">
        <v>747324</v>
      </c>
      <c r="H11" s="292">
        <v>742178</v>
      </c>
      <c r="I11" s="292">
        <v>925371</v>
      </c>
      <c r="J11" s="292">
        <v>1165193</v>
      </c>
      <c r="K11" s="292">
        <v>1165193</v>
      </c>
      <c r="L11" s="292">
        <v>1156948</v>
      </c>
      <c r="M11" s="292">
        <v>1156948</v>
      </c>
      <c r="N11" s="292">
        <v>1182556</v>
      </c>
      <c r="O11" s="292">
        <v>1182556</v>
      </c>
      <c r="P11" s="292">
        <v>1205071</v>
      </c>
      <c r="Q11" s="292">
        <v>1205070</v>
      </c>
      <c r="R11" s="292">
        <f>+'Debt Exclusion Calc.'!I24</f>
        <v>1204231.58</v>
      </c>
      <c r="S11" s="485"/>
      <c r="T11" s="292">
        <f>+'Excess Capacity Calculation'!D13</f>
        <v>1426294</v>
      </c>
      <c r="U11" s="1095">
        <v>2.3900000000000001E-2</v>
      </c>
      <c r="V11" s="485" t="s">
        <v>2164</v>
      </c>
      <c r="Y11" s="2"/>
    </row>
    <row r="12" spans="1:25" x14ac:dyDescent="0.25">
      <c r="A12" s="485" t="s">
        <v>345</v>
      </c>
      <c r="B12" s="292"/>
      <c r="C12" s="292"/>
      <c r="D12" s="292"/>
      <c r="E12" s="292"/>
      <c r="F12" s="292"/>
      <c r="G12" s="292"/>
      <c r="H12" s="292"/>
      <c r="I12" s="292">
        <v>-300815</v>
      </c>
      <c r="J12" s="292">
        <v>-300000</v>
      </c>
      <c r="K12" s="292">
        <v>-509000</v>
      </c>
      <c r="L12" s="292">
        <v>-500000</v>
      </c>
      <c r="M12" s="292">
        <v>-632589</v>
      </c>
      <c r="N12" s="292">
        <v>-500000</v>
      </c>
      <c r="O12" s="292">
        <v>-1673760</v>
      </c>
      <c r="P12" s="292">
        <v>-1149544</v>
      </c>
      <c r="Q12" s="292">
        <f>-1267456+25703</f>
        <v>-1241753</v>
      </c>
      <c r="R12" s="1006">
        <f>-T10</f>
        <v>-1149544</v>
      </c>
      <c r="T12" s="292">
        <v>1030000</v>
      </c>
      <c r="U12" s="667">
        <v>4.02E-2</v>
      </c>
      <c r="V12" s="966" t="s">
        <v>2182</v>
      </c>
    </row>
    <row r="13" spans="1:25" x14ac:dyDescent="0.25">
      <c r="A13" s="485" t="s">
        <v>278</v>
      </c>
      <c r="B13" s="518">
        <f t="shared" ref="B13:H13" si="4">SUM(B8:B11)</f>
        <v>13624873</v>
      </c>
      <c r="C13" s="518">
        <f t="shared" si="4"/>
        <v>14364715</v>
      </c>
      <c r="D13" s="518">
        <f t="shared" si="4"/>
        <v>14824528</v>
      </c>
      <c r="E13" s="518">
        <f t="shared" si="4"/>
        <v>15320023</v>
      </c>
      <c r="F13" s="518">
        <f t="shared" si="4"/>
        <v>15948658</v>
      </c>
      <c r="G13" s="518">
        <f>SUM(G8:G11)</f>
        <v>17014885</v>
      </c>
      <c r="H13" s="518">
        <f t="shared" si="4"/>
        <v>17936501</v>
      </c>
      <c r="I13" s="518">
        <f t="shared" ref="I13:R13" si="5">SUM(I8:I12)</f>
        <v>18803395</v>
      </c>
      <c r="J13" s="518">
        <f t="shared" ref="J13" si="6">SUM(J8:J12)</f>
        <v>19748503</v>
      </c>
      <c r="K13" s="518">
        <f t="shared" si="5"/>
        <v>19693645</v>
      </c>
      <c r="L13" s="518">
        <f t="shared" si="5"/>
        <v>20320336</v>
      </c>
      <c r="M13" s="518">
        <f t="shared" si="5"/>
        <v>20207539</v>
      </c>
      <c r="N13" s="518">
        <f t="shared" si="5"/>
        <v>20977816</v>
      </c>
      <c r="O13" s="518">
        <f t="shared" si="5"/>
        <v>20550115</v>
      </c>
      <c r="P13" s="518">
        <f t="shared" si="5"/>
        <v>21697879</v>
      </c>
      <c r="Q13" s="518">
        <f t="shared" si="5"/>
        <v>21907526</v>
      </c>
      <c r="R13" s="518">
        <f t="shared" si="5"/>
        <v>22614448.579999998</v>
      </c>
      <c r="S13" s="485"/>
      <c r="W13" s="485"/>
      <c r="X13" s="485"/>
      <c r="Y13" s="966"/>
    </row>
    <row r="14" spans="1:25" x14ac:dyDescent="0.25">
      <c r="A14" s="485"/>
      <c r="B14" s="292"/>
      <c r="C14" s="292"/>
      <c r="D14" s="292"/>
      <c r="E14" s="292"/>
      <c r="F14" s="292"/>
      <c r="G14" s="292"/>
      <c r="H14" s="292"/>
      <c r="I14" s="292"/>
      <c r="J14" s="292"/>
      <c r="K14" s="292"/>
      <c r="L14" s="292"/>
      <c r="M14" s="292"/>
      <c r="N14" s="292"/>
      <c r="O14" s="292"/>
      <c r="P14" s="292"/>
      <c r="Q14" s="292"/>
      <c r="R14" s="292"/>
      <c r="S14" s="485"/>
      <c r="T14" s="485"/>
      <c r="U14" s="485"/>
    </row>
    <row r="15" spans="1:25" x14ac:dyDescent="0.25">
      <c r="A15" s="485" t="s">
        <v>279</v>
      </c>
      <c r="B15" s="292">
        <v>-123306</v>
      </c>
      <c r="C15" s="292">
        <v>-357654</v>
      </c>
      <c r="D15" s="292">
        <v>-400065</v>
      </c>
      <c r="E15" s="292">
        <v>-406881</v>
      </c>
      <c r="F15" s="292">
        <v>-450000</v>
      </c>
      <c r="G15" s="292">
        <v>-487971.03</v>
      </c>
      <c r="H15" s="292">
        <v>-424470</v>
      </c>
      <c r="I15" s="292">
        <v>-133913</v>
      </c>
      <c r="J15" s="292">
        <v>-150000</v>
      </c>
      <c r="K15" s="292">
        <v>-146208</v>
      </c>
      <c r="L15" s="292">
        <v>-150000</v>
      </c>
      <c r="M15" s="292">
        <v>-69425</v>
      </c>
      <c r="N15" s="292">
        <v>-100000</v>
      </c>
      <c r="O15" s="292">
        <v>-96117</v>
      </c>
      <c r="P15" s="292">
        <v>-101000</v>
      </c>
      <c r="Q15" s="292">
        <v>-400781</v>
      </c>
      <c r="R15" s="292">
        <v>-400000</v>
      </c>
      <c r="S15" s="485"/>
      <c r="T15" s="485"/>
      <c r="U15" s="485"/>
    </row>
    <row r="16" spans="1:25" x14ac:dyDescent="0.25">
      <c r="A16" s="485" t="s">
        <v>280</v>
      </c>
      <c r="B16" s="518">
        <f t="shared" ref="B16:I16" si="7">SUM(B13:B15)</f>
        <v>13501567</v>
      </c>
      <c r="C16" s="518">
        <f t="shared" si="7"/>
        <v>14007061</v>
      </c>
      <c r="D16" s="518">
        <f t="shared" si="7"/>
        <v>14424463</v>
      </c>
      <c r="E16" s="518">
        <f t="shared" si="7"/>
        <v>14913142</v>
      </c>
      <c r="F16" s="518">
        <f t="shared" si="7"/>
        <v>15498658</v>
      </c>
      <c r="G16" s="518">
        <f>SUM(G13:G15)</f>
        <v>16526913.970000001</v>
      </c>
      <c r="H16" s="518">
        <f t="shared" si="7"/>
        <v>17512031</v>
      </c>
      <c r="I16" s="518">
        <f t="shared" si="7"/>
        <v>18669482</v>
      </c>
      <c r="J16" s="518">
        <f t="shared" ref="J16" si="8">SUM(J13:J15)</f>
        <v>19598503</v>
      </c>
      <c r="K16" s="518">
        <f t="shared" ref="K16:Q16" si="9">SUM(K13:K15)</f>
        <v>19547437</v>
      </c>
      <c r="L16" s="518">
        <f t="shared" si="9"/>
        <v>20170336</v>
      </c>
      <c r="M16" s="518">
        <f t="shared" si="9"/>
        <v>20138114</v>
      </c>
      <c r="N16" s="518">
        <f t="shared" si="9"/>
        <v>20877816</v>
      </c>
      <c r="O16" s="518">
        <f t="shared" si="9"/>
        <v>20453998</v>
      </c>
      <c r="P16" s="518">
        <f t="shared" si="9"/>
        <v>21596879</v>
      </c>
      <c r="Q16" s="518">
        <f t="shared" si="9"/>
        <v>21506745</v>
      </c>
      <c r="R16" s="518">
        <f>SUM(R13:R15)</f>
        <v>22214448.579999998</v>
      </c>
      <c r="S16" s="666">
        <f>+R16-P16</f>
        <v>617569.57999999821</v>
      </c>
      <c r="T16" s="667">
        <f>+S16/P16</f>
        <v>2.8595316017652282E-2</v>
      </c>
      <c r="U16" s="485"/>
    </row>
    <row r="17" spans="1:21" hidden="1" x14ac:dyDescent="0.25">
      <c r="A17" s="485"/>
      <c r="B17" s="292"/>
      <c r="C17" s="292"/>
      <c r="D17" s="292"/>
      <c r="E17" s="292"/>
      <c r="F17" s="292"/>
      <c r="G17" s="292"/>
      <c r="H17" s="292"/>
      <c r="I17" s="292"/>
      <c r="J17" s="292"/>
      <c r="K17" s="1093">
        <f>+K16-I16</f>
        <v>877955</v>
      </c>
      <c r="L17" s="1093">
        <f>+L16-K16</f>
        <v>622899</v>
      </c>
      <c r="M17" s="1093"/>
      <c r="N17" s="1093">
        <f>+N16-L16</f>
        <v>707480</v>
      </c>
      <c r="O17" s="1093"/>
      <c r="P17" s="1093">
        <f t="shared" ref="P17" si="10">+P16-N16</f>
        <v>719063</v>
      </c>
      <c r="Q17" s="1093"/>
      <c r="R17" s="292">
        <f>+R16-P16</f>
        <v>617569.57999999821</v>
      </c>
      <c r="S17" s="666"/>
      <c r="T17" s="667"/>
      <c r="U17" s="485" t="s">
        <v>2169</v>
      </c>
    </row>
    <row r="18" spans="1:21" hidden="1" x14ac:dyDescent="0.25">
      <c r="A18" s="485"/>
      <c r="B18" s="292"/>
      <c r="C18" s="292"/>
      <c r="D18" s="292"/>
      <c r="E18" s="292"/>
      <c r="F18" s="292"/>
      <c r="G18" s="292"/>
      <c r="H18" s="292"/>
      <c r="I18" s="292"/>
      <c r="J18" s="292"/>
      <c r="K18" s="1094">
        <f>+K17/I16</f>
        <v>4.7026211011103575E-2</v>
      </c>
      <c r="L18" s="1094">
        <f>+L17/K16</f>
        <v>3.1866019059173842E-2</v>
      </c>
      <c r="M18" s="1094"/>
      <c r="N18" s="1094">
        <f>+N17/L16</f>
        <v>3.5075270932521899E-2</v>
      </c>
      <c r="O18" s="1094"/>
      <c r="P18" s="1094">
        <f t="shared" ref="P18" si="11">+P17/N16</f>
        <v>3.4441485641984772E-2</v>
      </c>
      <c r="Q18" s="1094"/>
      <c r="R18" s="1098">
        <f>+R17/P16</f>
        <v>2.8595316017652282E-2</v>
      </c>
      <c r="S18" s="485"/>
      <c r="T18" s="485"/>
      <c r="U18" s="485"/>
    </row>
    <row r="19" spans="1:21" x14ac:dyDescent="0.25">
      <c r="A19" s="485"/>
      <c r="B19" s="292"/>
      <c r="C19" s="292"/>
      <c r="D19" s="292"/>
      <c r="E19" s="292"/>
      <c r="F19" s="292"/>
      <c r="G19" s="292"/>
      <c r="H19" s="292"/>
      <c r="I19" s="292"/>
      <c r="J19" s="292"/>
      <c r="K19" s="1188"/>
      <c r="L19" s="1188"/>
      <c r="M19" s="1188"/>
      <c r="N19" s="1188"/>
      <c r="O19" s="1188"/>
      <c r="P19" s="1188"/>
      <c r="Q19" s="1188"/>
      <c r="R19" s="1188"/>
      <c r="S19" s="485"/>
      <c r="T19" s="485"/>
      <c r="U19" s="485"/>
    </row>
    <row r="20" spans="1:21" ht="15.6" x14ac:dyDescent="0.3">
      <c r="A20" s="516" t="s">
        <v>346</v>
      </c>
      <c r="B20" s="486" t="s">
        <v>273</v>
      </c>
      <c r="C20" s="486" t="s">
        <v>273</v>
      </c>
      <c r="D20" s="486" t="s">
        <v>256</v>
      </c>
      <c r="E20" s="486" t="s">
        <v>273</v>
      </c>
      <c r="F20" s="486" t="s">
        <v>347</v>
      </c>
      <c r="G20" s="486" t="s">
        <v>347</v>
      </c>
      <c r="H20" s="486" t="s">
        <v>347</v>
      </c>
      <c r="I20" s="486"/>
      <c r="J20" s="486"/>
      <c r="K20" s="486" t="s">
        <v>347</v>
      </c>
      <c r="L20" s="486" t="s">
        <v>347</v>
      </c>
      <c r="M20" s="486"/>
      <c r="N20" s="486"/>
      <c r="O20" s="486"/>
      <c r="P20" s="486"/>
      <c r="Q20" s="1202" t="s">
        <v>2249</v>
      </c>
      <c r="R20" s="486" t="s">
        <v>343</v>
      </c>
      <c r="S20" s="485" t="s">
        <v>348</v>
      </c>
      <c r="T20" s="486"/>
      <c r="U20" s="485"/>
    </row>
    <row r="21" spans="1:21" x14ac:dyDescent="0.25">
      <c r="A21" s="485" t="s">
        <v>281</v>
      </c>
      <c r="B21" s="292">
        <v>1212188</v>
      </c>
      <c r="C21" s="292">
        <v>1240842</v>
      </c>
      <c r="D21" s="292">
        <v>1275253</v>
      </c>
      <c r="E21" s="292">
        <v>1321162</v>
      </c>
      <c r="F21" s="292">
        <v>1377972</v>
      </c>
      <c r="G21" s="292">
        <v>1431713</v>
      </c>
      <c r="H21" s="520">
        <v>1481823</v>
      </c>
      <c r="I21" s="520">
        <v>1521832</v>
      </c>
      <c r="J21" s="520">
        <v>1564443</v>
      </c>
      <c r="K21" s="520">
        <v>1521176</v>
      </c>
      <c r="L21" s="520">
        <v>1575096</v>
      </c>
      <c r="M21" s="520">
        <v>1575096</v>
      </c>
      <c r="N21" s="566">
        <v>1617624</v>
      </c>
      <c r="O21" s="566">
        <v>1660151</v>
      </c>
      <c r="P21" s="566">
        <v>1649976</v>
      </c>
      <c r="Q21" s="1207">
        <v>1713276</v>
      </c>
      <c r="R21" s="566">
        <f>ROUND((+Q21*1.03),0)</f>
        <v>1764674</v>
      </c>
      <c r="S21" s="1017">
        <v>1764674</v>
      </c>
      <c r="T21" s="566"/>
      <c r="U21" s="485"/>
    </row>
    <row r="22" spans="1:21" x14ac:dyDescent="0.25">
      <c r="A22" s="485" t="s">
        <v>282</v>
      </c>
      <c r="B22" s="292">
        <v>86490</v>
      </c>
      <c r="C22" s="292">
        <v>91061</v>
      </c>
      <c r="D22" s="292">
        <v>146453</v>
      </c>
      <c r="E22" s="292">
        <v>117247</v>
      </c>
      <c r="F22" s="292">
        <v>118213</v>
      </c>
      <c r="G22" s="292">
        <v>97743</v>
      </c>
      <c r="H22" s="520">
        <v>60443</v>
      </c>
      <c r="I22" s="520">
        <v>104740</v>
      </c>
      <c r="J22" s="520">
        <v>57632</v>
      </c>
      <c r="K22" s="520">
        <v>55544</v>
      </c>
      <c r="L22" s="520">
        <v>51188</v>
      </c>
      <c r="M22" s="520">
        <v>63287</v>
      </c>
      <c r="N22" s="566">
        <v>66176</v>
      </c>
      <c r="O22" s="566">
        <v>38279</v>
      </c>
      <c r="P22" s="566">
        <v>66176</v>
      </c>
      <c r="Q22" s="1207">
        <v>40519</v>
      </c>
      <c r="R22" s="566">
        <v>25468</v>
      </c>
      <c r="S22" s="292">
        <v>25468</v>
      </c>
      <c r="T22" s="566"/>
      <c r="U22" s="485"/>
    </row>
    <row r="23" spans="1:21" x14ac:dyDescent="0.25">
      <c r="A23" s="485" t="s">
        <v>283</v>
      </c>
      <c r="B23" s="292">
        <v>38679</v>
      </c>
      <c r="C23" s="292">
        <v>38857</v>
      </c>
      <c r="D23" s="292">
        <v>37727</v>
      </c>
      <c r="E23" s="292">
        <v>37727</v>
      </c>
      <c r="F23" s="292">
        <v>38973</v>
      </c>
      <c r="G23" s="292">
        <v>37382</v>
      </c>
      <c r="H23" s="520">
        <v>38594</v>
      </c>
      <c r="I23" s="520">
        <v>35811</v>
      </c>
      <c r="J23" s="520">
        <v>48208</v>
      </c>
      <c r="K23" s="520">
        <v>9036</v>
      </c>
      <c r="L23" s="520">
        <v>36914</v>
      </c>
      <c r="M23" s="520">
        <v>45052</v>
      </c>
      <c r="N23" s="566">
        <v>37105</v>
      </c>
      <c r="O23" s="566">
        <v>8534</v>
      </c>
      <c r="P23" s="566">
        <v>36734</v>
      </c>
      <c r="Q23" s="1207">
        <v>36872</v>
      </c>
      <c r="R23" s="566">
        <v>36701</v>
      </c>
      <c r="S23" s="292">
        <v>36701</v>
      </c>
      <c r="T23" s="566"/>
      <c r="U23" s="485"/>
    </row>
    <row r="24" spans="1:21" x14ac:dyDescent="0.25">
      <c r="A24" s="485" t="s">
        <v>284</v>
      </c>
      <c r="B24" s="292">
        <v>120375</v>
      </c>
      <c r="C24" s="292">
        <v>122756</v>
      </c>
      <c r="D24" s="292">
        <v>142331</v>
      </c>
      <c r="E24" s="292">
        <v>142331</v>
      </c>
      <c r="F24" s="292">
        <v>147574</v>
      </c>
      <c r="G24" s="292">
        <v>147574</v>
      </c>
      <c r="H24" s="520">
        <v>192222</v>
      </c>
      <c r="I24" s="520">
        <v>221320</v>
      </c>
      <c r="J24" s="520">
        <v>220146</v>
      </c>
      <c r="K24" s="520">
        <v>229400</v>
      </c>
      <c r="L24" s="520">
        <v>224065</v>
      </c>
      <c r="M24" s="520">
        <v>252976</v>
      </c>
      <c r="N24" s="566">
        <v>252836</v>
      </c>
      <c r="O24" s="566">
        <v>330057</v>
      </c>
      <c r="P24" s="566">
        <v>257893</v>
      </c>
      <c r="Q24" s="1207">
        <v>366681</v>
      </c>
      <c r="R24" s="566">
        <v>368422</v>
      </c>
      <c r="S24" s="292">
        <v>368422</v>
      </c>
      <c r="T24" s="566"/>
      <c r="U24" s="292"/>
    </row>
    <row r="25" spans="1:21" x14ac:dyDescent="0.25">
      <c r="A25" s="485" t="s">
        <v>2172</v>
      </c>
      <c r="B25" s="292"/>
      <c r="C25" s="292"/>
      <c r="D25" s="292"/>
      <c r="E25" s="292"/>
      <c r="F25" s="292"/>
      <c r="G25" s="292"/>
      <c r="H25" s="520"/>
      <c r="I25" s="520"/>
      <c r="J25" s="520"/>
      <c r="K25" s="520"/>
      <c r="L25" s="520"/>
      <c r="M25" s="520"/>
      <c r="N25" s="566"/>
      <c r="O25" s="566"/>
      <c r="P25" s="566"/>
      <c r="Q25" s="1207"/>
      <c r="R25" s="566"/>
      <c r="S25" s="292"/>
      <c r="T25" s="566"/>
      <c r="U25" s="292"/>
    </row>
    <row r="26" spans="1:21" x14ac:dyDescent="0.25">
      <c r="A26" s="485" t="s">
        <v>285</v>
      </c>
      <c r="B26" s="292">
        <v>11227</v>
      </c>
      <c r="C26" s="292">
        <v>11276</v>
      </c>
      <c r="D26" s="292">
        <v>13751</v>
      </c>
      <c r="E26" s="292">
        <v>12843</v>
      </c>
      <c r="F26" s="292">
        <v>12893</v>
      </c>
      <c r="G26" s="292">
        <v>13611</v>
      </c>
      <c r="H26" s="520">
        <v>14094</v>
      </c>
      <c r="I26" s="520">
        <v>14470</v>
      </c>
      <c r="J26" s="520">
        <v>14161</v>
      </c>
      <c r="K26" s="520">
        <v>14141</v>
      </c>
      <c r="L26" s="520">
        <v>16993</v>
      </c>
      <c r="M26" s="520">
        <v>18651</v>
      </c>
      <c r="N26" s="520">
        <v>18651</v>
      </c>
      <c r="O26" s="520">
        <v>22120</v>
      </c>
      <c r="P26" s="520">
        <v>18651</v>
      </c>
      <c r="Q26" s="1208">
        <v>25647</v>
      </c>
      <c r="R26" s="520">
        <v>25647</v>
      </c>
      <c r="S26" s="292">
        <v>25112</v>
      </c>
      <c r="T26" s="566"/>
      <c r="U26" s="485"/>
    </row>
    <row r="27" spans="1:21" x14ac:dyDescent="0.25">
      <c r="A27" s="485" t="s">
        <v>286</v>
      </c>
      <c r="B27" s="488">
        <f t="shared" ref="B27:G27" si="12">-B26</f>
        <v>-11227</v>
      </c>
      <c r="C27" s="488">
        <f t="shared" si="12"/>
        <v>-11276</v>
      </c>
      <c r="D27" s="488">
        <f t="shared" si="12"/>
        <v>-13751</v>
      </c>
      <c r="E27" s="488">
        <f t="shared" si="12"/>
        <v>-12843</v>
      </c>
      <c r="F27" s="488">
        <f t="shared" si="12"/>
        <v>-12893</v>
      </c>
      <c r="G27" s="488">
        <f t="shared" si="12"/>
        <v>-13611</v>
      </c>
      <c r="H27" s="520">
        <v>-14094</v>
      </c>
      <c r="I27" s="520">
        <f t="shared" ref="I27:R27" si="13">-I26</f>
        <v>-14470</v>
      </c>
      <c r="J27" s="520">
        <f>-J26</f>
        <v>-14161</v>
      </c>
      <c r="K27" s="520">
        <f t="shared" si="13"/>
        <v>-14141</v>
      </c>
      <c r="L27" s="520">
        <f t="shared" si="13"/>
        <v>-16993</v>
      </c>
      <c r="M27" s="520">
        <f t="shared" ref="M27" si="14">-M26</f>
        <v>-18651</v>
      </c>
      <c r="N27" s="520">
        <f t="shared" si="13"/>
        <v>-18651</v>
      </c>
      <c r="O27" s="520">
        <f t="shared" ref="O27" si="15">-O26</f>
        <v>-22120</v>
      </c>
      <c r="P27" s="520">
        <f t="shared" ref="P27:Q27" si="16">-P26</f>
        <v>-18651</v>
      </c>
      <c r="Q27" s="1208">
        <f t="shared" si="16"/>
        <v>-25647</v>
      </c>
      <c r="R27" s="520">
        <f t="shared" si="13"/>
        <v>-25647</v>
      </c>
      <c r="S27" s="292">
        <f>-S26</f>
        <v>-25112</v>
      </c>
      <c r="T27" s="566"/>
      <c r="U27" s="566"/>
    </row>
    <row r="28" spans="1:21" x14ac:dyDescent="0.25">
      <c r="A28" s="485" t="s">
        <v>287</v>
      </c>
      <c r="B28" s="518">
        <f t="shared" ref="B28:F28" si="17">SUM(B21:B27)</f>
        <v>1457732</v>
      </c>
      <c r="C28" s="518">
        <f t="shared" si="17"/>
        <v>1493516</v>
      </c>
      <c r="D28" s="518">
        <f t="shared" si="17"/>
        <v>1601764</v>
      </c>
      <c r="E28" s="518">
        <f t="shared" si="17"/>
        <v>1618467</v>
      </c>
      <c r="F28" s="518">
        <f t="shared" si="17"/>
        <v>1682732</v>
      </c>
      <c r="G28" s="518">
        <f t="shared" ref="G28:K28" si="18">SUM(G21:G27)</f>
        <v>1714412</v>
      </c>
      <c r="H28" s="518">
        <f t="shared" si="18"/>
        <v>1773082</v>
      </c>
      <c r="I28" s="518">
        <f t="shared" si="18"/>
        <v>1883703</v>
      </c>
      <c r="J28" s="518">
        <f>SUM(J21:J27)</f>
        <v>1890429</v>
      </c>
      <c r="K28" s="518">
        <f t="shared" si="18"/>
        <v>1815156</v>
      </c>
      <c r="L28" s="518">
        <f t="shared" ref="L28:N28" si="19">SUM(L21:L27)</f>
        <v>1887263</v>
      </c>
      <c r="M28" s="518">
        <f t="shared" ref="M28" si="20">SUM(M21:M27)</f>
        <v>1936411</v>
      </c>
      <c r="N28" s="518">
        <f t="shared" si="19"/>
        <v>1973741</v>
      </c>
      <c r="O28" s="518">
        <f t="shared" ref="O28" si="21">SUM(O21:O27)</f>
        <v>2037021</v>
      </c>
      <c r="P28" s="518">
        <f t="shared" ref="P28:Q28" si="22">SUM(P21:P27)</f>
        <v>2010779</v>
      </c>
      <c r="Q28" s="1205">
        <f t="shared" si="22"/>
        <v>2157348</v>
      </c>
      <c r="R28" s="518">
        <f>SUM(R21:R27)</f>
        <v>2195265</v>
      </c>
      <c r="S28" s="518">
        <f t="shared" ref="S28" si="23">SUM(S21:S27)</f>
        <v>2195265</v>
      </c>
      <c r="T28" s="292"/>
      <c r="U28" s="292"/>
    </row>
    <row r="29" spans="1:21" x14ac:dyDescent="0.25">
      <c r="A29" s="485"/>
      <c r="B29" s="292"/>
      <c r="C29" s="292"/>
      <c r="D29" s="292"/>
      <c r="E29" s="292"/>
      <c r="F29" s="292"/>
      <c r="G29" s="292"/>
      <c r="H29" s="485"/>
      <c r="I29" s="485"/>
      <c r="J29" s="485"/>
      <c r="K29" s="485"/>
      <c r="L29" s="485"/>
      <c r="M29" s="485"/>
      <c r="N29" s="485"/>
      <c r="O29" s="485"/>
      <c r="P29" s="485"/>
      <c r="Q29" s="1209"/>
      <c r="R29" s="485"/>
      <c r="S29" s="485"/>
      <c r="T29" s="485">
        <f>+R28-P28</f>
        <v>184486</v>
      </c>
      <c r="U29" s="1024">
        <f>+T29/P28</f>
        <v>9.174852134421535E-2</v>
      </c>
    </row>
    <row r="30" spans="1:21" x14ac:dyDescent="0.25">
      <c r="A30" s="485" t="s">
        <v>288</v>
      </c>
      <c r="B30" s="292">
        <v>-85115</v>
      </c>
      <c r="C30" s="292">
        <v>-75855</v>
      </c>
      <c r="D30" s="292">
        <v>-74473</v>
      </c>
      <c r="E30" s="292">
        <v>-75976</v>
      </c>
      <c r="F30" s="488">
        <v>-98020</v>
      </c>
      <c r="G30" s="488">
        <v>-100906</v>
      </c>
      <c r="H30" s="292">
        <v>-97873</v>
      </c>
      <c r="I30" s="292">
        <v>-91871</v>
      </c>
      <c r="J30" s="292">
        <v>-94593</v>
      </c>
      <c r="K30" s="292">
        <v>-94593</v>
      </c>
      <c r="L30" s="292">
        <v>-91919</v>
      </c>
      <c r="M30" s="292">
        <v>-93259</v>
      </c>
      <c r="N30" s="292">
        <v>-93915</v>
      </c>
      <c r="O30" s="292">
        <v>-94155</v>
      </c>
      <c r="P30" s="292">
        <v>-95793</v>
      </c>
      <c r="Q30" s="1203">
        <v>-104836</v>
      </c>
      <c r="R30" s="292">
        <v>-110000</v>
      </c>
      <c r="S30" s="292"/>
      <c r="T30" s="292"/>
      <c r="U30" s="292"/>
    </row>
    <row r="31" spans="1:21" x14ac:dyDescent="0.25">
      <c r="A31" s="485" t="s">
        <v>289</v>
      </c>
      <c r="B31" s="518">
        <f t="shared" ref="B31:F31" si="24">+B28+B30</f>
        <v>1372617</v>
      </c>
      <c r="C31" s="518">
        <f t="shared" si="24"/>
        <v>1417661</v>
      </c>
      <c r="D31" s="518">
        <f t="shared" si="24"/>
        <v>1527291</v>
      </c>
      <c r="E31" s="518">
        <f t="shared" si="24"/>
        <v>1542491</v>
      </c>
      <c r="F31" s="518">
        <f t="shared" si="24"/>
        <v>1584712</v>
      </c>
      <c r="G31" s="518">
        <f t="shared" ref="G31:N31" si="25">+G28+G30</f>
        <v>1613506</v>
      </c>
      <c r="H31" s="518">
        <f t="shared" si="25"/>
        <v>1675209</v>
      </c>
      <c r="I31" s="518">
        <f t="shared" si="25"/>
        <v>1791832</v>
      </c>
      <c r="J31" s="518">
        <f t="shared" si="25"/>
        <v>1795836</v>
      </c>
      <c r="K31" s="518">
        <f t="shared" si="25"/>
        <v>1720563</v>
      </c>
      <c r="L31" s="518">
        <f t="shared" ref="L31:M31" si="26">+L28+L30</f>
        <v>1795344</v>
      </c>
      <c r="M31" s="518">
        <f t="shared" si="26"/>
        <v>1843152</v>
      </c>
      <c r="N31" s="518">
        <f t="shared" si="25"/>
        <v>1879826</v>
      </c>
      <c r="O31" s="518">
        <f t="shared" ref="O31" si="27">+O28+O30</f>
        <v>1942866</v>
      </c>
      <c r="P31" s="518">
        <f t="shared" ref="P31:Q31" si="28">+P28+P30</f>
        <v>1914986</v>
      </c>
      <c r="Q31" s="1205">
        <f t="shared" si="28"/>
        <v>2052512</v>
      </c>
      <c r="R31" s="518">
        <f>+R28+R30</f>
        <v>2085265</v>
      </c>
      <c r="S31" s="518">
        <f>+S28+S30</f>
        <v>2195265</v>
      </c>
      <c r="T31" s="292"/>
      <c r="U31" s="292"/>
    </row>
    <row r="32" spans="1:21" hidden="1" x14ac:dyDescent="0.25">
      <c r="A32" s="485"/>
      <c r="B32" s="292"/>
      <c r="C32" s="292"/>
      <c r="D32" s="292"/>
      <c r="E32" s="292"/>
      <c r="F32" s="292"/>
      <c r="G32" s="292"/>
      <c r="H32" s="292"/>
      <c r="I32" s="292"/>
      <c r="J32" s="292"/>
      <c r="K32" s="1093">
        <f>+K31-I31</f>
        <v>-71269</v>
      </c>
      <c r="L32" s="1093">
        <f>+L31-K31</f>
        <v>74781</v>
      </c>
      <c r="M32" s="1093"/>
      <c r="N32" s="1093">
        <f t="shared" ref="N32" si="29">+N31-L31</f>
        <v>84482</v>
      </c>
      <c r="O32" s="1093"/>
      <c r="P32" s="1093">
        <f t="shared" ref="P32" si="30">+P31-N31</f>
        <v>35160</v>
      </c>
      <c r="Q32" s="1093"/>
      <c r="R32" s="292">
        <f>+R31-P31</f>
        <v>170279</v>
      </c>
      <c r="S32" s="292"/>
      <c r="T32" s="292"/>
      <c r="U32" s="292"/>
    </row>
    <row r="33" spans="1:25" hidden="1" x14ac:dyDescent="0.25">
      <c r="A33" s="485"/>
      <c r="B33" s="292"/>
      <c r="C33" s="292"/>
      <c r="D33" s="292"/>
      <c r="E33" s="292"/>
      <c r="F33" s="292"/>
      <c r="G33" s="292"/>
      <c r="H33" s="292"/>
      <c r="I33" s="292"/>
      <c r="J33" s="292"/>
      <c r="K33" s="1094">
        <f>+K32/I31</f>
        <v>-3.9774376169194436E-2</v>
      </c>
      <c r="L33" s="1094">
        <f>+L32/K31</f>
        <v>4.3463098997246832E-2</v>
      </c>
      <c r="M33" s="1094"/>
      <c r="N33" s="1094">
        <f t="shared" ref="N33" si="31">+N32/L31</f>
        <v>4.705616305287455E-2</v>
      </c>
      <c r="O33" s="1094"/>
      <c r="P33" s="1094">
        <f t="shared" ref="P33" si="32">+P32/N31</f>
        <v>1.8703858761396002E-2</v>
      </c>
      <c r="Q33" s="1094"/>
      <c r="R33" s="1098">
        <f>+R32/P31</f>
        <v>8.8919187920956086E-2</v>
      </c>
      <c r="S33" s="667"/>
      <c r="T33" s="292"/>
      <c r="U33" s="485"/>
    </row>
    <row r="34" spans="1:25" x14ac:dyDescent="0.25">
      <c r="A34" s="485"/>
      <c r="B34" s="292"/>
      <c r="C34" s="292"/>
      <c r="D34" s="292"/>
      <c r="E34" s="292"/>
      <c r="F34" s="292"/>
      <c r="G34" s="292"/>
      <c r="H34" s="292"/>
      <c r="I34" s="292"/>
      <c r="J34" s="292"/>
      <c r="K34" s="1188"/>
      <c r="L34" s="1188"/>
      <c r="M34" s="1188"/>
      <c r="N34" s="1188"/>
      <c r="O34" s="1188"/>
      <c r="P34" s="1188"/>
      <c r="Q34" s="1188"/>
      <c r="R34" s="1188"/>
      <c r="S34" s="667"/>
      <c r="T34" s="292"/>
      <c r="U34" s="485"/>
    </row>
    <row r="35" spans="1:25" ht="15.6" x14ac:dyDescent="0.3">
      <c r="A35" s="516" t="s">
        <v>349</v>
      </c>
      <c r="B35" s="486" t="s">
        <v>257</v>
      </c>
      <c r="C35" s="486" t="s">
        <v>257</v>
      </c>
      <c r="D35" s="486" t="s">
        <v>257</v>
      </c>
      <c r="E35" s="486" t="s">
        <v>257</v>
      </c>
      <c r="F35" s="486" t="s">
        <v>257</v>
      </c>
      <c r="G35" s="486" t="s">
        <v>257</v>
      </c>
      <c r="H35" s="486" t="s">
        <v>257</v>
      </c>
      <c r="I35" s="486"/>
      <c r="J35" s="486"/>
      <c r="K35" s="486"/>
      <c r="L35" s="486"/>
      <c r="M35" s="486"/>
      <c r="N35" s="486"/>
      <c r="O35" s="486"/>
      <c r="P35" s="486"/>
      <c r="Q35" s="1202" t="s">
        <v>2250</v>
      </c>
      <c r="R35" s="486"/>
      <c r="S35" s="485"/>
      <c r="T35" s="485"/>
      <c r="U35" s="485"/>
      <c r="V35" s="972"/>
      <c r="W35" s="486"/>
      <c r="X35" s="486"/>
      <c r="Y35" s="486"/>
    </row>
    <row r="36" spans="1:25" x14ac:dyDescent="0.25">
      <c r="A36" s="485" t="s">
        <v>290</v>
      </c>
      <c r="B36" s="292">
        <v>658373</v>
      </c>
      <c r="C36" s="292">
        <v>702847</v>
      </c>
      <c r="D36" s="292">
        <v>713101</v>
      </c>
      <c r="E36" s="292">
        <v>655337</v>
      </c>
      <c r="F36" s="292">
        <v>731218</v>
      </c>
      <c r="G36" s="292">
        <v>829212</v>
      </c>
      <c r="H36" s="292">
        <v>821525</v>
      </c>
      <c r="I36" s="292">
        <v>753028</v>
      </c>
      <c r="J36" s="292">
        <v>700000</v>
      </c>
      <c r="K36" s="292">
        <v>785960</v>
      </c>
      <c r="L36" s="292">
        <v>652500</v>
      </c>
      <c r="M36" s="292">
        <v>963540</v>
      </c>
      <c r="N36" s="292">
        <v>750000</v>
      </c>
      <c r="O36" s="292">
        <v>776671</v>
      </c>
      <c r="P36" s="292">
        <v>892500</v>
      </c>
      <c r="Q36" s="1203">
        <v>776000</v>
      </c>
      <c r="R36" s="292">
        <v>800000</v>
      </c>
      <c r="S36" s="485"/>
      <c r="T36" s="487" t="s">
        <v>2161</v>
      </c>
      <c r="U36" s="485"/>
      <c r="W36" s="292"/>
      <c r="X36" s="292"/>
      <c r="Y36" s="292"/>
    </row>
    <row r="37" spans="1:25" x14ac:dyDescent="0.25">
      <c r="A37" s="485" t="s">
        <v>291</v>
      </c>
      <c r="B37" s="292">
        <v>1511</v>
      </c>
      <c r="C37" s="292">
        <v>1598</v>
      </c>
      <c r="D37" s="292">
        <v>1718</v>
      </c>
      <c r="E37" s="292">
        <v>1000</v>
      </c>
      <c r="F37" s="292">
        <v>1951</v>
      </c>
      <c r="G37" s="292">
        <v>1376</v>
      </c>
      <c r="H37" s="292">
        <v>1816</v>
      </c>
      <c r="I37" s="292">
        <v>1463</v>
      </c>
      <c r="J37" s="292">
        <v>1000</v>
      </c>
      <c r="K37" s="292">
        <v>1362</v>
      </c>
      <c r="L37" s="292">
        <v>1000</v>
      </c>
      <c r="M37" s="292"/>
      <c r="N37" s="292">
        <v>1000</v>
      </c>
      <c r="O37" s="292"/>
      <c r="P37" s="292">
        <v>0</v>
      </c>
      <c r="Q37" s="1203"/>
      <c r="R37" s="292"/>
      <c r="S37" s="485"/>
      <c r="T37" s="487" t="s">
        <v>2142</v>
      </c>
      <c r="U37" s="485"/>
      <c r="W37" s="292"/>
      <c r="X37" s="292"/>
      <c r="Y37" s="292"/>
    </row>
    <row r="38" spans="1:25" x14ac:dyDescent="0.25">
      <c r="A38" s="485" t="s">
        <v>292</v>
      </c>
      <c r="B38" s="292"/>
      <c r="C38" s="292"/>
      <c r="D38" s="292"/>
      <c r="E38" s="292"/>
      <c r="F38" s="292"/>
      <c r="G38" s="292"/>
      <c r="H38" s="292">
        <v>53850</v>
      </c>
      <c r="I38" s="292">
        <v>61187</v>
      </c>
      <c r="J38" s="292">
        <v>55000</v>
      </c>
      <c r="K38" s="292">
        <v>48185</v>
      </c>
      <c r="L38" s="292">
        <v>40000</v>
      </c>
      <c r="M38" s="292">
        <v>62284</v>
      </c>
      <c r="N38" s="292">
        <v>50000</v>
      </c>
      <c r="O38" s="292">
        <v>71469</v>
      </c>
      <c r="P38" s="292">
        <v>64000</v>
      </c>
      <c r="Q38" s="1203">
        <v>71000</v>
      </c>
      <c r="R38" s="292">
        <v>71000</v>
      </c>
      <c r="S38" s="485"/>
      <c r="T38" s="487"/>
      <c r="U38" s="485"/>
      <c r="W38" s="292"/>
      <c r="X38" s="292"/>
      <c r="Y38" s="292"/>
    </row>
    <row r="39" spans="1:25" x14ac:dyDescent="0.25">
      <c r="A39" s="485" t="s">
        <v>293</v>
      </c>
      <c r="B39" s="292">
        <v>126219</v>
      </c>
      <c r="C39" s="292">
        <v>109239</v>
      </c>
      <c r="D39" s="292">
        <v>114129</v>
      </c>
      <c r="E39" s="292">
        <v>96000</v>
      </c>
      <c r="F39" s="292">
        <v>123780</v>
      </c>
      <c r="G39" s="292">
        <v>177628</v>
      </c>
      <c r="H39" s="292">
        <v>154148</v>
      </c>
      <c r="I39" s="292">
        <v>132315</v>
      </c>
      <c r="J39" s="292">
        <v>118000</v>
      </c>
      <c r="K39" s="292">
        <v>155020</v>
      </c>
      <c r="L39" s="292">
        <v>110000</v>
      </c>
      <c r="M39" s="292">
        <v>287005</v>
      </c>
      <c r="N39" s="292">
        <v>128000</v>
      </c>
      <c r="O39" s="292">
        <v>137566</v>
      </c>
      <c r="P39" s="292">
        <v>143000</v>
      </c>
      <c r="Q39" s="1203">
        <v>137000</v>
      </c>
      <c r="R39" s="292">
        <v>137000</v>
      </c>
      <c r="S39" s="485"/>
      <c r="T39" s="487"/>
      <c r="U39" s="485"/>
      <c r="W39" s="292"/>
      <c r="X39" s="292"/>
      <c r="Y39" s="292"/>
    </row>
    <row r="40" spans="1:25" x14ac:dyDescent="0.25">
      <c r="A40" s="485" t="s">
        <v>294</v>
      </c>
      <c r="B40" s="292">
        <v>6840</v>
      </c>
      <c r="C40" s="292">
        <v>6192</v>
      </c>
      <c r="D40" s="292">
        <v>7392</v>
      </c>
      <c r="E40" s="292">
        <v>6500</v>
      </c>
      <c r="F40" s="292">
        <v>6576</v>
      </c>
      <c r="G40" s="292">
        <v>5388</v>
      </c>
      <c r="H40" s="292">
        <v>15040</v>
      </c>
      <c r="I40" s="292">
        <v>14976</v>
      </c>
      <c r="J40" s="292">
        <v>15000</v>
      </c>
      <c r="K40" s="292">
        <v>10999</v>
      </c>
      <c r="L40" s="292">
        <v>14000</v>
      </c>
      <c r="M40" s="292">
        <v>14956</v>
      </c>
      <c r="N40" s="292">
        <v>14000</v>
      </c>
      <c r="O40" s="292">
        <v>15624</v>
      </c>
      <c r="P40" s="292">
        <v>14000</v>
      </c>
      <c r="Q40" s="1203">
        <v>15500</v>
      </c>
      <c r="R40" s="292">
        <v>15000</v>
      </c>
      <c r="S40" s="485"/>
      <c r="T40" s="487"/>
      <c r="U40" s="485"/>
      <c r="W40" s="292"/>
      <c r="X40" s="292"/>
      <c r="Y40" s="292"/>
    </row>
    <row r="41" spans="1:25" x14ac:dyDescent="0.25">
      <c r="A41" s="485" t="s">
        <v>295</v>
      </c>
      <c r="B41" s="292">
        <v>228738</v>
      </c>
      <c r="C41" s="292">
        <v>233722</v>
      </c>
      <c r="D41" s="292">
        <v>234878</v>
      </c>
      <c r="E41" s="292">
        <v>224500</v>
      </c>
      <c r="F41" s="292">
        <v>237475</v>
      </c>
      <c r="G41" s="292">
        <v>249708</v>
      </c>
      <c r="H41" s="292">
        <v>248504</v>
      </c>
      <c r="I41" s="292">
        <v>276907</v>
      </c>
      <c r="J41" s="292">
        <v>238000</v>
      </c>
      <c r="K41" s="292">
        <v>314699</v>
      </c>
      <c r="L41" s="292">
        <v>238000</v>
      </c>
      <c r="M41" s="292">
        <v>309145</v>
      </c>
      <c r="N41" s="292">
        <v>263000</v>
      </c>
      <c r="O41" s="292">
        <v>304102</v>
      </c>
      <c r="P41" s="292">
        <v>283000</v>
      </c>
      <c r="Q41" s="1203">
        <v>304000</v>
      </c>
      <c r="R41" s="292">
        <v>304000</v>
      </c>
      <c r="S41" s="485"/>
      <c r="T41" s="487"/>
      <c r="U41" s="485"/>
      <c r="W41" s="292"/>
      <c r="X41" s="292"/>
      <c r="Y41" s="292"/>
    </row>
    <row r="42" spans="1:25" x14ac:dyDescent="0.25">
      <c r="A42" s="485" t="s">
        <v>350</v>
      </c>
      <c r="B42" s="292"/>
      <c r="C42" s="292"/>
      <c r="D42" s="292"/>
      <c r="E42" s="292"/>
      <c r="F42" s="292"/>
      <c r="G42" s="292">
        <v>45050</v>
      </c>
      <c r="H42" s="292">
        <v>77961</v>
      </c>
      <c r="I42" s="292">
        <v>79364</v>
      </c>
      <c r="J42" s="292">
        <v>80793</v>
      </c>
      <c r="K42" s="292">
        <f>1000+80793</f>
        <v>81793</v>
      </c>
      <c r="L42" s="292">
        <v>82247</v>
      </c>
      <c r="M42" s="292">
        <v>82247</v>
      </c>
      <c r="N42" s="292">
        <v>84728</v>
      </c>
      <c r="O42" s="292">
        <v>84728</v>
      </c>
      <c r="P42" s="292">
        <v>86235</v>
      </c>
      <c r="Q42" s="1203">
        <v>80000</v>
      </c>
      <c r="R42" s="292">
        <f>+R105</f>
        <v>70769</v>
      </c>
      <c r="S42" s="485"/>
      <c r="T42" s="487" t="s">
        <v>2173</v>
      </c>
      <c r="U42" s="485"/>
      <c r="W42" s="292"/>
      <c r="X42" s="292"/>
      <c r="Y42" s="292"/>
    </row>
    <row r="43" spans="1:25" x14ac:dyDescent="0.25">
      <c r="A43" s="485" t="s">
        <v>296</v>
      </c>
      <c r="B43" s="292">
        <v>66434</v>
      </c>
      <c r="C43" s="292">
        <v>78727</v>
      </c>
      <c r="D43" s="292">
        <v>71981</v>
      </c>
      <c r="E43" s="292">
        <v>53935</v>
      </c>
      <c r="F43" s="292">
        <v>72815</v>
      </c>
      <c r="G43" s="292">
        <v>78459</v>
      </c>
      <c r="H43" s="292">
        <v>85879</v>
      </c>
      <c r="I43" s="292">
        <v>60633</v>
      </c>
      <c r="J43" s="292">
        <v>59760</v>
      </c>
      <c r="K43" s="292">
        <v>91547</v>
      </c>
      <c r="L43" s="292">
        <v>54760</v>
      </c>
      <c r="M43" s="292">
        <v>73012</v>
      </c>
      <c r="N43" s="292">
        <v>57000</v>
      </c>
      <c r="O43" s="292">
        <v>79711</v>
      </c>
      <c r="P43" s="292">
        <v>61000</v>
      </c>
      <c r="Q43" s="1203">
        <v>67000</v>
      </c>
      <c r="R43" s="292">
        <v>63000</v>
      </c>
      <c r="S43" s="485"/>
      <c r="T43" s="487"/>
      <c r="U43" s="485"/>
      <c r="W43" s="292"/>
      <c r="X43" s="292"/>
      <c r="Y43" s="292"/>
    </row>
    <row r="44" spans="1:25" x14ac:dyDescent="0.25">
      <c r="A44" s="485" t="s">
        <v>351</v>
      </c>
      <c r="B44" s="292"/>
      <c r="C44" s="292"/>
      <c r="D44" s="292"/>
      <c r="E44" s="292"/>
      <c r="F44" s="292"/>
      <c r="G44" s="292"/>
      <c r="H44" s="292"/>
      <c r="I44" s="292"/>
      <c r="J44" s="292"/>
      <c r="K44" s="292"/>
      <c r="L44" s="292"/>
      <c r="M44" s="292"/>
      <c r="N44" s="292"/>
      <c r="O44" s="292">
        <v>113728</v>
      </c>
      <c r="P44" s="292">
        <v>131000</v>
      </c>
      <c r="Q44" s="1203">
        <v>112000</v>
      </c>
      <c r="R44" s="292">
        <v>113000</v>
      </c>
      <c r="S44" s="485"/>
      <c r="T44" s="487"/>
      <c r="U44" s="485"/>
      <c r="W44" s="292"/>
      <c r="X44" s="292"/>
      <c r="Y44" s="292"/>
    </row>
    <row r="45" spans="1:25" x14ac:dyDescent="0.25">
      <c r="A45" s="485" t="s">
        <v>297</v>
      </c>
      <c r="B45" s="292">
        <v>121240</v>
      </c>
      <c r="C45" s="292">
        <v>109802</v>
      </c>
      <c r="D45" s="292">
        <v>157799</v>
      </c>
      <c r="E45" s="292">
        <v>121450</v>
      </c>
      <c r="F45" s="292">
        <v>193653</v>
      </c>
      <c r="G45" s="292">
        <v>217448</v>
      </c>
      <c r="H45" s="292">
        <v>184765</v>
      </c>
      <c r="I45" s="292">
        <v>149840</v>
      </c>
      <c r="J45" s="292">
        <v>149000</v>
      </c>
      <c r="K45" s="292">
        <v>186129</v>
      </c>
      <c r="L45" s="292">
        <v>125000</v>
      </c>
      <c r="M45" s="292">
        <v>235510</v>
      </c>
      <c r="N45" s="292">
        <v>158000</v>
      </c>
      <c r="O45" s="292">
        <v>61310</v>
      </c>
      <c r="P45" s="292">
        <v>49000</v>
      </c>
      <c r="Q45" s="1203">
        <v>57500</v>
      </c>
      <c r="R45" s="292">
        <v>57500</v>
      </c>
      <c r="S45" s="485"/>
      <c r="T45" s="487"/>
      <c r="U45" s="485"/>
      <c r="W45" s="292"/>
      <c r="X45" s="292"/>
      <c r="Y45" s="292"/>
    </row>
    <row r="46" spans="1:25" x14ac:dyDescent="0.25">
      <c r="A46" s="485" t="s">
        <v>298</v>
      </c>
      <c r="B46" s="292">
        <v>32615</v>
      </c>
      <c r="C46" s="292">
        <v>54938</v>
      </c>
      <c r="D46" s="292">
        <v>33091</v>
      </c>
      <c r="E46" s="292">
        <v>20850</v>
      </c>
      <c r="F46" s="292">
        <v>23770</v>
      </c>
      <c r="G46" s="292">
        <v>19235</v>
      </c>
      <c r="H46" s="292">
        <v>25548</v>
      </c>
      <c r="I46" s="292">
        <v>22789</v>
      </c>
      <c r="J46" s="292">
        <v>19000</v>
      </c>
      <c r="K46" s="292">
        <v>21761</v>
      </c>
      <c r="L46" s="292">
        <v>16000</v>
      </c>
      <c r="M46" s="292">
        <v>20316</v>
      </c>
      <c r="N46" s="292">
        <v>16000</v>
      </c>
      <c r="O46" s="292">
        <v>10654</v>
      </c>
      <c r="P46" s="292">
        <v>16000</v>
      </c>
      <c r="Q46" s="1203">
        <v>10000</v>
      </c>
      <c r="R46" s="292">
        <v>10000</v>
      </c>
      <c r="S46" s="485"/>
      <c r="T46" s="487"/>
      <c r="U46" s="485"/>
      <c r="W46" s="292"/>
      <c r="X46" s="292"/>
      <c r="Y46" s="292"/>
    </row>
    <row r="47" spans="1:25" x14ac:dyDescent="0.25">
      <c r="A47" s="485" t="s">
        <v>299</v>
      </c>
      <c r="B47" s="292">
        <v>5231</v>
      </c>
      <c r="C47" s="292">
        <v>3493</v>
      </c>
      <c r="D47" s="292">
        <v>4386</v>
      </c>
      <c r="E47" s="292">
        <v>3400</v>
      </c>
      <c r="F47" s="292">
        <v>8580</v>
      </c>
      <c r="G47" s="292">
        <v>13002</v>
      </c>
      <c r="H47" s="292">
        <v>28236</v>
      </c>
      <c r="I47" s="292">
        <v>24901</v>
      </c>
      <c r="J47" s="292">
        <v>9000</v>
      </c>
      <c r="K47" s="292">
        <v>2973</v>
      </c>
      <c r="L47" s="292">
        <v>2000</v>
      </c>
      <c r="M47" s="292">
        <v>1713</v>
      </c>
      <c r="N47" s="292">
        <v>1000</v>
      </c>
      <c r="O47" s="292">
        <v>31330</v>
      </c>
      <c r="P47" s="292">
        <v>1500</v>
      </c>
      <c r="Q47" s="1203">
        <v>10000</v>
      </c>
      <c r="R47" s="292">
        <v>1500</v>
      </c>
      <c r="S47" s="485"/>
      <c r="T47" s="487"/>
      <c r="U47" s="485"/>
      <c r="W47" s="292"/>
      <c r="X47" s="292"/>
      <c r="Y47" s="292"/>
    </row>
    <row r="48" spans="1:25" hidden="1" x14ac:dyDescent="0.25">
      <c r="A48" s="485" t="s">
        <v>300</v>
      </c>
      <c r="B48" s="292">
        <v>43790</v>
      </c>
      <c r="C48" s="292">
        <v>40792</v>
      </c>
      <c r="D48" s="292">
        <v>31886</v>
      </c>
      <c r="E48" s="292"/>
      <c r="F48" s="292"/>
      <c r="G48" s="292"/>
      <c r="H48" s="292"/>
      <c r="I48" s="292"/>
      <c r="J48" s="292"/>
      <c r="K48" s="292"/>
      <c r="L48" s="292"/>
      <c r="M48" s="292"/>
      <c r="N48" s="292"/>
      <c r="O48" s="292"/>
      <c r="P48" s="292"/>
      <c r="Q48" s="1203"/>
      <c r="R48" s="292"/>
      <c r="S48" s="485"/>
      <c r="T48" s="487"/>
      <c r="U48" s="485"/>
      <c r="W48" s="292"/>
      <c r="X48" s="292"/>
      <c r="Y48" s="292"/>
    </row>
    <row r="49" spans="1:25" x14ac:dyDescent="0.25">
      <c r="A49" s="485" t="s">
        <v>301</v>
      </c>
      <c r="B49" s="292"/>
      <c r="C49" s="292"/>
      <c r="D49" s="292"/>
      <c r="E49" s="292"/>
      <c r="F49" s="292"/>
      <c r="G49" s="292"/>
      <c r="H49" s="292"/>
      <c r="I49" s="292"/>
      <c r="J49" s="292"/>
      <c r="K49" s="292"/>
      <c r="L49" s="292"/>
      <c r="M49" s="292"/>
      <c r="N49" s="292"/>
      <c r="O49" s="292"/>
      <c r="P49" s="292"/>
      <c r="Q49" s="1203"/>
      <c r="R49" s="292"/>
      <c r="S49" s="485"/>
      <c r="T49" s="487"/>
      <c r="U49" s="485"/>
      <c r="W49" s="292"/>
      <c r="X49" s="292"/>
      <c r="Y49" s="292"/>
    </row>
    <row r="50" spans="1:25" x14ac:dyDescent="0.25">
      <c r="A50" s="485" t="s">
        <v>302</v>
      </c>
      <c r="B50" s="292">
        <f>100676</f>
        <v>100676</v>
      </c>
      <c r="C50" s="292">
        <v>83047</v>
      </c>
      <c r="D50" s="292">
        <f>128245-D48</f>
        <v>96359</v>
      </c>
      <c r="E50" s="292">
        <f>145900</f>
        <v>145900</v>
      </c>
      <c r="F50" s="292">
        <f>151503</f>
        <v>151503</v>
      </c>
      <c r="G50" s="292">
        <f>143197-G55</f>
        <v>96325</v>
      </c>
      <c r="H50" s="292">
        <f>202200-H55-H56</f>
        <v>88144.62</v>
      </c>
      <c r="I50" s="292">
        <f>228474-I55-I56</f>
        <v>83989</v>
      </c>
      <c r="J50" s="292">
        <v>69347</v>
      </c>
      <c r="K50" s="292">
        <v>85960</v>
      </c>
      <c r="L50" s="292">
        <v>69668</v>
      </c>
      <c r="M50" s="292">
        <v>92929</v>
      </c>
      <c r="N50" s="292">
        <v>60820</v>
      </c>
      <c r="O50" s="292">
        <v>91341</v>
      </c>
      <c r="P50" s="292">
        <v>73030</v>
      </c>
      <c r="Q50" s="1203">
        <v>78500</v>
      </c>
      <c r="R50" s="292">
        <v>79000</v>
      </c>
      <c r="S50" s="485"/>
      <c r="T50" s="487"/>
      <c r="U50" s="485"/>
      <c r="W50" s="292"/>
      <c r="X50" s="292"/>
      <c r="Y50" s="292"/>
    </row>
    <row r="51" spans="1:25" x14ac:dyDescent="0.25">
      <c r="A51" s="485" t="s">
        <v>303</v>
      </c>
      <c r="B51" s="488">
        <v>65897</v>
      </c>
      <c r="C51" s="488"/>
      <c r="D51" s="488"/>
      <c r="E51" s="488"/>
      <c r="F51" s="488"/>
      <c r="G51" s="488">
        <v>4683</v>
      </c>
      <c r="H51" s="488">
        <v>-54184</v>
      </c>
      <c r="I51" s="488">
        <v>6169</v>
      </c>
      <c r="J51" s="488"/>
      <c r="K51" s="488">
        <v>22953</v>
      </c>
      <c r="L51" s="488"/>
      <c r="M51" s="488">
        <v>136438</v>
      </c>
      <c r="N51" s="488"/>
      <c r="O51" s="488">
        <v>23114</v>
      </c>
      <c r="P51" s="488"/>
      <c r="Q51" s="1204"/>
      <c r="R51" s="488"/>
      <c r="S51" s="485"/>
      <c r="T51" s="485"/>
      <c r="U51" s="485"/>
      <c r="W51" s="292"/>
      <c r="X51" s="292"/>
      <c r="Y51" s="292"/>
    </row>
    <row r="52" spans="1:25" x14ac:dyDescent="0.25">
      <c r="A52" s="485" t="s">
        <v>304</v>
      </c>
      <c r="B52" s="518">
        <f t="shared" ref="B52:R52" si="33">SUM(B36:B51)</f>
        <v>1457564</v>
      </c>
      <c r="C52" s="518">
        <f t="shared" si="33"/>
        <v>1424397</v>
      </c>
      <c r="D52" s="518">
        <f t="shared" si="33"/>
        <v>1466720</v>
      </c>
      <c r="E52" s="518">
        <f t="shared" si="33"/>
        <v>1328872</v>
      </c>
      <c r="F52" s="518">
        <f t="shared" si="33"/>
        <v>1551321</v>
      </c>
      <c r="G52" s="518">
        <f t="shared" si="33"/>
        <v>1737514</v>
      </c>
      <c r="H52" s="518">
        <f t="shared" si="33"/>
        <v>1731232.62</v>
      </c>
      <c r="I52" s="518">
        <f t="shared" si="33"/>
        <v>1667561</v>
      </c>
      <c r="J52" s="518">
        <f t="shared" si="33"/>
        <v>1513900</v>
      </c>
      <c r="K52" s="518">
        <f t="shared" si="33"/>
        <v>1809341</v>
      </c>
      <c r="L52" s="518">
        <f t="shared" ref="L52" si="34">SUM(L36:L51)</f>
        <v>1405175</v>
      </c>
      <c r="M52" s="518">
        <f t="shared" si="33"/>
        <v>2279095</v>
      </c>
      <c r="N52" s="518">
        <f t="shared" ref="N52:Q52" si="35">SUM(N36:N51)</f>
        <v>1583548</v>
      </c>
      <c r="O52" s="518">
        <f t="shared" si="33"/>
        <v>1801348</v>
      </c>
      <c r="P52" s="518">
        <f t="shared" si="35"/>
        <v>1814265</v>
      </c>
      <c r="Q52" s="1205">
        <f t="shared" si="35"/>
        <v>1718500</v>
      </c>
      <c r="R52" s="518">
        <f t="shared" si="33"/>
        <v>1721769</v>
      </c>
      <c r="S52" s="666"/>
      <c r="T52" s="485"/>
      <c r="U52" s="485"/>
      <c r="W52" s="292"/>
      <c r="X52" s="292"/>
      <c r="Y52" s="292"/>
    </row>
    <row r="53" spans="1:25" x14ac:dyDescent="0.25">
      <c r="A53" s="485"/>
      <c r="B53" s="292"/>
      <c r="C53" s="292"/>
      <c r="D53" s="292"/>
      <c r="E53" s="292"/>
      <c r="F53" s="292"/>
      <c r="G53" s="292"/>
      <c r="H53" s="292"/>
      <c r="I53" s="292"/>
      <c r="J53" s="292"/>
      <c r="K53" s="292"/>
      <c r="L53" s="292"/>
      <c r="M53" s="292"/>
      <c r="N53" s="292"/>
      <c r="O53" s="292"/>
      <c r="P53" s="292"/>
      <c r="Q53" s="1203"/>
      <c r="R53" s="292"/>
      <c r="S53" s="519"/>
      <c r="T53" s="485"/>
      <c r="U53" s="485"/>
      <c r="W53" s="292"/>
      <c r="X53" s="292"/>
      <c r="Y53" s="292"/>
    </row>
    <row r="54" spans="1:25" x14ac:dyDescent="0.25">
      <c r="A54" s="485" t="s">
        <v>305</v>
      </c>
      <c r="B54" s="292"/>
      <c r="C54" s="292"/>
      <c r="D54" s="292"/>
      <c r="E54" s="292"/>
      <c r="F54" s="292"/>
      <c r="G54" s="292"/>
      <c r="H54" s="292"/>
      <c r="I54" s="292"/>
      <c r="J54" s="292"/>
      <c r="K54" s="292"/>
      <c r="L54" s="292"/>
      <c r="M54" s="292"/>
      <c r="N54" s="292"/>
      <c r="O54" s="292"/>
      <c r="P54" s="292"/>
      <c r="Q54" s="1203"/>
      <c r="R54" s="292"/>
      <c r="S54" s="519"/>
      <c r="T54" s="485"/>
      <c r="U54" s="485"/>
      <c r="W54" s="292"/>
      <c r="X54" s="292"/>
      <c r="Y54" s="292"/>
    </row>
    <row r="55" spans="1:25" x14ac:dyDescent="0.25">
      <c r="A55" s="485" t="s">
        <v>306</v>
      </c>
      <c r="B55" s="292"/>
      <c r="C55" s="292"/>
      <c r="D55" s="292"/>
      <c r="E55" s="292"/>
      <c r="F55" s="292"/>
      <c r="G55" s="292">
        <v>46872</v>
      </c>
      <c r="H55" s="292">
        <v>76368</v>
      </c>
      <c r="I55" s="292">
        <v>81673</v>
      </c>
      <c r="J55" s="292">
        <v>73957</v>
      </c>
      <c r="K55" s="292">
        <v>56966</v>
      </c>
      <c r="L55" s="292">
        <v>77165</v>
      </c>
      <c r="M55" s="292">
        <v>78999</v>
      </c>
      <c r="N55" s="292">
        <v>77000</v>
      </c>
      <c r="O55" s="292">
        <v>96862</v>
      </c>
      <c r="P55" s="292">
        <v>77500</v>
      </c>
      <c r="Q55" s="1203">
        <v>77500</v>
      </c>
      <c r="R55" s="292">
        <v>77000</v>
      </c>
      <c r="S55" s="519"/>
      <c r="T55" s="487"/>
      <c r="U55" s="485"/>
      <c r="W55" s="292"/>
      <c r="X55" s="292"/>
      <c r="Y55" s="292"/>
    </row>
    <row r="56" spans="1:25" x14ac:dyDescent="0.25">
      <c r="A56" s="485" t="s">
        <v>307</v>
      </c>
      <c r="B56" s="292"/>
      <c r="C56" s="292"/>
      <c r="D56" s="292"/>
      <c r="E56" s="292"/>
      <c r="F56" s="292"/>
      <c r="G56" s="292"/>
      <c r="H56" s="292">
        <v>37687.379999999997</v>
      </c>
      <c r="I56" s="292">
        <v>62812</v>
      </c>
      <c r="J56" s="292">
        <v>50250</v>
      </c>
      <c r="K56" s="292">
        <v>25125</v>
      </c>
      <c r="L56" s="292">
        <v>50250</v>
      </c>
      <c r="M56" s="292">
        <v>50250</v>
      </c>
      <c r="N56" s="292">
        <v>65000</v>
      </c>
      <c r="O56" s="292">
        <v>90125</v>
      </c>
      <c r="P56" s="292">
        <v>50000</v>
      </c>
      <c r="Q56" s="1203">
        <v>65000</v>
      </c>
      <c r="R56" s="292">
        <v>65000</v>
      </c>
      <c r="S56" s="519"/>
      <c r="T56" s="487"/>
      <c r="U56" s="485"/>
      <c r="W56" s="292"/>
      <c r="X56" s="292"/>
      <c r="Y56" s="292"/>
    </row>
    <row r="57" spans="1:25" x14ac:dyDescent="0.25">
      <c r="A57" s="485" t="s">
        <v>308</v>
      </c>
      <c r="B57" s="292"/>
      <c r="C57" s="292"/>
      <c r="D57" s="292"/>
      <c r="E57" s="292"/>
      <c r="F57" s="292"/>
      <c r="G57" s="292"/>
      <c r="H57" s="292">
        <v>77961</v>
      </c>
      <c r="I57" s="292">
        <v>79364</v>
      </c>
      <c r="J57" s="292">
        <v>80793</v>
      </c>
      <c r="K57" s="292">
        <v>80793</v>
      </c>
      <c r="L57" s="292">
        <v>82247</v>
      </c>
      <c r="M57" s="292">
        <v>82247</v>
      </c>
      <c r="N57" s="292">
        <v>83728</v>
      </c>
      <c r="O57" s="292">
        <v>84728</v>
      </c>
      <c r="P57" s="292">
        <v>85235</v>
      </c>
      <c r="Q57" s="1203">
        <v>80000</v>
      </c>
      <c r="R57" s="292">
        <f>+R105</f>
        <v>70769</v>
      </c>
      <c r="S57" s="519"/>
      <c r="T57" s="487"/>
      <c r="U57" s="485"/>
      <c r="W57" s="292"/>
      <c r="X57" s="292"/>
      <c r="Y57" s="292"/>
    </row>
    <row r="58" spans="1:25" ht="15.6" thickBot="1" x14ac:dyDescent="0.3">
      <c r="A58" s="485" t="s">
        <v>309</v>
      </c>
      <c r="B58" s="292"/>
      <c r="C58" s="292"/>
      <c r="D58" s="292"/>
      <c r="E58" s="292"/>
      <c r="F58" s="292"/>
      <c r="G58" s="489">
        <f t="shared" ref="G58:R58" si="36">SUM(G52:G57)</f>
        <v>1784386</v>
      </c>
      <c r="H58" s="489">
        <f t="shared" si="36"/>
        <v>1923249</v>
      </c>
      <c r="I58" s="489">
        <f t="shared" si="36"/>
        <v>1891410</v>
      </c>
      <c r="J58" s="489">
        <f t="shared" si="36"/>
        <v>1718900</v>
      </c>
      <c r="K58" s="489">
        <f t="shared" si="36"/>
        <v>1972225</v>
      </c>
      <c r="L58" s="489">
        <f t="shared" ref="L58" si="37">SUM(L52:L57)</f>
        <v>1614837</v>
      </c>
      <c r="M58" s="489">
        <f t="shared" si="36"/>
        <v>2490591</v>
      </c>
      <c r="N58" s="489">
        <f t="shared" si="36"/>
        <v>1809276</v>
      </c>
      <c r="O58" s="489">
        <f t="shared" si="36"/>
        <v>2073063</v>
      </c>
      <c r="P58" s="489">
        <f t="shared" ref="P58:Q58" si="38">SUM(P52:P57)</f>
        <v>2027000</v>
      </c>
      <c r="Q58" s="1206">
        <f t="shared" si="38"/>
        <v>1941000</v>
      </c>
      <c r="R58" s="489">
        <f t="shared" si="36"/>
        <v>1934538</v>
      </c>
      <c r="S58" s="666">
        <f>+R58-P58</f>
        <v>-92462</v>
      </c>
      <c r="T58" s="667">
        <f>+S58/P58</f>
        <v>-4.5615194869264922E-2</v>
      </c>
      <c r="U58" s="485"/>
      <c r="W58" s="292"/>
      <c r="X58" s="292"/>
      <c r="Y58" s="292"/>
    </row>
    <row r="59" spans="1:25" ht="15.6" hidden="1" thickTop="1" x14ac:dyDescent="0.25">
      <c r="A59" s="485"/>
      <c r="B59" s="292"/>
      <c r="C59" s="292"/>
      <c r="D59" s="292"/>
      <c r="E59" s="292"/>
      <c r="F59" s="292"/>
      <c r="G59" s="292"/>
      <c r="H59" s="292"/>
      <c r="I59" s="292"/>
      <c r="J59" s="292"/>
      <c r="K59" s="292">
        <f>+K58-I58</f>
        <v>80815</v>
      </c>
      <c r="L59" s="292">
        <f>+L58-K58</f>
        <v>-357388</v>
      </c>
      <c r="M59" s="292"/>
      <c r="N59" s="292">
        <f t="shared" ref="N59" si="39">+N58-L58</f>
        <v>194439</v>
      </c>
      <c r="O59" s="292"/>
      <c r="P59" s="292">
        <f t="shared" ref="P59" si="40">+P58-N58</f>
        <v>217724</v>
      </c>
      <c r="Q59" s="292"/>
      <c r="R59" s="292">
        <f>+R58-P58</f>
        <v>-92462</v>
      </c>
      <c r="S59" s="485"/>
      <c r="T59" s="485"/>
      <c r="U59" s="485"/>
    </row>
    <row r="60" spans="1:25" hidden="1" x14ac:dyDescent="0.25">
      <c r="A60" s="485"/>
      <c r="B60" s="292"/>
      <c r="C60" s="292"/>
      <c r="D60" s="292"/>
      <c r="E60" s="292"/>
      <c r="F60" s="292"/>
      <c r="G60" s="292"/>
      <c r="H60" s="292"/>
      <c r="I60" s="292"/>
      <c r="J60" s="292"/>
      <c r="K60" s="1188">
        <f>+K59/I58</f>
        <v>4.272738327491131E-2</v>
      </c>
      <c r="L60" s="1188">
        <f>+L59/K58</f>
        <v>-0.18121056167526525</v>
      </c>
      <c r="M60" s="1188"/>
      <c r="N60" s="1188">
        <f t="shared" ref="N60" si="41">+N59/L58</f>
        <v>0.12040781825038688</v>
      </c>
      <c r="O60" s="1188"/>
      <c r="P60" s="1188">
        <f t="shared" ref="P60" si="42">+P59/N58</f>
        <v>0.12033763781755796</v>
      </c>
      <c r="Q60" s="1188"/>
      <c r="R60" s="1188">
        <f>+R59/P58</f>
        <v>-4.5615194869264922E-2</v>
      </c>
      <c r="S60" s="485"/>
      <c r="T60" s="485"/>
      <c r="U60" s="485"/>
    </row>
    <row r="61" spans="1:25" ht="15.6" thickTop="1" x14ac:dyDescent="0.25">
      <c r="A61" s="485"/>
      <c r="B61" s="292"/>
      <c r="C61" s="292"/>
      <c r="D61" s="292"/>
      <c r="E61" s="292"/>
      <c r="F61" s="292"/>
      <c r="G61" s="292"/>
      <c r="H61" s="292"/>
      <c r="I61" s="292"/>
      <c r="J61" s="292"/>
      <c r="K61" s="1188"/>
      <c r="L61" s="1188"/>
      <c r="M61" s="1188"/>
      <c r="N61" s="1188"/>
      <c r="O61" s="1188"/>
      <c r="P61" s="1188"/>
      <c r="Q61" s="1188"/>
      <c r="R61" s="1188"/>
      <c r="S61" s="485"/>
      <c r="T61" s="485"/>
      <c r="U61" s="485"/>
    </row>
    <row r="62" spans="1:25" ht="15.6" x14ac:dyDescent="0.3">
      <c r="A62" s="516" t="s">
        <v>310</v>
      </c>
      <c r="B62" s="292"/>
      <c r="C62" s="292"/>
      <c r="D62" s="292"/>
      <c r="E62" s="292"/>
      <c r="F62" s="292"/>
      <c r="G62" s="292"/>
      <c r="H62" s="292"/>
      <c r="I62" s="292"/>
      <c r="J62" s="292"/>
      <c r="K62" s="292"/>
      <c r="L62" s="292"/>
      <c r="M62" s="292"/>
      <c r="N62" s="292"/>
      <c r="O62" s="292"/>
      <c r="P62" s="292"/>
      <c r="Q62" s="292"/>
      <c r="R62" s="292"/>
      <c r="S62" s="667"/>
      <c r="T62" s="973"/>
      <c r="U62" s="485"/>
    </row>
    <row r="63" spans="1:25" hidden="1" x14ac:dyDescent="0.25">
      <c r="A63" s="485" t="s">
        <v>311</v>
      </c>
      <c r="B63" s="292">
        <v>19000</v>
      </c>
      <c r="C63" s="292"/>
      <c r="D63" s="292"/>
      <c r="E63" s="292"/>
      <c r="F63" s="292"/>
      <c r="G63" s="292"/>
      <c r="H63" s="292"/>
      <c r="I63" s="292"/>
      <c r="J63" s="292"/>
      <c r="K63" s="292"/>
      <c r="L63" s="292"/>
      <c r="M63" s="292"/>
      <c r="N63" s="292"/>
      <c r="O63" s="292"/>
      <c r="P63" s="292"/>
      <c r="Q63" s="292"/>
      <c r="R63" s="292"/>
      <c r="S63" s="485"/>
      <c r="T63" s="292"/>
      <c r="U63" s="485"/>
    </row>
    <row r="64" spans="1:25" x14ac:dyDescent="0.25">
      <c r="A64" s="485" t="s">
        <v>312</v>
      </c>
      <c r="B64" s="292"/>
      <c r="C64" s="292"/>
      <c r="D64" s="292"/>
      <c r="E64" s="292"/>
      <c r="F64" s="292"/>
      <c r="G64" s="292">
        <v>22850</v>
      </c>
      <c r="H64" s="292"/>
      <c r="I64" s="292"/>
      <c r="J64" s="292">
        <v>15439</v>
      </c>
      <c r="K64" s="292"/>
      <c r="L64" s="292"/>
      <c r="M64" s="292"/>
      <c r="N64" s="292"/>
      <c r="O64" s="292"/>
      <c r="P64" s="292">
        <v>12099</v>
      </c>
      <c r="Q64" s="292"/>
      <c r="R64" s="292"/>
      <c r="S64" s="485"/>
      <c r="T64" s="292"/>
      <c r="U64" s="485"/>
    </row>
    <row r="65" spans="1:21" x14ac:dyDescent="0.25">
      <c r="A65" s="485" t="s">
        <v>313</v>
      </c>
      <c r="B65" s="292"/>
      <c r="C65" s="292"/>
      <c r="D65" s="292"/>
      <c r="E65" s="292"/>
      <c r="F65" s="292"/>
      <c r="G65" s="292"/>
      <c r="H65" s="292"/>
      <c r="I65" s="292"/>
      <c r="J65" s="292"/>
      <c r="K65" s="292"/>
      <c r="L65" s="292">
        <v>250000</v>
      </c>
      <c r="M65" s="292">
        <v>250000</v>
      </c>
      <c r="N65" s="292">
        <v>225000</v>
      </c>
      <c r="O65" s="292"/>
      <c r="P65" s="292">
        <v>100000</v>
      </c>
      <c r="Q65" s="292"/>
      <c r="R65" s="292">
        <f>78500+150000</f>
        <v>228500</v>
      </c>
      <c r="S65" s="485"/>
      <c r="T65" s="292"/>
      <c r="U65" s="485"/>
    </row>
    <row r="66" spans="1:21" x14ac:dyDescent="0.25">
      <c r="A66" s="485" t="s">
        <v>2086</v>
      </c>
      <c r="B66" s="292"/>
      <c r="C66" s="292"/>
      <c r="D66" s="292"/>
      <c r="E66" s="292"/>
      <c r="F66" s="292"/>
      <c r="G66" s="292"/>
      <c r="H66" s="292"/>
      <c r="I66" s="292"/>
      <c r="J66" s="292"/>
      <c r="K66" s="292"/>
      <c r="L66" s="292"/>
      <c r="M66" s="292"/>
      <c r="N66" s="292">
        <v>130000</v>
      </c>
      <c r="O66" s="292"/>
      <c r="P66" s="292">
        <f>+'Working Budget with funding det'!T258</f>
        <v>0</v>
      </c>
      <c r="Q66" s="292"/>
      <c r="R66" s="292"/>
      <c r="S66" s="485"/>
      <c r="T66" s="292"/>
      <c r="U66" s="485"/>
    </row>
    <row r="67" spans="1:21" ht="16.8" hidden="1" x14ac:dyDescent="0.4">
      <c r="A67" s="485" t="s">
        <v>314</v>
      </c>
      <c r="B67" s="292"/>
      <c r="C67" s="292"/>
      <c r="D67" s="292"/>
      <c r="E67" s="292"/>
      <c r="F67" s="292"/>
      <c r="G67" s="292"/>
      <c r="H67" s="292"/>
      <c r="I67" s="292"/>
      <c r="J67" s="292"/>
      <c r="K67" s="292"/>
      <c r="L67" s="292">
        <v>56511</v>
      </c>
      <c r="M67" s="292">
        <v>56511</v>
      </c>
      <c r="N67" s="292"/>
      <c r="O67" s="292"/>
      <c r="P67" s="292"/>
      <c r="Q67" s="292"/>
      <c r="R67" s="292"/>
      <c r="S67" s="485"/>
      <c r="T67" s="974"/>
      <c r="U67" s="485"/>
    </row>
    <row r="68" spans="1:21" hidden="1" x14ac:dyDescent="0.25">
      <c r="A68" s="485" t="s">
        <v>315</v>
      </c>
      <c r="B68" s="292">
        <v>24000</v>
      </c>
      <c r="C68" s="292"/>
      <c r="D68" s="292"/>
      <c r="E68" s="292"/>
      <c r="F68" s="292"/>
      <c r="G68" s="292"/>
      <c r="H68" s="292">
        <v>53465</v>
      </c>
      <c r="I68" s="292"/>
      <c r="J68" s="292"/>
      <c r="K68" s="292"/>
      <c r="L68" s="292">
        <v>27262</v>
      </c>
      <c r="M68" s="292">
        <v>27262</v>
      </c>
      <c r="N68" s="292"/>
      <c r="O68" s="292"/>
      <c r="P68" s="292"/>
      <c r="Q68" s="292"/>
      <c r="R68" s="292"/>
      <c r="S68" s="485"/>
      <c r="T68" s="292"/>
      <c r="U68" s="485"/>
    </row>
    <row r="69" spans="1:21" x14ac:dyDescent="0.25">
      <c r="A69" s="485" t="s">
        <v>352</v>
      </c>
      <c r="B69" s="292"/>
      <c r="C69" s="292"/>
      <c r="D69" s="292"/>
      <c r="E69" s="292"/>
      <c r="F69" s="292"/>
      <c r="G69" s="292"/>
      <c r="H69" s="292"/>
      <c r="I69" s="292"/>
      <c r="J69" s="292"/>
      <c r="K69" s="292"/>
      <c r="L69" s="292">
        <v>120050</v>
      </c>
      <c r="M69" s="292">
        <v>120050</v>
      </c>
      <c r="N69" s="292">
        <v>238800</v>
      </c>
      <c r="O69" s="292"/>
      <c r="P69" s="292">
        <f>+'Working Budget with funding det'!P261+'Working Budget with funding det'!W209+'Working Budget with funding det'!W210</f>
        <v>0</v>
      </c>
      <c r="Q69" s="292"/>
      <c r="R69" s="292">
        <v>0</v>
      </c>
      <c r="S69" s="485"/>
      <c r="T69" s="292"/>
      <c r="U69" s="485"/>
    </row>
    <row r="70" spans="1:21" x14ac:dyDescent="0.25">
      <c r="A70" s="485" t="s">
        <v>316</v>
      </c>
      <c r="B70" s="292"/>
      <c r="C70" s="292"/>
      <c r="D70" s="292"/>
      <c r="E70" s="292"/>
      <c r="F70" s="292">
        <v>132000</v>
      </c>
      <c r="G70" s="292"/>
      <c r="H70" s="292"/>
      <c r="I70" s="292"/>
      <c r="J70" s="292">
        <v>47</v>
      </c>
      <c r="K70" s="292">
        <v>47</v>
      </c>
      <c r="L70" s="292">
        <v>60</v>
      </c>
      <c r="M70" s="292">
        <v>60</v>
      </c>
      <c r="N70" s="292">
        <v>13</v>
      </c>
      <c r="O70" s="292"/>
      <c r="P70" s="292">
        <v>7</v>
      </c>
      <c r="Q70" s="292"/>
      <c r="R70" s="292">
        <v>0</v>
      </c>
      <c r="S70" s="485"/>
      <c r="T70" s="292"/>
      <c r="U70" s="485"/>
    </row>
    <row r="71" spans="1:21" x14ac:dyDescent="0.25">
      <c r="A71" s="485" t="s">
        <v>317</v>
      </c>
      <c r="B71" s="292"/>
      <c r="C71" s="292"/>
      <c r="D71" s="292"/>
      <c r="E71" s="292"/>
      <c r="F71" s="292">
        <v>44700</v>
      </c>
      <c r="G71" s="292"/>
      <c r="H71" s="292"/>
      <c r="I71" s="292"/>
      <c r="J71" s="292">
        <v>820</v>
      </c>
      <c r="K71" s="292"/>
      <c r="L71" s="292"/>
      <c r="M71" s="292"/>
      <c r="N71" s="292"/>
      <c r="O71" s="292"/>
      <c r="P71" s="292"/>
      <c r="Q71" s="292"/>
      <c r="R71" s="1006">
        <v>487</v>
      </c>
      <c r="S71" s="485"/>
      <c r="T71" s="485"/>
      <c r="U71" s="485"/>
    </row>
    <row r="72" spans="1:21" x14ac:dyDescent="0.25">
      <c r="A72" s="485" t="s">
        <v>318</v>
      </c>
      <c r="B72" s="292">
        <v>12000</v>
      </c>
      <c r="C72" s="292">
        <v>274055</v>
      </c>
      <c r="D72" s="292">
        <v>113000</v>
      </c>
      <c r="E72" s="292">
        <v>136000</v>
      </c>
      <c r="F72" s="292">
        <f>+'Working Budget with funding det'!X273</f>
        <v>228500</v>
      </c>
      <c r="G72" s="292"/>
      <c r="H72" s="292"/>
      <c r="I72" s="292"/>
      <c r="J72" s="292"/>
      <c r="K72" s="292"/>
      <c r="L72" s="292"/>
      <c r="M72" s="292"/>
      <c r="N72" s="292"/>
      <c r="O72" s="292"/>
      <c r="P72" s="292"/>
      <c r="Q72" s="292"/>
      <c r="R72" s="292"/>
      <c r="S72" s="485"/>
      <c r="T72" s="292"/>
      <c r="U72" s="485"/>
    </row>
    <row r="73" spans="1:21" x14ac:dyDescent="0.25">
      <c r="A73" s="485" t="s">
        <v>319</v>
      </c>
      <c r="B73" s="292">
        <v>154182</v>
      </c>
      <c r="C73" s="292">
        <v>0</v>
      </c>
      <c r="D73" s="292"/>
      <c r="E73" s="292"/>
      <c r="F73" s="292"/>
      <c r="G73" s="292"/>
      <c r="H73" s="292"/>
      <c r="I73" s="292"/>
      <c r="J73" s="292"/>
      <c r="K73" s="292"/>
      <c r="L73" s="292"/>
      <c r="M73" s="292"/>
      <c r="N73" s="292"/>
      <c r="O73" s="292"/>
      <c r="P73" s="292"/>
      <c r="Q73" s="292"/>
      <c r="R73" s="292"/>
      <c r="S73" s="485"/>
      <c r="T73" s="656"/>
      <c r="U73" s="485"/>
    </row>
    <row r="74" spans="1:21" x14ac:dyDescent="0.25">
      <c r="A74" s="485" t="s">
        <v>353</v>
      </c>
      <c r="B74" s="292"/>
      <c r="C74" s="292"/>
      <c r="D74" s="292"/>
      <c r="E74" s="292"/>
      <c r="F74" s="292"/>
      <c r="G74" s="292"/>
      <c r="H74" s="292"/>
      <c r="I74" s="292"/>
      <c r="J74" s="292"/>
      <c r="K74" s="292"/>
      <c r="L74" s="292"/>
      <c r="M74" s="292"/>
      <c r="N74" s="292"/>
      <c r="O74" s="292"/>
      <c r="P74" s="292"/>
      <c r="Q74" s="292"/>
      <c r="R74" s="292"/>
      <c r="S74" s="485"/>
      <c r="T74" s="292"/>
      <c r="U74" s="485"/>
    </row>
    <row r="75" spans="1:21" x14ac:dyDescent="0.25">
      <c r="A75" s="485" t="s">
        <v>320</v>
      </c>
      <c r="B75" s="292"/>
      <c r="C75" s="292"/>
      <c r="D75" s="292">
        <v>15000</v>
      </c>
      <c r="E75" s="292">
        <v>0</v>
      </c>
      <c r="F75" s="292"/>
      <c r="G75" s="292"/>
      <c r="H75" s="292"/>
      <c r="I75" s="292"/>
      <c r="J75" s="292"/>
      <c r="K75" s="292"/>
      <c r="L75" s="292"/>
      <c r="M75" s="292"/>
      <c r="N75" s="292"/>
      <c r="O75" s="292"/>
      <c r="P75" s="292"/>
      <c r="Q75" s="292"/>
      <c r="R75" s="292">
        <v>26041</v>
      </c>
      <c r="S75" s="485"/>
      <c r="T75" s="967"/>
      <c r="U75" s="485"/>
    </row>
    <row r="76" spans="1:21" x14ac:dyDescent="0.25">
      <c r="A76" s="485" t="s">
        <v>354</v>
      </c>
      <c r="B76" s="292"/>
      <c r="C76" s="292"/>
      <c r="D76" s="292"/>
      <c r="E76" s="292"/>
      <c r="F76" s="292"/>
      <c r="G76" s="292"/>
      <c r="H76" s="292"/>
      <c r="I76" s="292"/>
      <c r="J76" s="292"/>
      <c r="K76" s="292"/>
      <c r="L76" s="292"/>
      <c r="M76" s="292"/>
      <c r="N76" s="292"/>
      <c r="O76" s="292"/>
      <c r="P76" s="292">
        <v>250000</v>
      </c>
      <c r="Q76" s="292"/>
      <c r="R76" s="292"/>
      <c r="S76" s="485"/>
      <c r="T76" s="967"/>
      <c r="U76" s="485"/>
    </row>
    <row r="77" spans="1:21" x14ac:dyDescent="0.25">
      <c r="A77" s="485" t="s">
        <v>321</v>
      </c>
      <c r="B77" s="292">
        <v>89400</v>
      </c>
      <c r="C77" s="292">
        <f>+'Colle 228 183'!D30</f>
        <v>94215.84</v>
      </c>
      <c r="D77" s="292">
        <f>+'Colle 228 183'!I30</f>
        <v>84573.5</v>
      </c>
      <c r="E77" s="292">
        <v>80350</v>
      </c>
      <c r="F77" s="292">
        <v>102150</v>
      </c>
      <c r="G77" s="292">
        <v>97525</v>
      </c>
      <c r="H77" s="292">
        <f>+'Colle 228 183'!I30+150000</f>
        <v>234573.5</v>
      </c>
      <c r="I77" s="292">
        <v>95400</v>
      </c>
      <c r="J77" s="292">
        <v>79750</v>
      </c>
      <c r="K77" s="292">
        <v>79750</v>
      </c>
      <c r="L77" s="292">
        <v>78950</v>
      </c>
      <c r="M77" s="292">
        <v>78950</v>
      </c>
      <c r="N77" s="292">
        <v>49950</v>
      </c>
      <c r="O77" s="292"/>
      <c r="P77" s="292">
        <v>53250</v>
      </c>
      <c r="Q77" s="292"/>
      <c r="R77" s="292">
        <f>+'Colle 228 183'!S30</f>
        <v>52250</v>
      </c>
      <c r="S77" s="485"/>
    </row>
    <row r="78" spans="1:21" x14ac:dyDescent="0.25">
      <c r="A78" s="485" t="s">
        <v>322</v>
      </c>
      <c r="B78" s="518">
        <f t="shared" ref="B78:R78" si="43">SUM(B63:B77)</f>
        <v>298582</v>
      </c>
      <c r="C78" s="518">
        <f t="shared" si="43"/>
        <v>368270.83999999997</v>
      </c>
      <c r="D78" s="518">
        <f t="shared" si="43"/>
        <v>212573.5</v>
      </c>
      <c r="E78" s="518">
        <f t="shared" si="43"/>
        <v>216350</v>
      </c>
      <c r="F78" s="518">
        <f t="shared" si="43"/>
        <v>507350</v>
      </c>
      <c r="G78" s="518">
        <f t="shared" si="43"/>
        <v>120375</v>
      </c>
      <c r="H78" s="518">
        <f t="shared" si="43"/>
        <v>288038.5</v>
      </c>
      <c r="I78" s="518">
        <f t="shared" si="43"/>
        <v>95400</v>
      </c>
      <c r="J78" s="518">
        <f>SUM(J62:J77)</f>
        <v>96056</v>
      </c>
      <c r="K78" s="518">
        <f t="shared" si="43"/>
        <v>79797</v>
      </c>
      <c r="L78" s="518">
        <f t="shared" si="43"/>
        <v>532833</v>
      </c>
      <c r="M78" s="518">
        <f t="shared" si="43"/>
        <v>532833</v>
      </c>
      <c r="N78" s="518">
        <f t="shared" si="43"/>
        <v>643763</v>
      </c>
      <c r="O78" s="518">
        <f t="shared" si="43"/>
        <v>0</v>
      </c>
      <c r="P78" s="518">
        <f t="shared" ref="P78" si="44">SUM(P63:P77)</f>
        <v>415356</v>
      </c>
      <c r="Q78" s="518"/>
      <c r="R78" s="518">
        <f t="shared" si="43"/>
        <v>307278</v>
      </c>
      <c r="S78" s="485"/>
      <c r="T78" s="485"/>
      <c r="U78" s="485"/>
    </row>
    <row r="79" spans="1:21" ht="15.6" x14ac:dyDescent="0.3">
      <c r="A79" s="485"/>
      <c r="B79" s="183"/>
      <c r="C79" s="183"/>
      <c r="D79" s="292"/>
      <c r="E79" s="292"/>
      <c r="F79" s="292"/>
      <c r="G79" s="292"/>
      <c r="H79" s="292"/>
      <c r="I79" s="292"/>
      <c r="J79" s="292"/>
      <c r="K79" s="292"/>
      <c r="L79" s="292"/>
      <c r="M79" s="292"/>
      <c r="N79" s="292"/>
      <c r="O79" s="292"/>
      <c r="P79" s="292"/>
      <c r="Q79" s="292"/>
      <c r="R79" s="292"/>
      <c r="S79" s="485"/>
      <c r="T79" s="292"/>
      <c r="U79" s="485"/>
    </row>
    <row r="80" spans="1:21" ht="16.8" x14ac:dyDescent="0.4">
      <c r="A80" s="516" t="s">
        <v>323</v>
      </c>
      <c r="B80" s="183"/>
      <c r="C80" s="183"/>
      <c r="D80" s="292"/>
      <c r="E80" s="292"/>
      <c r="F80" s="292"/>
      <c r="G80" s="292"/>
      <c r="H80" s="292"/>
      <c r="I80" s="292"/>
      <c r="J80" s="292"/>
      <c r="K80" s="292"/>
      <c r="L80" s="292"/>
      <c r="M80" s="292"/>
      <c r="N80" s="292"/>
      <c r="O80" s="292"/>
      <c r="P80" s="292"/>
      <c r="Q80" s="292"/>
      <c r="R80" s="292"/>
      <c r="S80" s="485"/>
      <c r="T80" s="657"/>
      <c r="U80" s="485"/>
    </row>
    <row r="81" spans="1:21" x14ac:dyDescent="0.25">
      <c r="A81" s="485" t="s">
        <v>324</v>
      </c>
      <c r="B81" s="292"/>
      <c r="C81" s="292"/>
      <c r="D81" s="292"/>
      <c r="E81" s="292"/>
      <c r="F81" s="292"/>
      <c r="G81" s="292">
        <v>201000</v>
      </c>
      <c r="H81" s="292">
        <v>194000</v>
      </c>
      <c r="I81" s="292">
        <v>370044</v>
      </c>
      <c r="J81" s="292">
        <v>471792</v>
      </c>
      <c r="K81" s="292">
        <f>67260+504483</f>
        <v>571743</v>
      </c>
      <c r="L81" s="292">
        <v>283200</v>
      </c>
      <c r="M81" s="292">
        <v>283200</v>
      </c>
      <c r="N81" s="865">
        <v>251242</v>
      </c>
      <c r="O81" s="865"/>
      <c r="P81" s="865">
        <v>2180701</v>
      </c>
      <c r="Q81" s="865"/>
      <c r="R81" s="865">
        <v>335286</v>
      </c>
      <c r="S81" s="485"/>
      <c r="T81" s="292" t="s">
        <v>2176</v>
      </c>
      <c r="U81" s="485"/>
    </row>
    <row r="82" spans="1:21" x14ac:dyDescent="0.25">
      <c r="A82" s="485" t="s">
        <v>325</v>
      </c>
      <c r="B82" s="488">
        <v>250000</v>
      </c>
      <c r="C82" s="488">
        <v>250000</v>
      </c>
      <c r="D82" s="488">
        <v>250000</v>
      </c>
      <c r="E82" s="488">
        <v>250000</v>
      </c>
      <c r="F82" s="488">
        <v>250000</v>
      </c>
      <c r="G82" s="488">
        <v>200000</v>
      </c>
      <c r="H82" s="488">
        <v>150000</v>
      </c>
      <c r="I82" s="488">
        <v>100000</v>
      </c>
      <c r="J82" s="488"/>
      <c r="K82" s="488"/>
      <c r="L82" s="488"/>
      <c r="M82" s="488"/>
      <c r="N82" s="488"/>
      <c r="O82" s="488"/>
      <c r="P82" s="488"/>
      <c r="Q82" s="488"/>
      <c r="R82" s="488"/>
      <c r="S82" s="485"/>
      <c r="T82" s="967"/>
      <c r="U82" s="656"/>
    </row>
    <row r="83" spans="1:21" x14ac:dyDescent="0.25">
      <c r="A83" s="485" t="s">
        <v>326</v>
      </c>
      <c r="B83" s="518">
        <f t="shared" ref="B83:R83" si="45">SUM(B81:B82)</f>
        <v>250000</v>
      </c>
      <c r="C83" s="518">
        <f t="shared" si="45"/>
        <v>250000</v>
      </c>
      <c r="D83" s="518">
        <f t="shared" si="45"/>
        <v>250000</v>
      </c>
      <c r="E83" s="518">
        <f t="shared" si="45"/>
        <v>250000</v>
      </c>
      <c r="F83" s="518">
        <f t="shared" si="45"/>
        <v>250000</v>
      </c>
      <c r="G83" s="518">
        <f t="shared" si="45"/>
        <v>401000</v>
      </c>
      <c r="H83" s="518">
        <f t="shared" si="45"/>
        <v>344000</v>
      </c>
      <c r="I83" s="518">
        <f t="shared" si="45"/>
        <v>470044</v>
      </c>
      <c r="J83" s="518">
        <f t="shared" ref="J83" si="46">SUM(J81:J82)</f>
        <v>471792</v>
      </c>
      <c r="K83" s="518">
        <f t="shared" si="45"/>
        <v>571743</v>
      </c>
      <c r="L83" s="518">
        <f t="shared" ref="L83" si="47">SUM(L81:L82)</f>
        <v>283200</v>
      </c>
      <c r="M83" s="518">
        <f t="shared" ref="M83" si="48">SUM(M81:M82)</f>
        <v>283200</v>
      </c>
      <c r="N83" s="518">
        <f t="shared" ref="N83:P83" si="49">SUM(N81:N82)</f>
        <v>251242</v>
      </c>
      <c r="O83" s="518">
        <f t="shared" ref="O83" si="50">SUM(O81:O82)</f>
        <v>0</v>
      </c>
      <c r="P83" s="518">
        <f t="shared" si="49"/>
        <v>2180701</v>
      </c>
      <c r="Q83" s="518"/>
      <c r="R83" s="518">
        <f t="shared" si="45"/>
        <v>335286</v>
      </c>
      <c r="S83" s="485"/>
      <c r="T83" s="485"/>
      <c r="U83" s="656"/>
    </row>
    <row r="84" spans="1:21" x14ac:dyDescent="0.25">
      <c r="A84" s="485"/>
      <c r="B84" s="292">
        <f>+A84</f>
        <v>0</v>
      </c>
      <c r="C84" s="292">
        <f>+B84</f>
        <v>0</v>
      </c>
      <c r="D84" s="292">
        <f>+C84</f>
        <v>0</v>
      </c>
      <c r="E84" s="292">
        <f>+D84</f>
        <v>0</v>
      </c>
      <c r="F84" s="292">
        <f>+D84</f>
        <v>0</v>
      </c>
      <c r="G84" s="292">
        <f>+E84</f>
        <v>0</v>
      </c>
      <c r="H84" s="292">
        <f>+E84</f>
        <v>0</v>
      </c>
      <c r="I84" s="292"/>
      <c r="J84" s="292">
        <f>+E84</f>
        <v>0</v>
      </c>
      <c r="K84" s="292">
        <f>+F84</f>
        <v>0</v>
      </c>
      <c r="L84" s="292">
        <f>+G84</f>
        <v>0</v>
      </c>
      <c r="M84" s="292">
        <f>+H84</f>
        <v>0</v>
      </c>
      <c r="N84" s="292">
        <f>+D84</f>
        <v>0</v>
      </c>
      <c r="O84" s="292">
        <f>+J84</f>
        <v>0</v>
      </c>
      <c r="P84" s="292">
        <f>+E84</f>
        <v>0</v>
      </c>
      <c r="Q84" s="292"/>
      <c r="R84" s="292">
        <f>+G84</f>
        <v>0</v>
      </c>
      <c r="S84" s="485"/>
      <c r="T84" s="485"/>
      <c r="U84" s="656"/>
    </row>
    <row r="85" spans="1:21" ht="15.6" thickBot="1" x14ac:dyDescent="0.3">
      <c r="A85" s="485" t="s">
        <v>327</v>
      </c>
      <c r="B85" s="489">
        <f t="shared" ref="B85:K85" si="51">+B83+B78+B52+B31+B16</f>
        <v>16880330</v>
      </c>
      <c r="C85" s="489">
        <f t="shared" si="51"/>
        <v>17467389.84</v>
      </c>
      <c r="D85" s="489">
        <f t="shared" si="51"/>
        <v>17881047.5</v>
      </c>
      <c r="E85" s="489">
        <f t="shared" si="51"/>
        <v>18250855</v>
      </c>
      <c r="F85" s="489">
        <f t="shared" si="51"/>
        <v>19392041</v>
      </c>
      <c r="G85" s="489">
        <f t="shared" si="51"/>
        <v>20399308.969999999</v>
      </c>
      <c r="H85" s="489">
        <f t="shared" si="51"/>
        <v>21550511.120000001</v>
      </c>
      <c r="I85" s="489">
        <f t="shared" si="51"/>
        <v>22694319</v>
      </c>
      <c r="J85" s="489">
        <f t="shared" ref="J85" si="52">+J83+J78+J52+J31+J16</f>
        <v>23476087</v>
      </c>
      <c r="K85" s="489">
        <f t="shared" si="51"/>
        <v>23728881</v>
      </c>
      <c r="L85" s="489">
        <f>+L83+L78+L58+L31+L16</f>
        <v>24396550</v>
      </c>
      <c r="M85" s="489">
        <f t="shared" ref="M85" si="53">+M83+M78+M52+M31+M16</f>
        <v>25076394</v>
      </c>
      <c r="N85" s="489">
        <f>+N83+N78+N58+N31+N16</f>
        <v>25461923</v>
      </c>
      <c r="O85" s="489">
        <f t="shared" ref="O85" si="54">+O83+O78+O52+O31+O16</f>
        <v>24198212</v>
      </c>
      <c r="P85" s="489">
        <f>+P83+P78+P58+P31+P16</f>
        <v>28134922</v>
      </c>
      <c r="Q85" s="489"/>
      <c r="R85" s="489">
        <f>+R83+R78+R58+R31+R16</f>
        <v>26876815.579999998</v>
      </c>
      <c r="S85" s="485"/>
      <c r="T85" s="485"/>
      <c r="U85" s="656"/>
    </row>
    <row r="86" spans="1:21" ht="15.6" thickTop="1" x14ac:dyDescent="0.25">
      <c r="A86" s="485" t="s">
        <v>2170</v>
      </c>
      <c r="B86" s="292"/>
      <c r="C86" s="292"/>
      <c r="D86" s="292"/>
      <c r="E86" s="292"/>
      <c r="F86" s="292"/>
      <c r="G86" s="292"/>
      <c r="H86" s="292"/>
      <c r="I86" s="292"/>
      <c r="J86" s="292"/>
      <c r="K86" s="292">
        <f t="shared" ref="K86:P86" si="55">+K85-K83-K78</f>
        <v>23077341</v>
      </c>
      <c r="L86" s="292">
        <f t="shared" si="55"/>
        <v>23580517</v>
      </c>
      <c r="M86" s="292">
        <f t="shared" si="55"/>
        <v>24260361</v>
      </c>
      <c r="N86" s="292">
        <f t="shared" si="55"/>
        <v>24566918</v>
      </c>
      <c r="O86" s="292">
        <f t="shared" si="55"/>
        <v>24198212</v>
      </c>
      <c r="P86" s="292">
        <f t="shared" si="55"/>
        <v>25538865</v>
      </c>
      <c r="Q86" s="292"/>
      <c r="R86" s="292">
        <f>+R85-R83-R78</f>
        <v>26234251.579999998</v>
      </c>
      <c r="S86" s="975"/>
      <c r="T86" s="485"/>
      <c r="U86" s="656"/>
    </row>
    <row r="87" spans="1:21" hidden="1" x14ac:dyDescent="0.25">
      <c r="A87" s="485" t="s">
        <v>2171</v>
      </c>
      <c r="B87" s="292"/>
      <c r="C87" s="292"/>
      <c r="D87" s="292"/>
      <c r="E87" s="292"/>
      <c r="F87" s="292"/>
      <c r="G87" s="292"/>
      <c r="H87" s="292"/>
      <c r="I87" s="292"/>
      <c r="J87" s="292"/>
      <c r="K87" s="1093">
        <f>+K86-I86</f>
        <v>23077341</v>
      </c>
      <c r="L87" s="1093">
        <f>+L86-K86</f>
        <v>503176</v>
      </c>
      <c r="M87" s="1093"/>
      <c r="N87" s="1093">
        <f t="shared" ref="N87" si="56">+N86-L86</f>
        <v>986401</v>
      </c>
      <c r="O87" s="1093"/>
      <c r="P87" s="1093">
        <f t="shared" ref="P87" si="57">+P86-N86</f>
        <v>971947</v>
      </c>
      <c r="Q87" s="1093"/>
      <c r="R87" s="292">
        <f>+R86-P86</f>
        <v>695386.57999999821</v>
      </c>
      <c r="S87" s="975"/>
      <c r="T87" s="485"/>
      <c r="U87" s="656"/>
    </row>
    <row r="88" spans="1:21" hidden="1" x14ac:dyDescent="0.25">
      <c r="A88" s="485"/>
      <c r="B88" s="292"/>
      <c r="C88" s="292"/>
      <c r="D88" s="292"/>
      <c r="E88" s="292"/>
      <c r="F88" s="292"/>
      <c r="G88" s="292"/>
      <c r="H88" s="292"/>
      <c r="I88" s="292"/>
      <c r="J88" s="292"/>
      <c r="K88" s="1094" t="e">
        <f>+K87/I86</f>
        <v>#DIV/0!</v>
      </c>
      <c r="L88" s="1094">
        <f>+L87/K86</f>
        <v>2.1803898464732137E-2</v>
      </c>
      <c r="M88" s="1094"/>
      <c r="N88" s="1094">
        <f t="shared" ref="N88" si="58">+N87/L86</f>
        <v>4.18311863136843E-2</v>
      </c>
      <c r="O88" s="1094"/>
      <c r="P88" s="1094">
        <f t="shared" ref="P88" si="59">+P87/N86</f>
        <v>3.9563245173855344E-2</v>
      </c>
      <c r="Q88" s="1094"/>
      <c r="R88" s="1098">
        <f>+R87/P86</f>
        <v>2.7228562428283254E-2</v>
      </c>
      <c r="S88" s="975"/>
      <c r="T88" s="485"/>
      <c r="U88" s="656"/>
    </row>
    <row r="89" spans="1:21" x14ac:dyDescent="0.25">
      <c r="A89" s="485"/>
      <c r="B89" s="292"/>
      <c r="C89" s="292"/>
      <c r="D89" s="292"/>
      <c r="E89" s="292"/>
      <c r="F89" s="292"/>
      <c r="G89" s="292"/>
      <c r="H89" s="292"/>
      <c r="I89" s="292"/>
      <c r="J89" s="292"/>
      <c r="K89" s="292"/>
      <c r="L89" s="292"/>
      <c r="M89" s="292"/>
      <c r="N89" s="292"/>
      <c r="O89" s="292"/>
      <c r="P89" s="292"/>
      <c r="Q89" s="292"/>
      <c r="R89" s="1020"/>
      <c r="S89" s="975"/>
      <c r="T89" s="485"/>
      <c r="U89" s="656"/>
    </row>
    <row r="90" spans="1:21" ht="15.6" x14ac:dyDescent="0.3">
      <c r="A90" s="516" t="s">
        <v>328</v>
      </c>
      <c r="B90" s="292"/>
      <c r="C90" s="292"/>
      <c r="D90" s="292"/>
      <c r="E90" s="292"/>
      <c r="F90" s="292"/>
      <c r="G90" s="292"/>
      <c r="H90" s="292"/>
      <c r="I90" s="292"/>
      <c r="J90" s="292"/>
      <c r="K90" s="292"/>
      <c r="L90" s="292"/>
      <c r="M90" s="292"/>
      <c r="N90" s="292"/>
      <c r="O90" s="292"/>
      <c r="P90" s="292"/>
      <c r="Q90" s="292"/>
      <c r="R90" s="292"/>
      <c r="S90" s="485"/>
      <c r="T90" s="485"/>
      <c r="U90" s="656"/>
    </row>
    <row r="91" spans="1:21" x14ac:dyDescent="0.25">
      <c r="A91" s="485" t="s">
        <v>329</v>
      </c>
      <c r="B91" s="292">
        <v>160000</v>
      </c>
      <c r="C91" s="292"/>
      <c r="D91" s="292">
        <v>400000</v>
      </c>
      <c r="E91" s="292">
        <v>1661764</v>
      </c>
      <c r="F91" s="292" t="e">
        <f>SUM(#REF!)</f>
        <v>#REF!</v>
      </c>
      <c r="G91" s="292"/>
      <c r="H91" s="292"/>
      <c r="I91" s="292"/>
      <c r="J91" s="292"/>
      <c r="K91" s="292"/>
      <c r="L91" s="292"/>
      <c r="M91" s="292"/>
      <c r="N91" s="292"/>
      <c r="O91" s="292"/>
      <c r="P91" s="292"/>
      <c r="Q91" s="292"/>
      <c r="R91" s="292">
        <f>296000+175500+365000</f>
        <v>836500</v>
      </c>
      <c r="S91" s="485"/>
      <c r="T91" s="485"/>
      <c r="U91" s="656"/>
    </row>
    <row r="92" spans="1:21" x14ac:dyDescent="0.25">
      <c r="A92" s="485" t="s">
        <v>2001</v>
      </c>
      <c r="B92" s="488"/>
      <c r="C92" s="488"/>
      <c r="D92" s="488"/>
      <c r="E92" s="488">
        <v>385000</v>
      </c>
      <c r="F92" s="488" t="e">
        <f>SUM(#REF!)</f>
        <v>#REF!</v>
      </c>
      <c r="G92" s="488">
        <v>385000</v>
      </c>
      <c r="H92" s="488">
        <v>521000</v>
      </c>
      <c r="I92" s="488"/>
      <c r="J92" s="488"/>
      <c r="K92" s="488"/>
      <c r="L92" s="488"/>
      <c r="M92" s="488"/>
      <c r="N92" s="488"/>
      <c r="O92" s="488"/>
      <c r="P92" s="488"/>
      <c r="Q92" s="488"/>
      <c r="R92" s="488">
        <f>+'Working Budget with funding det'!T260</f>
        <v>283800</v>
      </c>
      <c r="S92" s="485"/>
      <c r="T92" s="485"/>
      <c r="U92" s="485"/>
    </row>
    <row r="93" spans="1:21" x14ac:dyDescent="0.25">
      <c r="A93" s="485" t="s">
        <v>330</v>
      </c>
      <c r="B93" s="292">
        <f t="shared" ref="B93:I93" si="60">SUM(B91:B92)</f>
        <v>160000</v>
      </c>
      <c r="C93" s="292">
        <f t="shared" si="60"/>
        <v>0</v>
      </c>
      <c r="D93" s="292">
        <f t="shared" si="60"/>
        <v>400000</v>
      </c>
      <c r="E93" s="292">
        <f t="shared" si="60"/>
        <v>2046764</v>
      </c>
      <c r="F93" s="292" t="e">
        <f t="shared" si="60"/>
        <v>#REF!</v>
      </c>
      <c r="G93" s="292">
        <f>SUM(G91:G92)</f>
        <v>385000</v>
      </c>
      <c r="H93" s="292">
        <f t="shared" si="60"/>
        <v>521000</v>
      </c>
      <c r="I93" s="292">
        <f t="shared" si="60"/>
        <v>0</v>
      </c>
      <c r="J93" s="292"/>
      <c r="K93" s="292">
        <f>SUM(K91:K92)</f>
        <v>0</v>
      </c>
      <c r="L93" s="292">
        <f>SUM(L91:L92)</f>
        <v>0</v>
      </c>
      <c r="M93" s="292"/>
      <c r="N93" s="292">
        <f>SUM(N91:N92)</f>
        <v>0</v>
      </c>
      <c r="O93" s="292"/>
      <c r="P93" s="292">
        <f>SUM(P91:P92)</f>
        <v>0</v>
      </c>
      <c r="Q93" s="292"/>
      <c r="R93" s="292">
        <f>SUM(R91:R92)</f>
        <v>1120300</v>
      </c>
      <c r="S93" s="485"/>
      <c r="T93" s="485"/>
      <c r="U93" s="485"/>
    </row>
    <row r="94" spans="1:21" x14ac:dyDescent="0.25">
      <c r="A94" s="507"/>
      <c r="B94" s="292"/>
      <c r="C94" s="292"/>
      <c r="D94" s="292"/>
      <c r="E94" s="292"/>
      <c r="F94" s="292"/>
      <c r="G94" s="292"/>
      <c r="H94" s="292"/>
      <c r="I94" s="292"/>
      <c r="J94" s="292"/>
      <c r="K94" s="292"/>
      <c r="L94" s="292"/>
      <c r="M94" s="292"/>
      <c r="N94" s="292"/>
      <c r="O94" s="292"/>
      <c r="P94" s="292"/>
      <c r="Q94" s="292"/>
      <c r="R94" s="292"/>
      <c r="S94" s="485"/>
      <c r="T94" s="485"/>
      <c r="U94" s="485"/>
    </row>
    <row r="95" spans="1:21" x14ac:dyDescent="0.25">
      <c r="A95" s="485" t="s">
        <v>331</v>
      </c>
      <c r="B95" s="292">
        <v>1693865</v>
      </c>
      <c r="C95" s="292">
        <v>1866887</v>
      </c>
      <c r="D95" s="292">
        <v>1687525</v>
      </c>
      <c r="E95" s="292">
        <v>1913646</v>
      </c>
      <c r="F95" s="292">
        <v>2250472</v>
      </c>
      <c r="G95" s="292">
        <v>2627714</v>
      </c>
      <c r="H95" s="292">
        <v>2241379</v>
      </c>
      <c r="I95" s="292">
        <v>2230727</v>
      </c>
      <c r="J95" s="292">
        <v>2404070</v>
      </c>
      <c r="K95" s="292">
        <v>2404070</v>
      </c>
      <c r="L95" s="292">
        <v>2335742</v>
      </c>
      <c r="M95" s="292"/>
      <c r="N95" s="292">
        <v>2605938</v>
      </c>
      <c r="O95" s="292"/>
      <c r="P95" s="292">
        <v>2719224</v>
      </c>
      <c r="Q95" s="292"/>
      <c r="R95" s="292">
        <f>+'Working Budget with funding det'!AA273-R97-R92-R66-R96</f>
        <v>2759825</v>
      </c>
      <c r="S95" s="485"/>
      <c r="T95" s="485"/>
      <c r="U95" s="485"/>
    </row>
    <row r="96" spans="1:21" x14ac:dyDescent="0.25">
      <c r="A96" s="485" t="s">
        <v>1996</v>
      </c>
      <c r="B96" s="292"/>
      <c r="C96" s="292"/>
      <c r="D96" s="292"/>
      <c r="E96" s="292"/>
      <c r="F96" s="292"/>
      <c r="G96" s="292"/>
      <c r="H96" s="292"/>
      <c r="I96" s="292"/>
      <c r="J96" s="292"/>
      <c r="K96" s="292"/>
      <c r="L96" s="292"/>
      <c r="M96" s="292"/>
      <c r="N96" s="292"/>
      <c r="O96" s="292"/>
      <c r="P96" s="292">
        <v>50136</v>
      </c>
      <c r="Q96" s="292"/>
      <c r="R96" s="292"/>
      <c r="S96" s="485"/>
      <c r="T96" s="485"/>
      <c r="U96" s="485"/>
    </row>
    <row r="97" spans="1:21" x14ac:dyDescent="0.25">
      <c r="A97" s="485" t="s">
        <v>355</v>
      </c>
      <c r="B97" s="292"/>
      <c r="C97" s="292"/>
      <c r="D97" s="292"/>
      <c r="E97" s="292"/>
      <c r="F97" s="292"/>
      <c r="G97" s="292"/>
      <c r="H97" s="292"/>
      <c r="I97" s="292"/>
      <c r="J97" s="292"/>
      <c r="K97" s="292"/>
      <c r="L97" s="292">
        <v>180000</v>
      </c>
      <c r="M97" s="292"/>
      <c r="N97" s="292"/>
      <c r="O97" s="292"/>
      <c r="P97" s="292">
        <v>352364</v>
      </c>
      <c r="Q97" s="292"/>
      <c r="R97" s="292"/>
      <c r="S97" s="485"/>
      <c r="T97" s="485"/>
      <c r="U97" s="485"/>
    </row>
    <row r="98" spans="1:21" x14ac:dyDescent="0.25">
      <c r="A98" s="485" t="s">
        <v>332</v>
      </c>
      <c r="B98" s="292">
        <v>31461</v>
      </c>
      <c r="C98" s="292">
        <v>33809</v>
      </c>
      <c r="D98" s="292">
        <v>27165</v>
      </c>
      <c r="E98" s="292">
        <v>30847</v>
      </c>
      <c r="F98" s="292">
        <v>31987</v>
      </c>
      <c r="G98" s="292">
        <v>33258</v>
      </c>
      <c r="H98" s="292">
        <v>36096</v>
      </c>
      <c r="I98" s="292">
        <v>46984</v>
      </c>
      <c r="J98" s="292">
        <v>58089</v>
      </c>
      <c r="K98" s="292">
        <v>59089</v>
      </c>
      <c r="L98" s="292">
        <v>206164</v>
      </c>
      <c r="M98" s="292"/>
      <c r="N98" s="292">
        <v>316015</v>
      </c>
      <c r="O98" s="292"/>
      <c r="P98" s="292">
        <v>426965</v>
      </c>
      <c r="Q98" s="292"/>
      <c r="R98" s="292">
        <f>+'Working Budget with funding det'!AB127</f>
        <v>286043</v>
      </c>
      <c r="S98" s="485"/>
      <c r="T98" s="485"/>
      <c r="U98" s="485"/>
    </row>
    <row r="99" spans="1:21" x14ac:dyDescent="0.25">
      <c r="A99" s="521"/>
      <c r="B99" s="292"/>
      <c r="C99" s="292"/>
      <c r="D99" s="292"/>
      <c r="E99" s="292"/>
      <c r="F99" s="292"/>
      <c r="G99" s="292"/>
      <c r="H99" s="292"/>
      <c r="I99" s="292"/>
      <c r="J99" s="292"/>
      <c r="K99" s="292"/>
      <c r="L99" s="292"/>
      <c r="M99" s="292"/>
      <c r="N99" s="292"/>
      <c r="O99" s="292"/>
      <c r="P99" s="292"/>
      <c r="Q99" s="292"/>
      <c r="R99" s="292"/>
      <c r="S99" s="485"/>
      <c r="T99" s="485"/>
      <c r="U99" s="485"/>
    </row>
    <row r="100" spans="1:21" ht="15.6" thickBot="1" x14ac:dyDescent="0.3">
      <c r="A100" s="485" t="s">
        <v>333</v>
      </c>
      <c r="B100" s="489">
        <f t="shared" ref="B100:I100" si="61">+B98+B95+B93+B85</f>
        <v>18765656</v>
      </c>
      <c r="C100" s="489">
        <f t="shared" si="61"/>
        <v>19368085.84</v>
      </c>
      <c r="D100" s="489">
        <f t="shared" si="61"/>
        <v>19995737.5</v>
      </c>
      <c r="E100" s="489">
        <f t="shared" si="61"/>
        <v>22242112</v>
      </c>
      <c r="F100" s="489" t="e">
        <f t="shared" si="61"/>
        <v>#REF!</v>
      </c>
      <c r="G100" s="489">
        <f>+G98+G95+G93+G85</f>
        <v>23445280.969999999</v>
      </c>
      <c r="H100" s="489">
        <f t="shared" si="61"/>
        <v>24348986.120000001</v>
      </c>
      <c r="I100" s="489">
        <f t="shared" si="61"/>
        <v>24972030</v>
      </c>
      <c r="J100" s="489">
        <f>+J98+J95+J93+J85</f>
        <v>25938246</v>
      </c>
      <c r="K100" s="489">
        <f>+K98+K95+K93+K85</f>
        <v>26192040</v>
      </c>
      <c r="L100" s="489">
        <f>+L98+L95+L93+L85+L97</f>
        <v>27118456</v>
      </c>
      <c r="M100" s="489">
        <f>+M98+M95+M93+M85</f>
        <v>25076394</v>
      </c>
      <c r="N100" s="489">
        <f>+N98+N95+N93+N85+N97</f>
        <v>28383876</v>
      </c>
      <c r="O100" s="489">
        <f>+O98+O95+O93+O85</f>
        <v>24198212</v>
      </c>
      <c r="P100" s="489">
        <f>+P98+P95+P93+P85+P97</f>
        <v>31633475</v>
      </c>
      <c r="Q100" s="489"/>
      <c r="R100" s="489">
        <f>+R98+R95+R93+R85+R97</f>
        <v>31042983.579999998</v>
      </c>
      <c r="S100" s="485"/>
      <c r="T100" s="485"/>
      <c r="U100" s="485"/>
    </row>
    <row r="101" spans="1:21" ht="15.6" thickTop="1" x14ac:dyDescent="0.25">
      <c r="A101" s="485"/>
      <c r="B101" s="292"/>
      <c r="C101" s="292"/>
      <c r="D101" s="292"/>
      <c r="E101" s="292"/>
      <c r="F101" s="292"/>
      <c r="G101" s="292"/>
      <c r="H101" s="292"/>
      <c r="I101" s="292"/>
      <c r="J101" s="292"/>
      <c r="K101" s="292"/>
      <c r="L101" s="292"/>
      <c r="M101" s="292"/>
      <c r="N101" s="292"/>
      <c r="O101" s="292"/>
      <c r="P101" s="292"/>
      <c r="Q101" s="292"/>
      <c r="R101" s="292"/>
      <c r="S101" s="485"/>
      <c r="T101" s="485"/>
      <c r="U101" s="485"/>
    </row>
    <row r="102" spans="1:21" x14ac:dyDescent="0.25">
      <c r="A102" s="494" t="s">
        <v>334</v>
      </c>
      <c r="B102" s="518"/>
      <c r="C102" s="518"/>
      <c r="D102" s="518"/>
      <c r="E102" s="518"/>
      <c r="F102" s="518"/>
      <c r="G102" s="518"/>
      <c r="H102" s="518"/>
      <c r="I102" s="518"/>
      <c r="J102" s="518"/>
      <c r="K102" s="532"/>
      <c r="L102" s="532"/>
      <c r="M102" s="532"/>
      <c r="N102" s="532"/>
      <c r="O102" s="532"/>
      <c r="P102" s="532"/>
      <c r="Q102" s="518"/>
      <c r="R102" s="518"/>
      <c r="S102" s="485"/>
      <c r="T102" s="485"/>
      <c r="U102" s="485"/>
    </row>
    <row r="103" spans="1:21" ht="15.6" x14ac:dyDescent="0.3">
      <c r="A103" s="498" t="s">
        <v>190</v>
      </c>
      <c r="B103" s="292"/>
      <c r="C103" s="292"/>
      <c r="D103" s="292"/>
      <c r="E103" s="292"/>
      <c r="F103" s="292"/>
      <c r="G103" s="292"/>
      <c r="H103" s="292"/>
      <c r="I103" s="533">
        <v>158792</v>
      </c>
      <c r="J103" s="533">
        <v>161586</v>
      </c>
      <c r="K103" s="533"/>
      <c r="L103" s="533">
        <v>164494</v>
      </c>
      <c r="M103" s="533"/>
      <c r="N103" s="533">
        <v>167455</v>
      </c>
      <c r="O103" s="533"/>
      <c r="P103" s="1057">
        <v>170469</v>
      </c>
      <c r="Q103" s="183"/>
      <c r="R103" s="183">
        <f>+'Kearsarge Lease'!B12-15000</f>
        <v>141538</v>
      </c>
      <c r="S103" s="485"/>
      <c r="T103" s="485" t="s">
        <v>2050</v>
      </c>
      <c r="U103" s="485"/>
    </row>
    <row r="104" spans="1:21" x14ac:dyDescent="0.25">
      <c r="A104" s="498"/>
      <c r="B104" s="292"/>
      <c r="C104" s="292"/>
      <c r="D104" s="292"/>
      <c r="E104" s="292"/>
      <c r="F104" s="292"/>
      <c r="G104" s="292"/>
      <c r="H104" s="292"/>
      <c r="I104" s="533"/>
      <c r="J104" s="533"/>
      <c r="K104" s="533"/>
      <c r="L104" s="533"/>
      <c r="M104" s="533"/>
      <c r="N104" s="533"/>
      <c r="O104" s="533"/>
      <c r="P104" s="533"/>
      <c r="Q104" s="292"/>
      <c r="R104" s="292"/>
      <c r="S104" s="485"/>
      <c r="T104" s="485"/>
      <c r="U104" s="485"/>
    </row>
    <row r="105" spans="1:21" x14ac:dyDescent="0.25">
      <c r="A105" s="498" t="s">
        <v>335</v>
      </c>
      <c r="B105" s="292"/>
      <c r="C105" s="292"/>
      <c r="D105" s="292"/>
      <c r="E105" s="292"/>
      <c r="F105" s="292"/>
      <c r="G105" s="292"/>
      <c r="H105" s="292"/>
      <c r="I105" s="535">
        <f t="shared" ref="I105:R105" si="62">ROUND((+I103/2),0)</f>
        <v>79396</v>
      </c>
      <c r="J105" s="535">
        <f t="shared" ref="J105" si="63">ROUND((+J103/2),0)</f>
        <v>80793</v>
      </c>
      <c r="K105" s="535"/>
      <c r="L105" s="535">
        <f t="shared" si="62"/>
        <v>82247</v>
      </c>
      <c r="M105" s="535"/>
      <c r="N105" s="535">
        <f t="shared" si="62"/>
        <v>83728</v>
      </c>
      <c r="O105" s="535"/>
      <c r="P105" s="535">
        <f t="shared" si="62"/>
        <v>85235</v>
      </c>
      <c r="Q105" s="968"/>
      <c r="R105" s="968">
        <f t="shared" si="62"/>
        <v>70769</v>
      </c>
      <c r="S105" s="485"/>
      <c r="T105" s="485"/>
      <c r="U105" s="485"/>
    </row>
    <row r="106" spans="1:21" x14ac:dyDescent="0.25">
      <c r="A106" s="498" t="s">
        <v>336</v>
      </c>
      <c r="B106" s="292"/>
      <c r="C106" s="292"/>
      <c r="D106" s="292"/>
      <c r="E106" s="292"/>
      <c r="F106" s="292"/>
      <c r="G106" s="292"/>
      <c r="H106" s="292"/>
      <c r="I106" s="536">
        <f t="shared" ref="I106:R106" si="64">+I105</f>
        <v>79396</v>
      </c>
      <c r="J106" s="536">
        <f t="shared" ref="J106" si="65">+J105</f>
        <v>80793</v>
      </c>
      <c r="K106" s="536"/>
      <c r="L106" s="536">
        <f t="shared" si="64"/>
        <v>82247</v>
      </c>
      <c r="M106" s="536"/>
      <c r="N106" s="536">
        <f t="shared" si="64"/>
        <v>83728</v>
      </c>
      <c r="O106" s="536"/>
      <c r="P106" s="536">
        <f t="shared" si="64"/>
        <v>85235</v>
      </c>
      <c r="Q106" s="969"/>
      <c r="R106" s="969">
        <f t="shared" si="64"/>
        <v>70769</v>
      </c>
      <c r="S106" s="485"/>
      <c r="T106" s="485"/>
      <c r="U106" s="485"/>
    </row>
    <row r="107" spans="1:21" x14ac:dyDescent="0.25">
      <c r="A107" s="498"/>
      <c r="B107" s="292"/>
      <c r="C107" s="292"/>
      <c r="D107" s="292"/>
      <c r="E107" s="292"/>
      <c r="F107" s="292"/>
      <c r="G107" s="292"/>
      <c r="H107" s="292"/>
      <c r="I107" s="533"/>
      <c r="J107" s="533"/>
      <c r="K107" s="533"/>
      <c r="L107" s="533"/>
      <c r="M107" s="533"/>
      <c r="N107" s="533"/>
      <c r="O107" s="533"/>
      <c r="P107" s="533"/>
      <c r="Q107" s="292"/>
      <c r="R107" s="292"/>
      <c r="S107" s="485"/>
      <c r="T107" s="485"/>
      <c r="U107" s="485"/>
    </row>
    <row r="108" spans="1:21" x14ac:dyDescent="0.25">
      <c r="A108" s="498" t="s">
        <v>337</v>
      </c>
      <c r="B108" s="292"/>
      <c r="C108" s="292"/>
      <c r="D108" s="292"/>
      <c r="E108" s="292"/>
      <c r="F108" s="292"/>
      <c r="G108" s="292"/>
      <c r="H108" s="292"/>
      <c r="I108" s="535">
        <f t="shared" ref="I108:R108" si="66">ROUND((+I105*0.485),0)</f>
        <v>38507</v>
      </c>
      <c r="J108" s="535">
        <f t="shared" ref="J108" si="67">ROUND((+J105*0.485),0)</f>
        <v>39185</v>
      </c>
      <c r="K108" s="535"/>
      <c r="L108" s="535">
        <f t="shared" si="66"/>
        <v>39890</v>
      </c>
      <c r="M108" s="535"/>
      <c r="N108" s="535">
        <f t="shared" si="66"/>
        <v>40608</v>
      </c>
      <c r="O108" s="535"/>
      <c r="P108" s="535">
        <f t="shared" si="66"/>
        <v>41339</v>
      </c>
      <c r="Q108" s="968"/>
      <c r="R108" s="968">
        <f t="shared" si="66"/>
        <v>34323</v>
      </c>
      <c r="S108" s="485"/>
      <c r="T108" s="485"/>
      <c r="U108" s="485"/>
    </row>
    <row r="109" spans="1:21" x14ac:dyDescent="0.25">
      <c r="A109" s="498" t="s">
        <v>338</v>
      </c>
      <c r="B109" s="292"/>
      <c r="C109" s="292"/>
      <c r="D109" s="292"/>
      <c r="E109" s="292"/>
      <c r="F109" s="292"/>
      <c r="G109" s="292"/>
      <c r="H109" s="292"/>
      <c r="I109" s="537">
        <f t="shared" ref="I109:R109" si="68">+I105-I108</f>
        <v>40889</v>
      </c>
      <c r="J109" s="537">
        <f t="shared" ref="J109" si="69">+J105-J108</f>
        <v>41608</v>
      </c>
      <c r="K109" s="537"/>
      <c r="L109" s="537">
        <f t="shared" si="68"/>
        <v>42357</v>
      </c>
      <c r="M109" s="537"/>
      <c r="N109" s="537">
        <f t="shared" si="68"/>
        <v>43120</v>
      </c>
      <c r="O109" s="537"/>
      <c r="P109" s="537">
        <f t="shared" si="68"/>
        <v>43896</v>
      </c>
      <c r="Q109" s="970"/>
      <c r="R109" s="970">
        <f t="shared" si="68"/>
        <v>36446</v>
      </c>
      <c r="S109" s="485"/>
      <c r="T109" s="485"/>
      <c r="U109" s="485"/>
    </row>
    <row r="110" spans="1:21" x14ac:dyDescent="0.25">
      <c r="A110" s="498"/>
      <c r="B110" s="292"/>
      <c r="C110" s="292"/>
      <c r="D110" s="292"/>
      <c r="E110" s="292"/>
      <c r="F110" s="292"/>
      <c r="G110" s="292"/>
      <c r="H110" s="292"/>
      <c r="I110" s="537"/>
      <c r="J110" s="537"/>
      <c r="K110" s="537"/>
      <c r="L110" s="537"/>
      <c r="M110" s="537"/>
      <c r="N110" s="537"/>
      <c r="O110" s="537"/>
      <c r="P110" s="537"/>
      <c r="Q110" s="970"/>
      <c r="R110" s="970"/>
      <c r="S110" s="485"/>
      <c r="T110" s="485"/>
      <c r="U110" s="485"/>
    </row>
    <row r="111" spans="1:21" x14ac:dyDescent="0.25">
      <c r="A111" s="498" t="s">
        <v>339</v>
      </c>
      <c r="B111" s="292"/>
      <c r="C111" s="292"/>
      <c r="D111" s="292"/>
      <c r="E111" s="292"/>
      <c r="F111" s="292"/>
      <c r="G111" s="292"/>
      <c r="H111" s="292"/>
      <c r="I111" s="537">
        <f t="shared" ref="I111:R112" si="70">+I108</f>
        <v>38507</v>
      </c>
      <c r="J111" s="537">
        <f t="shared" ref="J111" si="71">+J108</f>
        <v>39185</v>
      </c>
      <c r="K111" s="537"/>
      <c r="L111" s="537">
        <f t="shared" ref="L111" si="72">+L108</f>
        <v>39890</v>
      </c>
      <c r="M111" s="537"/>
      <c r="N111" s="537">
        <f t="shared" ref="N111:P111" si="73">+N108</f>
        <v>40608</v>
      </c>
      <c r="O111" s="537"/>
      <c r="P111" s="537">
        <f t="shared" si="73"/>
        <v>41339</v>
      </c>
      <c r="Q111" s="970"/>
      <c r="R111" s="970">
        <f t="shared" si="70"/>
        <v>34323</v>
      </c>
      <c r="S111" s="485"/>
      <c r="T111" s="485"/>
      <c r="U111" s="485"/>
    </row>
    <row r="112" spans="1:21" x14ac:dyDescent="0.25">
      <c r="A112" s="498" t="s">
        <v>340</v>
      </c>
      <c r="B112" s="292"/>
      <c r="C112" s="292"/>
      <c r="D112" s="292"/>
      <c r="E112" s="292"/>
      <c r="F112" s="292"/>
      <c r="G112" s="292"/>
      <c r="H112" s="292"/>
      <c r="I112" s="536">
        <f t="shared" si="70"/>
        <v>40889</v>
      </c>
      <c r="J112" s="536">
        <f t="shared" ref="J112" si="74">+J109</f>
        <v>41608</v>
      </c>
      <c r="K112" s="536"/>
      <c r="L112" s="536">
        <f t="shared" ref="L112" si="75">+L109</f>
        <v>42357</v>
      </c>
      <c r="M112" s="536"/>
      <c r="N112" s="536">
        <f t="shared" ref="N112:P112" si="76">+N109</f>
        <v>43120</v>
      </c>
      <c r="O112" s="536"/>
      <c r="P112" s="536">
        <f t="shared" si="76"/>
        <v>43896</v>
      </c>
      <c r="Q112" s="969"/>
      <c r="R112" s="969">
        <f t="shared" si="70"/>
        <v>36446</v>
      </c>
      <c r="S112" s="485"/>
      <c r="T112" s="485"/>
      <c r="U112" s="485"/>
    </row>
    <row r="113" spans="1:21" x14ac:dyDescent="0.25">
      <c r="A113" s="498"/>
      <c r="B113" s="292"/>
      <c r="C113" s="292"/>
      <c r="D113" s="292"/>
      <c r="E113" s="292"/>
      <c r="F113" s="292"/>
      <c r="G113" s="292"/>
      <c r="H113" s="292"/>
      <c r="I113" s="533"/>
      <c r="J113" s="533"/>
      <c r="K113" s="533"/>
      <c r="L113" s="533"/>
      <c r="M113" s="533"/>
      <c r="N113" s="533"/>
      <c r="O113" s="533"/>
      <c r="P113" s="533"/>
      <c r="Q113" s="292"/>
      <c r="R113" s="292"/>
      <c r="S113" s="485"/>
      <c r="T113" s="485"/>
      <c r="U113" s="485"/>
    </row>
    <row r="114" spans="1:21" x14ac:dyDescent="0.25">
      <c r="A114" s="503" t="s">
        <v>341</v>
      </c>
      <c r="B114" s="488"/>
      <c r="C114" s="488"/>
      <c r="D114" s="488"/>
      <c r="E114" s="488"/>
      <c r="F114" s="488"/>
      <c r="G114" s="488"/>
      <c r="H114" s="488"/>
      <c r="I114" s="534">
        <f t="shared" ref="I114:R114" si="77">SUM(I108:I112)</f>
        <v>158792</v>
      </c>
      <c r="J114" s="534">
        <f t="shared" ref="J114" si="78">SUM(J108:J112)</f>
        <v>161586</v>
      </c>
      <c r="K114" s="534"/>
      <c r="L114" s="534">
        <f t="shared" si="77"/>
        <v>164494</v>
      </c>
      <c r="M114" s="534"/>
      <c r="N114" s="534">
        <f t="shared" si="77"/>
        <v>167456</v>
      </c>
      <c r="O114" s="534"/>
      <c r="P114" s="534">
        <f t="shared" si="77"/>
        <v>170470</v>
      </c>
      <c r="Q114" s="488"/>
      <c r="R114" s="488">
        <f t="shared" si="77"/>
        <v>141538</v>
      </c>
      <c r="S114" s="485"/>
      <c r="T114" s="485"/>
      <c r="U114" s="485"/>
    </row>
    <row r="115" spans="1:21" x14ac:dyDescent="0.25">
      <c r="A115" s="485"/>
      <c r="B115" s="292"/>
      <c r="C115" s="292"/>
      <c r="D115" s="292"/>
      <c r="E115" s="292"/>
      <c r="F115" s="292"/>
      <c r="G115" s="292"/>
      <c r="H115" s="292"/>
      <c r="I115" s="292"/>
      <c r="J115" s="292"/>
      <c r="K115" s="292"/>
      <c r="L115" s="292"/>
      <c r="M115" s="292"/>
      <c r="N115" s="292"/>
      <c r="O115" s="292"/>
      <c r="P115" s="292"/>
      <c r="Q115" s="292"/>
      <c r="R115" s="292"/>
      <c r="S115" s="485"/>
      <c r="T115" s="485"/>
      <c r="U115" s="485"/>
    </row>
    <row r="116" spans="1:21" x14ac:dyDescent="0.25">
      <c r="A116" s="485"/>
      <c r="B116" s="292"/>
      <c r="C116" s="292"/>
      <c r="D116" s="292"/>
      <c r="E116" s="292"/>
      <c r="F116" s="292"/>
      <c r="G116" s="292"/>
      <c r="H116" s="292"/>
      <c r="I116" s="292"/>
      <c r="J116" s="292"/>
      <c r="K116" s="292"/>
      <c r="L116" s="292"/>
      <c r="M116" s="292"/>
      <c r="N116" s="292"/>
      <c r="O116" s="292"/>
      <c r="P116" s="292"/>
      <c r="Q116" s="292"/>
      <c r="R116" s="292"/>
      <c r="S116" s="485"/>
      <c r="T116" s="485"/>
      <c r="U116" s="485"/>
    </row>
    <row r="117" spans="1:21" x14ac:dyDescent="0.25">
      <c r="U117" s="485"/>
    </row>
    <row r="118" spans="1:21" ht="157.5" customHeight="1" x14ac:dyDescent="0.25">
      <c r="A118" s="1346" t="s">
        <v>356</v>
      </c>
      <c r="B118" s="1346"/>
      <c r="C118" s="1346"/>
      <c r="D118" s="1346"/>
      <c r="E118" s="1346"/>
      <c r="F118" s="1346"/>
      <c r="G118" s="1346"/>
      <c r="H118" s="1346"/>
      <c r="I118" s="1346"/>
      <c r="J118" s="1346"/>
      <c r="K118" s="1346"/>
      <c r="L118" s="549"/>
      <c r="M118" s="549"/>
      <c r="N118" s="549"/>
      <c r="O118" s="549"/>
      <c r="P118" s="549"/>
      <c r="Q118" s="549"/>
      <c r="R118" s="549"/>
    </row>
    <row r="133" spans="2:3" x14ac:dyDescent="0.25">
      <c r="B133" s="53"/>
      <c r="C133" s="53"/>
    </row>
    <row r="149" spans="2:3" x14ac:dyDescent="0.25">
      <c r="B149" s="53"/>
      <c r="C149" s="53"/>
    </row>
    <row r="158" spans="2:3" x14ac:dyDescent="0.25">
      <c r="B158" s="53"/>
      <c r="C158" s="53"/>
    </row>
    <row r="164" spans="2:3" x14ac:dyDescent="0.25">
      <c r="B164" s="53"/>
      <c r="C164" s="53"/>
    </row>
    <row r="173" spans="2:3" x14ac:dyDescent="0.25">
      <c r="B173" s="53"/>
      <c r="C173" s="53"/>
    </row>
    <row r="188" spans="2:3" x14ac:dyDescent="0.25">
      <c r="B188" s="53"/>
      <c r="C188" s="53"/>
    </row>
    <row r="199" spans="2:3" x14ac:dyDescent="0.25">
      <c r="B199" s="51"/>
      <c r="C199" s="51"/>
    </row>
  </sheetData>
  <mergeCells count="1">
    <mergeCell ref="A118:K118"/>
  </mergeCells>
  <phoneticPr fontId="0" type="noConversion"/>
  <hyperlinks>
    <hyperlink ref="A2" location="'Table of Contents'!A1" display="TOC" xr:uid="{00000000-0004-0000-0500-000000000000}"/>
  </hyperlinks>
  <pageMargins left="0.75" right="0.75" top="1" bottom="1" header="0.5" footer="0.5"/>
  <pageSetup scale="61" fitToHeight="0" orientation="portrait" r:id="rId1"/>
  <headerFooter alignWithMargins="0">
    <oddFooter>&amp;L&amp;D &amp;T&amp;C&amp;F&amp;R&amp;A  &amp;P</oddFooter>
  </headerFooter>
  <rowBreaks count="1" manualBreakCount="1">
    <brk id="58" max="17"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sheetPr>
  <dimension ref="A1:L51"/>
  <sheetViews>
    <sheetView workbookViewId="0">
      <selection activeCell="L10" sqref="L10"/>
    </sheetView>
  </sheetViews>
  <sheetFormatPr defaultRowHeight="13.2" x14ac:dyDescent="0.25"/>
  <sheetData>
    <row r="1" spans="1:12" x14ac:dyDescent="0.25">
      <c r="A1" s="290" t="s">
        <v>194</v>
      </c>
    </row>
    <row r="2" spans="1:12" x14ac:dyDescent="0.25">
      <c r="A2" s="288" t="s">
        <v>1345</v>
      </c>
      <c r="B2" s="1072" t="s">
        <v>2080</v>
      </c>
      <c r="C2" s="837">
        <v>2.5000000000000001E-2</v>
      </c>
    </row>
    <row r="3" spans="1:12" x14ac:dyDescent="0.25">
      <c r="B3" t="s">
        <v>1672</v>
      </c>
    </row>
    <row r="5" spans="1:12" x14ac:dyDescent="0.25">
      <c r="A5" t="s">
        <v>1699</v>
      </c>
      <c r="B5" s="756"/>
      <c r="C5" s="756">
        <v>1</v>
      </c>
      <c r="D5" s="756">
        <v>2</v>
      </c>
      <c r="E5" s="756">
        <v>3</v>
      </c>
      <c r="F5" s="756">
        <v>4</v>
      </c>
      <c r="G5" s="756">
        <v>5</v>
      </c>
      <c r="H5" s="756">
        <v>6</v>
      </c>
      <c r="I5" s="756">
        <v>7</v>
      </c>
      <c r="J5" s="756">
        <v>8</v>
      </c>
      <c r="K5" s="756">
        <v>9</v>
      </c>
      <c r="L5" s="756">
        <v>10</v>
      </c>
    </row>
    <row r="6" spans="1:12" x14ac:dyDescent="0.25">
      <c r="A6" t="s">
        <v>1599</v>
      </c>
      <c r="B6" s="960">
        <f>ROUND((+B17*(1+$C$13)),2)</f>
        <v>16.43</v>
      </c>
      <c r="C6" s="1">
        <f t="shared" ref="C6:K6" si="0">ROUND((+C17*(1+$C$13)),2)</f>
        <v>16.84</v>
      </c>
      <c r="D6" s="1">
        <f t="shared" si="0"/>
        <v>17.260000000000002</v>
      </c>
      <c r="E6" s="1">
        <f t="shared" si="0"/>
        <v>17.7</v>
      </c>
      <c r="F6" s="1">
        <f t="shared" si="0"/>
        <v>18.11</v>
      </c>
      <c r="G6" s="1">
        <f t="shared" si="0"/>
        <v>18.59</v>
      </c>
      <c r="H6" s="1">
        <f t="shared" si="0"/>
        <v>19.010000000000002</v>
      </c>
      <c r="I6" s="1">
        <f t="shared" si="0"/>
        <v>19.43</v>
      </c>
      <c r="J6" s="1">
        <f t="shared" si="0"/>
        <v>19.809999999999999</v>
      </c>
      <c r="K6" s="1">
        <f t="shared" si="0"/>
        <v>20.22</v>
      </c>
      <c r="L6" s="1">
        <f t="shared" ref="L6" si="1">ROUND((+L17*(1+$C$13)),2)</f>
        <v>20.62</v>
      </c>
    </row>
    <row r="7" spans="1:12" x14ac:dyDescent="0.25">
      <c r="A7" t="s">
        <v>1603</v>
      </c>
      <c r="B7" s="960">
        <f t="shared" ref="B7:K7" si="2">ROUND((+B18*(1+$C$13)),2)</f>
        <v>19.37</v>
      </c>
      <c r="C7" s="1">
        <f t="shared" si="2"/>
        <v>19.84</v>
      </c>
      <c r="D7" s="1">
        <f t="shared" si="2"/>
        <v>20.34</v>
      </c>
      <c r="E7" s="1">
        <f t="shared" si="2"/>
        <v>20.86</v>
      </c>
      <c r="F7" s="1">
        <f t="shared" si="2"/>
        <v>21.37</v>
      </c>
      <c r="G7" s="1">
        <f t="shared" si="2"/>
        <v>21.91</v>
      </c>
      <c r="H7" s="1">
        <f t="shared" si="2"/>
        <v>22.47</v>
      </c>
      <c r="I7" s="1">
        <f t="shared" si="2"/>
        <v>22.89</v>
      </c>
      <c r="J7" s="1">
        <f t="shared" si="2"/>
        <v>23.38</v>
      </c>
      <c r="K7" s="1">
        <f t="shared" si="2"/>
        <v>23.85</v>
      </c>
      <c r="L7" s="1">
        <f t="shared" ref="L7" si="3">ROUND((+L18*(1+$C$13)),2)</f>
        <v>24.33</v>
      </c>
    </row>
    <row r="8" spans="1:12" x14ac:dyDescent="0.25">
      <c r="A8" t="s">
        <v>1609</v>
      </c>
      <c r="B8" s="960">
        <f t="shared" ref="B8:K8" si="4">ROUND((+B19*(1+$C$13)),2)</f>
        <v>20.85</v>
      </c>
      <c r="C8" s="1">
        <f t="shared" si="4"/>
        <v>21.36</v>
      </c>
      <c r="D8" s="1">
        <f t="shared" si="4"/>
        <v>21.89</v>
      </c>
      <c r="E8" s="1">
        <f t="shared" si="4"/>
        <v>22.45</v>
      </c>
      <c r="F8" s="1">
        <f t="shared" si="4"/>
        <v>22.99</v>
      </c>
      <c r="G8" s="1">
        <f t="shared" si="4"/>
        <v>23.59</v>
      </c>
      <c r="H8" s="1">
        <f t="shared" si="4"/>
        <v>24.17</v>
      </c>
      <c r="I8" s="1">
        <f t="shared" si="4"/>
        <v>24.66</v>
      </c>
      <c r="J8" s="1">
        <f t="shared" si="4"/>
        <v>25.14</v>
      </c>
      <c r="K8" s="1">
        <f t="shared" si="4"/>
        <v>25.65</v>
      </c>
      <c r="L8" s="1">
        <f t="shared" ref="L8" si="5">ROUND((+L19*(1+$C$13)),2)</f>
        <v>26.16</v>
      </c>
    </row>
    <row r="9" spans="1:12" x14ac:dyDescent="0.25">
      <c r="A9" t="s">
        <v>1612</v>
      </c>
      <c r="B9" s="960">
        <f t="shared" ref="B9:K9" si="6">ROUND((+B20*(1+$C$13)),2)</f>
        <v>22.71</v>
      </c>
      <c r="C9" s="1">
        <f t="shared" si="6"/>
        <v>23.28</v>
      </c>
      <c r="D9" s="1">
        <f t="shared" si="6"/>
        <v>23.87</v>
      </c>
      <c r="E9" s="1">
        <f t="shared" si="6"/>
        <v>24.45</v>
      </c>
      <c r="F9" s="1">
        <f t="shared" si="6"/>
        <v>25.06</v>
      </c>
      <c r="G9" s="1">
        <f t="shared" si="6"/>
        <v>25.71</v>
      </c>
      <c r="H9" s="1">
        <f t="shared" si="6"/>
        <v>26.35</v>
      </c>
      <c r="I9" s="1">
        <f t="shared" si="6"/>
        <v>26.87</v>
      </c>
      <c r="J9" s="1">
        <f t="shared" si="6"/>
        <v>27.41</v>
      </c>
      <c r="K9" s="1">
        <f t="shared" si="6"/>
        <v>27.95</v>
      </c>
      <c r="L9" s="1">
        <f>ROUND((+L20*(1+$C$13)),2)-0.01</f>
        <v>28.509999999999998</v>
      </c>
    </row>
    <row r="10" spans="1:12" x14ac:dyDescent="0.25">
      <c r="A10" t="s">
        <v>1700</v>
      </c>
      <c r="B10" s="960">
        <f t="shared" ref="B10:K10" si="7">ROUND((+B21*(1+$C$13)),2)</f>
        <v>24.5</v>
      </c>
      <c r="C10" s="1">
        <f t="shared" si="7"/>
        <v>25.13</v>
      </c>
      <c r="D10" s="1">
        <f t="shared" si="7"/>
        <v>25.76</v>
      </c>
      <c r="E10" s="1">
        <f t="shared" si="7"/>
        <v>26.41</v>
      </c>
      <c r="F10" s="1">
        <f t="shared" si="7"/>
        <v>27.06</v>
      </c>
      <c r="G10" s="1">
        <f t="shared" si="7"/>
        <v>27.74</v>
      </c>
      <c r="H10" s="1">
        <f t="shared" si="7"/>
        <v>28.44</v>
      </c>
      <c r="I10" s="1">
        <f t="shared" si="7"/>
        <v>29</v>
      </c>
      <c r="J10" s="1">
        <f t="shared" si="7"/>
        <v>29.58</v>
      </c>
      <c r="K10" s="1">
        <f t="shared" si="7"/>
        <v>30.19</v>
      </c>
      <c r="L10" s="1">
        <f t="shared" ref="L10" si="8">ROUND((+L21*(1+$C$13)),2)</f>
        <v>30.79</v>
      </c>
    </row>
    <row r="11" spans="1:12" x14ac:dyDescent="0.25">
      <c r="A11" s="290"/>
    </row>
    <row r="12" spans="1:12" x14ac:dyDescent="0.25">
      <c r="A12" s="290"/>
    </row>
    <row r="13" spans="1:12" x14ac:dyDescent="0.25">
      <c r="A13" s="317" t="s">
        <v>469</v>
      </c>
      <c r="B13" s="804" t="s">
        <v>1727</v>
      </c>
      <c r="C13" s="837">
        <v>2.5000000000000001E-2</v>
      </c>
    </row>
    <row r="14" spans="1:12" x14ac:dyDescent="0.25">
      <c r="B14" t="s">
        <v>1672</v>
      </c>
    </row>
    <row r="15" spans="1:12" x14ac:dyDescent="0.25">
      <c r="C15" s="756">
        <v>1</v>
      </c>
      <c r="D15" s="756">
        <v>2</v>
      </c>
      <c r="E15" s="756">
        <v>3</v>
      </c>
      <c r="F15" s="756">
        <v>4</v>
      </c>
      <c r="G15" s="756">
        <v>5</v>
      </c>
      <c r="H15" s="756">
        <v>6</v>
      </c>
      <c r="I15" s="756">
        <v>7</v>
      </c>
      <c r="J15" s="756">
        <v>8</v>
      </c>
      <c r="K15" s="756">
        <v>9</v>
      </c>
      <c r="L15" s="756">
        <v>10</v>
      </c>
    </row>
    <row r="16" spans="1:12" x14ac:dyDescent="0.25">
      <c r="A16" t="s">
        <v>1699</v>
      </c>
      <c r="B16" s="756">
        <v>1</v>
      </c>
      <c r="C16" s="756">
        <v>2</v>
      </c>
      <c r="D16" s="756">
        <v>3</v>
      </c>
      <c r="E16" s="756">
        <v>4</v>
      </c>
      <c r="F16" s="756">
        <v>5</v>
      </c>
      <c r="G16" s="756">
        <v>6</v>
      </c>
      <c r="H16" s="756">
        <v>7</v>
      </c>
      <c r="I16" s="756">
        <v>8</v>
      </c>
      <c r="J16" s="756">
        <v>9</v>
      </c>
      <c r="K16" s="756">
        <v>10</v>
      </c>
      <c r="L16" s="756">
        <v>11</v>
      </c>
    </row>
    <row r="17" spans="1:12" x14ac:dyDescent="0.25">
      <c r="A17" t="s">
        <v>1599</v>
      </c>
      <c r="B17" s="960">
        <f>ROUND((+B28*(1+$C$13)),2)</f>
        <v>16.03</v>
      </c>
      <c r="C17" s="1">
        <f t="shared" ref="C17:K17" si="9">ROUND((+C28*(1+$C$13)),2)</f>
        <v>16.43</v>
      </c>
      <c r="D17" s="1">
        <f t="shared" si="9"/>
        <v>16.84</v>
      </c>
      <c r="E17" s="1">
        <f t="shared" si="9"/>
        <v>17.27</v>
      </c>
      <c r="F17" s="1">
        <f t="shared" si="9"/>
        <v>17.670000000000002</v>
      </c>
      <c r="G17" s="1">
        <f t="shared" si="9"/>
        <v>18.14</v>
      </c>
      <c r="H17" s="1">
        <f t="shared" si="9"/>
        <v>18.55</v>
      </c>
      <c r="I17" s="1">
        <f t="shared" si="9"/>
        <v>18.96</v>
      </c>
      <c r="J17" s="1">
        <f t="shared" si="9"/>
        <v>19.329999999999998</v>
      </c>
      <c r="K17" s="1">
        <f t="shared" si="9"/>
        <v>19.73</v>
      </c>
      <c r="L17" s="1">
        <v>20.12</v>
      </c>
    </row>
    <row r="18" spans="1:12" x14ac:dyDescent="0.25">
      <c r="A18" t="s">
        <v>1603</v>
      </c>
      <c r="B18" s="960">
        <f t="shared" ref="B18:K21" si="10">ROUND((+B29*(1+$C$13)),2)</f>
        <v>18.899999999999999</v>
      </c>
      <c r="C18" s="1">
        <f t="shared" si="10"/>
        <v>19.36</v>
      </c>
      <c r="D18" s="1">
        <f t="shared" si="10"/>
        <v>19.84</v>
      </c>
      <c r="E18" s="1">
        <f t="shared" si="10"/>
        <v>20.350000000000001</v>
      </c>
      <c r="F18" s="1">
        <f t="shared" si="10"/>
        <v>20.85</v>
      </c>
      <c r="G18" s="1">
        <f t="shared" si="10"/>
        <v>21.38</v>
      </c>
      <c r="H18" s="1">
        <f t="shared" si="10"/>
        <v>21.92</v>
      </c>
      <c r="I18" s="1">
        <f t="shared" si="10"/>
        <v>22.33</v>
      </c>
      <c r="J18" s="1">
        <f t="shared" si="10"/>
        <v>22.81</v>
      </c>
      <c r="K18" s="1">
        <f t="shared" si="10"/>
        <v>23.27</v>
      </c>
      <c r="L18" s="1">
        <v>23.74</v>
      </c>
    </row>
    <row r="19" spans="1:12" x14ac:dyDescent="0.25">
      <c r="A19" t="s">
        <v>1609</v>
      </c>
      <c r="B19" s="960">
        <f t="shared" si="10"/>
        <v>20.34</v>
      </c>
      <c r="C19" s="1">
        <f t="shared" si="10"/>
        <v>20.84</v>
      </c>
      <c r="D19" s="1">
        <f t="shared" si="10"/>
        <v>21.36</v>
      </c>
      <c r="E19" s="1">
        <f t="shared" si="10"/>
        <v>21.9</v>
      </c>
      <c r="F19" s="1">
        <f t="shared" si="10"/>
        <v>22.43</v>
      </c>
      <c r="G19" s="1">
        <f t="shared" si="10"/>
        <v>23.01</v>
      </c>
      <c r="H19" s="1">
        <f t="shared" si="10"/>
        <v>23.58</v>
      </c>
      <c r="I19" s="1">
        <f t="shared" si="10"/>
        <v>24.06</v>
      </c>
      <c r="J19" s="1">
        <f t="shared" si="10"/>
        <v>24.53</v>
      </c>
      <c r="K19" s="1">
        <f t="shared" si="10"/>
        <v>25.02</v>
      </c>
      <c r="L19" s="1">
        <v>25.52</v>
      </c>
    </row>
    <row r="20" spans="1:12" x14ac:dyDescent="0.25">
      <c r="A20" t="s">
        <v>1612</v>
      </c>
      <c r="B20" s="960">
        <f t="shared" si="10"/>
        <v>22.16</v>
      </c>
      <c r="C20" s="1">
        <f t="shared" si="10"/>
        <v>22.71</v>
      </c>
      <c r="D20" s="1">
        <f t="shared" si="10"/>
        <v>23.29</v>
      </c>
      <c r="E20" s="1">
        <f t="shared" si="10"/>
        <v>23.85</v>
      </c>
      <c r="F20" s="1">
        <f t="shared" si="10"/>
        <v>24.45</v>
      </c>
      <c r="G20" s="1">
        <f t="shared" si="10"/>
        <v>25.08</v>
      </c>
      <c r="H20" s="1">
        <f t="shared" si="10"/>
        <v>25.71</v>
      </c>
      <c r="I20" s="1">
        <f t="shared" si="10"/>
        <v>26.21</v>
      </c>
      <c r="J20" s="1">
        <f t="shared" si="10"/>
        <v>26.74</v>
      </c>
      <c r="K20" s="1">
        <f t="shared" si="10"/>
        <v>27.27</v>
      </c>
      <c r="L20" s="1">
        <v>27.82</v>
      </c>
    </row>
    <row r="21" spans="1:12" x14ac:dyDescent="0.25">
      <c r="A21" t="s">
        <v>1700</v>
      </c>
      <c r="B21" s="960">
        <f t="shared" si="10"/>
        <v>23.9</v>
      </c>
      <c r="C21" s="1">
        <f t="shared" si="10"/>
        <v>24.52</v>
      </c>
      <c r="D21" s="1">
        <f t="shared" si="10"/>
        <v>25.13</v>
      </c>
      <c r="E21" s="1">
        <f t="shared" si="10"/>
        <v>25.77</v>
      </c>
      <c r="F21" s="1">
        <f t="shared" si="10"/>
        <v>26.4</v>
      </c>
      <c r="G21" s="1">
        <f t="shared" si="10"/>
        <v>27.06</v>
      </c>
      <c r="H21" s="1">
        <f t="shared" si="10"/>
        <v>27.75</v>
      </c>
      <c r="I21" s="1">
        <f t="shared" si="10"/>
        <v>28.29</v>
      </c>
      <c r="J21" s="1">
        <f t="shared" si="10"/>
        <v>28.86</v>
      </c>
      <c r="K21" s="1">
        <f t="shared" si="10"/>
        <v>29.45</v>
      </c>
      <c r="L21" s="1">
        <v>30.04</v>
      </c>
    </row>
    <row r="24" spans="1:12" x14ac:dyDescent="0.25">
      <c r="A24" s="317" t="s">
        <v>253</v>
      </c>
      <c r="B24" s="804" t="s">
        <v>1728</v>
      </c>
      <c r="C24" s="837">
        <v>0.03</v>
      </c>
    </row>
    <row r="25" spans="1:12" x14ac:dyDescent="0.25">
      <c r="B25" t="s">
        <v>1672</v>
      </c>
    </row>
    <row r="26" spans="1:12" x14ac:dyDescent="0.25">
      <c r="A26" t="s">
        <v>1729</v>
      </c>
      <c r="C26" s="756">
        <v>1</v>
      </c>
      <c r="D26" s="756">
        <v>2</v>
      </c>
      <c r="E26" s="756">
        <v>3</v>
      </c>
      <c r="F26" s="756">
        <v>4</v>
      </c>
      <c r="G26" s="756">
        <v>5</v>
      </c>
      <c r="H26" s="756">
        <v>6</v>
      </c>
      <c r="I26" s="756">
        <v>7</v>
      </c>
      <c r="J26" s="756">
        <v>8</v>
      </c>
      <c r="K26" s="756">
        <v>9</v>
      </c>
      <c r="L26" s="756">
        <v>10</v>
      </c>
    </row>
    <row r="27" spans="1:12" x14ac:dyDescent="0.25">
      <c r="A27" t="s">
        <v>1699</v>
      </c>
      <c r="B27" s="756">
        <v>1</v>
      </c>
      <c r="C27" s="756">
        <v>2</v>
      </c>
      <c r="D27" s="756">
        <v>3</v>
      </c>
      <c r="E27" s="756">
        <v>4</v>
      </c>
      <c r="F27" s="756">
        <v>5</v>
      </c>
      <c r="G27" s="756">
        <v>6</v>
      </c>
      <c r="H27" s="756">
        <v>7</v>
      </c>
      <c r="I27" s="756">
        <v>8</v>
      </c>
      <c r="J27" s="756">
        <v>9</v>
      </c>
      <c r="K27" s="756">
        <v>10</v>
      </c>
      <c r="L27" s="756">
        <v>11</v>
      </c>
    </row>
    <row r="28" spans="1:12" x14ac:dyDescent="0.25">
      <c r="A28" t="s">
        <v>1599</v>
      </c>
      <c r="B28" s="960">
        <f>ROUND((+B38*(1+$C$24)),2)</f>
        <v>15.64</v>
      </c>
      <c r="C28" s="1">
        <f>ROUND((+C38*(1+$C$24)),2)</f>
        <v>16.03</v>
      </c>
      <c r="D28" s="1">
        <f t="shared" ref="D28:K28" si="11">ROUND((+D38*(1+$C$24)),2)</f>
        <v>16.43</v>
      </c>
      <c r="E28" s="1">
        <f t="shared" si="11"/>
        <v>16.850000000000001</v>
      </c>
      <c r="F28" s="1">
        <f t="shared" si="11"/>
        <v>17.239999999999998</v>
      </c>
      <c r="G28" s="1">
        <f t="shared" si="11"/>
        <v>17.7</v>
      </c>
      <c r="H28" s="1">
        <f t="shared" si="11"/>
        <v>18.100000000000001</v>
      </c>
      <c r="I28" s="1">
        <f t="shared" si="11"/>
        <v>18.5</v>
      </c>
      <c r="J28" s="1">
        <f t="shared" si="11"/>
        <v>18.86</v>
      </c>
      <c r="K28" s="1">
        <f t="shared" si="11"/>
        <v>19.25</v>
      </c>
      <c r="L28" s="1">
        <v>19.64</v>
      </c>
    </row>
    <row r="29" spans="1:12" x14ac:dyDescent="0.25">
      <c r="A29" t="s">
        <v>1603</v>
      </c>
      <c r="B29" s="960">
        <f t="shared" ref="B29:C32" si="12">ROUND((+B39*(1+$C$24)),2)</f>
        <v>18.440000000000001</v>
      </c>
      <c r="C29" s="1">
        <f t="shared" si="12"/>
        <v>18.89</v>
      </c>
      <c r="D29" s="1">
        <f t="shared" ref="D29:K29" si="13">ROUND((+D39*(1+$C$24)),2)</f>
        <v>19.36</v>
      </c>
      <c r="E29" s="1">
        <f t="shared" si="13"/>
        <v>19.850000000000001</v>
      </c>
      <c r="F29" s="1">
        <f t="shared" si="13"/>
        <v>20.34</v>
      </c>
      <c r="G29" s="1">
        <f t="shared" si="13"/>
        <v>20.86</v>
      </c>
      <c r="H29" s="1">
        <f t="shared" si="13"/>
        <v>21.39</v>
      </c>
      <c r="I29" s="1">
        <f t="shared" si="13"/>
        <v>21.79</v>
      </c>
      <c r="J29" s="1">
        <f t="shared" si="13"/>
        <v>22.25</v>
      </c>
      <c r="K29" s="1">
        <f t="shared" si="13"/>
        <v>22.7</v>
      </c>
      <c r="L29" s="1">
        <v>23.15</v>
      </c>
    </row>
    <row r="30" spans="1:12" x14ac:dyDescent="0.25">
      <c r="A30" t="s">
        <v>1609</v>
      </c>
      <c r="B30" s="960">
        <f t="shared" si="12"/>
        <v>19.84</v>
      </c>
      <c r="C30" s="1">
        <f t="shared" si="12"/>
        <v>20.329999999999998</v>
      </c>
      <c r="D30" s="1">
        <f t="shared" ref="D30:K30" si="14">ROUND((+D40*(1+$C$24)),2)</f>
        <v>20.84</v>
      </c>
      <c r="E30" s="1">
        <f t="shared" si="14"/>
        <v>21.37</v>
      </c>
      <c r="F30" s="1">
        <f t="shared" si="14"/>
        <v>21.88</v>
      </c>
      <c r="G30" s="1">
        <f t="shared" si="14"/>
        <v>22.45</v>
      </c>
      <c r="H30" s="1">
        <f t="shared" si="14"/>
        <v>23</v>
      </c>
      <c r="I30" s="1">
        <f t="shared" si="14"/>
        <v>23.47</v>
      </c>
      <c r="J30" s="1">
        <f t="shared" si="14"/>
        <v>23.93</v>
      </c>
      <c r="K30" s="1">
        <f t="shared" si="14"/>
        <v>24.41</v>
      </c>
      <c r="L30" s="1">
        <v>24.9</v>
      </c>
    </row>
    <row r="31" spans="1:12" x14ac:dyDescent="0.25">
      <c r="A31" t="s">
        <v>1612</v>
      </c>
      <c r="B31" s="960">
        <f t="shared" si="12"/>
        <v>21.62</v>
      </c>
      <c r="C31" s="1">
        <f t="shared" si="12"/>
        <v>22.16</v>
      </c>
      <c r="D31" s="1">
        <f t="shared" ref="D31:K31" si="15">ROUND((+D41*(1+$C$24)),2)</f>
        <v>22.72</v>
      </c>
      <c r="E31" s="1">
        <f t="shared" si="15"/>
        <v>23.27</v>
      </c>
      <c r="F31" s="1">
        <f t="shared" si="15"/>
        <v>23.85</v>
      </c>
      <c r="G31" s="1">
        <f t="shared" si="15"/>
        <v>24.47</v>
      </c>
      <c r="H31" s="1">
        <f t="shared" si="15"/>
        <v>25.08</v>
      </c>
      <c r="I31" s="1">
        <f t="shared" si="15"/>
        <v>25.57</v>
      </c>
      <c r="J31" s="1">
        <f t="shared" si="15"/>
        <v>26.09</v>
      </c>
      <c r="K31" s="1">
        <f t="shared" si="15"/>
        <v>26.6</v>
      </c>
      <c r="L31" s="1">
        <v>27.13</v>
      </c>
    </row>
    <row r="32" spans="1:12" x14ac:dyDescent="0.25">
      <c r="A32" t="s">
        <v>1700</v>
      </c>
      <c r="B32" s="960">
        <f t="shared" si="12"/>
        <v>23.32</v>
      </c>
      <c r="C32" s="1">
        <f t="shared" si="12"/>
        <v>23.92</v>
      </c>
      <c r="D32" s="1">
        <f t="shared" ref="D32:K32" si="16">ROUND((+D42*(1+$C$24)),2)</f>
        <v>24.52</v>
      </c>
      <c r="E32" s="1">
        <f t="shared" si="16"/>
        <v>25.14</v>
      </c>
      <c r="F32" s="1">
        <f t="shared" si="16"/>
        <v>25.76</v>
      </c>
      <c r="G32" s="1">
        <f t="shared" si="16"/>
        <v>26.4</v>
      </c>
      <c r="H32" s="1">
        <f t="shared" si="16"/>
        <v>27.07</v>
      </c>
      <c r="I32" s="1">
        <f t="shared" si="16"/>
        <v>27.6</v>
      </c>
      <c r="J32" s="1">
        <f t="shared" si="16"/>
        <v>28.16</v>
      </c>
      <c r="K32" s="1">
        <f t="shared" si="16"/>
        <v>28.73</v>
      </c>
      <c r="L32" s="1">
        <v>29.3</v>
      </c>
    </row>
    <row r="35" spans="1:11" x14ac:dyDescent="0.25">
      <c r="A35" t="s">
        <v>1730</v>
      </c>
      <c r="F35" t="s">
        <v>1731</v>
      </c>
    </row>
    <row r="36" spans="1:11" x14ac:dyDescent="0.25">
      <c r="B36" t="s">
        <v>1672</v>
      </c>
    </row>
    <row r="37" spans="1:11" x14ac:dyDescent="0.25">
      <c r="A37" t="s">
        <v>1699</v>
      </c>
      <c r="B37" s="756">
        <v>1</v>
      </c>
      <c r="C37" s="756">
        <v>2</v>
      </c>
      <c r="D37" s="756">
        <v>3</v>
      </c>
      <c r="E37" s="756">
        <v>4</v>
      </c>
      <c r="F37" s="756">
        <v>5</v>
      </c>
      <c r="G37" s="756">
        <v>6</v>
      </c>
      <c r="H37" s="756">
        <v>7</v>
      </c>
      <c r="I37" s="756">
        <v>8</v>
      </c>
      <c r="J37" s="756">
        <v>9</v>
      </c>
      <c r="K37" s="756">
        <v>10</v>
      </c>
    </row>
    <row r="38" spans="1:11" x14ac:dyDescent="0.25">
      <c r="A38" t="s">
        <v>1599</v>
      </c>
      <c r="B38" s="1">
        <v>15.18</v>
      </c>
      <c r="C38" s="1">
        <v>15.56</v>
      </c>
      <c r="D38" s="1">
        <v>15.95</v>
      </c>
      <c r="E38" s="1">
        <v>16.36</v>
      </c>
      <c r="F38" s="1">
        <v>16.739999999999998</v>
      </c>
      <c r="G38" s="1">
        <v>17.18</v>
      </c>
      <c r="H38" s="1">
        <v>17.57</v>
      </c>
      <c r="I38" s="1">
        <v>17.96</v>
      </c>
      <c r="J38" s="1">
        <v>18.309999999999999</v>
      </c>
      <c r="K38" s="1">
        <v>18.690000000000001</v>
      </c>
    </row>
    <row r="39" spans="1:11" x14ac:dyDescent="0.25">
      <c r="A39" t="s">
        <v>1603</v>
      </c>
      <c r="B39" s="1">
        <v>17.899999999999999</v>
      </c>
      <c r="C39" s="1">
        <v>18.34</v>
      </c>
      <c r="D39" s="1">
        <v>18.8</v>
      </c>
      <c r="E39" s="1">
        <v>19.27</v>
      </c>
      <c r="F39" s="1">
        <v>19.75</v>
      </c>
      <c r="G39" s="1">
        <v>20.25</v>
      </c>
      <c r="H39" s="1">
        <v>20.77</v>
      </c>
      <c r="I39" s="1">
        <v>21.16</v>
      </c>
      <c r="J39" s="1">
        <v>21.6</v>
      </c>
      <c r="K39" s="1">
        <v>22.04</v>
      </c>
    </row>
    <row r="40" spans="1:11" x14ac:dyDescent="0.25">
      <c r="A40" t="s">
        <v>1609</v>
      </c>
      <c r="B40" s="1">
        <v>19.260000000000002</v>
      </c>
      <c r="C40" s="1">
        <v>19.739999999999998</v>
      </c>
      <c r="D40" s="1">
        <v>20.23</v>
      </c>
      <c r="E40" s="1">
        <v>20.75</v>
      </c>
      <c r="F40" s="1">
        <v>21.24</v>
      </c>
      <c r="G40" s="1">
        <v>21.8</v>
      </c>
      <c r="H40" s="1">
        <v>22.33</v>
      </c>
      <c r="I40" s="1">
        <v>22.79</v>
      </c>
      <c r="J40" s="1">
        <v>23.23</v>
      </c>
      <c r="K40" s="1">
        <v>23.7</v>
      </c>
    </row>
    <row r="41" spans="1:11" x14ac:dyDescent="0.25">
      <c r="A41" t="s">
        <v>1612</v>
      </c>
      <c r="B41" s="1">
        <v>20.99</v>
      </c>
      <c r="C41" s="1">
        <v>21.51</v>
      </c>
      <c r="D41" s="1">
        <v>22.06</v>
      </c>
      <c r="E41" s="1">
        <v>22.59</v>
      </c>
      <c r="F41" s="1">
        <v>23.16</v>
      </c>
      <c r="G41" s="1">
        <v>23.76</v>
      </c>
      <c r="H41" s="1">
        <v>24.35</v>
      </c>
      <c r="I41" s="1">
        <v>24.83</v>
      </c>
      <c r="J41" s="1">
        <v>25.33</v>
      </c>
      <c r="K41" s="1">
        <v>25.83</v>
      </c>
    </row>
    <row r="42" spans="1:11" x14ac:dyDescent="0.25">
      <c r="A42" t="s">
        <v>1700</v>
      </c>
      <c r="B42" s="1">
        <v>22.64</v>
      </c>
      <c r="C42" s="1">
        <v>23.22</v>
      </c>
      <c r="D42" s="1">
        <v>23.81</v>
      </c>
      <c r="E42" s="1">
        <v>24.41</v>
      </c>
      <c r="F42" s="1">
        <v>25.01</v>
      </c>
      <c r="G42" s="1">
        <v>25.63</v>
      </c>
      <c r="H42" s="1">
        <v>26.28</v>
      </c>
      <c r="I42" s="1">
        <v>26.8</v>
      </c>
      <c r="J42" s="1">
        <v>27.34</v>
      </c>
      <c r="K42" s="1">
        <v>27.89</v>
      </c>
    </row>
    <row r="44" spans="1:11" x14ac:dyDescent="0.25">
      <c r="A44" t="s">
        <v>251</v>
      </c>
      <c r="F44" t="s">
        <v>1731</v>
      </c>
    </row>
    <row r="45" spans="1:11" x14ac:dyDescent="0.25">
      <c r="B45" t="s">
        <v>1672</v>
      </c>
    </row>
    <row r="46" spans="1:11" x14ac:dyDescent="0.25">
      <c r="A46" t="s">
        <v>1699</v>
      </c>
      <c r="B46" s="756">
        <v>1</v>
      </c>
      <c r="C46" s="756">
        <v>2</v>
      </c>
      <c r="D46" s="756">
        <v>3</v>
      </c>
      <c r="E46" s="756">
        <v>4</v>
      </c>
      <c r="F46" s="756">
        <v>5</v>
      </c>
      <c r="G46" s="756">
        <v>6</v>
      </c>
      <c r="H46" s="756">
        <v>7</v>
      </c>
      <c r="I46" s="756">
        <v>8</v>
      </c>
      <c r="J46" s="756">
        <v>9</v>
      </c>
      <c r="K46" s="756">
        <v>10</v>
      </c>
    </row>
    <row r="47" spans="1:11" x14ac:dyDescent="0.25">
      <c r="A47" t="s">
        <v>1599</v>
      </c>
      <c r="B47" s="1">
        <v>14.96</v>
      </c>
      <c r="C47" s="1">
        <v>15.33</v>
      </c>
      <c r="D47" s="1">
        <v>15.71</v>
      </c>
      <c r="E47" s="1">
        <v>16.12</v>
      </c>
      <c r="F47" s="1">
        <v>16.489999999999998</v>
      </c>
      <c r="G47" s="1">
        <v>16.93</v>
      </c>
      <c r="H47" s="1">
        <v>17.309999999999999</v>
      </c>
      <c r="I47" s="1">
        <v>17.690000000000001</v>
      </c>
      <c r="J47" s="1">
        <v>18.04</v>
      </c>
      <c r="K47" s="1">
        <v>18.41</v>
      </c>
    </row>
    <row r="48" spans="1:11" x14ac:dyDescent="0.25">
      <c r="A48" t="s">
        <v>1603</v>
      </c>
      <c r="B48" s="1">
        <v>17.64</v>
      </c>
      <c r="C48" s="1">
        <v>18.07</v>
      </c>
      <c r="D48" s="1">
        <v>18.52</v>
      </c>
      <c r="E48" s="1">
        <v>18.989999999999998</v>
      </c>
      <c r="F48" s="1">
        <v>19.46</v>
      </c>
      <c r="G48" s="1">
        <v>19.95</v>
      </c>
      <c r="H48" s="1">
        <v>20.46</v>
      </c>
      <c r="I48" s="1">
        <v>20.85</v>
      </c>
      <c r="J48" s="1">
        <v>21.28</v>
      </c>
      <c r="K48" s="1">
        <v>21.71</v>
      </c>
    </row>
    <row r="49" spans="1:11" x14ac:dyDescent="0.25">
      <c r="A49" t="s">
        <v>1609</v>
      </c>
      <c r="B49" s="1">
        <v>18.98</v>
      </c>
      <c r="C49" s="1">
        <v>19.45</v>
      </c>
      <c r="D49" s="1">
        <v>19.93</v>
      </c>
      <c r="E49" s="1">
        <v>20.440000000000001</v>
      </c>
      <c r="F49" s="1">
        <v>20.93</v>
      </c>
      <c r="G49" s="1">
        <v>21.48</v>
      </c>
      <c r="H49" s="1">
        <v>22</v>
      </c>
      <c r="I49" s="1">
        <v>22.45</v>
      </c>
      <c r="J49" s="1">
        <v>22.89</v>
      </c>
      <c r="K49" s="1">
        <v>23.35</v>
      </c>
    </row>
    <row r="50" spans="1:11" x14ac:dyDescent="0.25">
      <c r="A50" t="s">
        <v>1612</v>
      </c>
      <c r="B50" s="1">
        <v>20.68</v>
      </c>
      <c r="C50" s="1">
        <v>21.19</v>
      </c>
      <c r="D50" s="1">
        <v>21.73</v>
      </c>
      <c r="E50" s="1">
        <v>22.26</v>
      </c>
      <c r="F50" s="1">
        <v>22.82</v>
      </c>
      <c r="G50" s="1">
        <v>23.41</v>
      </c>
      <c r="H50" s="1">
        <v>23.99</v>
      </c>
      <c r="I50" s="1">
        <v>24.46</v>
      </c>
      <c r="J50" s="1">
        <v>24.96</v>
      </c>
      <c r="K50" s="1">
        <v>25.45</v>
      </c>
    </row>
    <row r="51" spans="1:11" x14ac:dyDescent="0.25">
      <c r="A51" t="s">
        <v>1700</v>
      </c>
      <c r="B51" s="1">
        <v>22.31</v>
      </c>
      <c r="C51" s="1">
        <v>22.88</v>
      </c>
      <c r="D51" s="1">
        <v>23.46</v>
      </c>
      <c r="E51" s="1">
        <v>24.05</v>
      </c>
      <c r="F51" s="1">
        <v>24.64</v>
      </c>
      <c r="G51" s="1">
        <v>25.25</v>
      </c>
      <c r="H51" s="1">
        <v>25.89</v>
      </c>
      <c r="I51" s="1">
        <v>26.4</v>
      </c>
      <c r="J51" s="1">
        <v>26.94</v>
      </c>
      <c r="K51" s="1">
        <v>27.48</v>
      </c>
    </row>
  </sheetData>
  <hyperlinks>
    <hyperlink ref="A1" location="'Table of Contents'!A1" display="TOC" xr:uid="{00000000-0004-0000-41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C28"/>
  <sheetViews>
    <sheetView workbookViewId="0">
      <selection activeCell="B13" sqref="B13"/>
    </sheetView>
  </sheetViews>
  <sheetFormatPr defaultRowHeight="13.2" x14ac:dyDescent="0.25"/>
  <cols>
    <col min="1" max="1" width="8.77734375" style="712"/>
  </cols>
  <sheetData>
    <row r="1" spans="1:3" x14ac:dyDescent="0.25">
      <c r="A1" s="701" t="s">
        <v>194</v>
      </c>
    </row>
    <row r="2" spans="1:3" x14ac:dyDescent="0.25">
      <c r="A2" s="744" t="s">
        <v>1732</v>
      </c>
      <c r="B2" s="202" t="s">
        <v>201</v>
      </c>
    </row>
    <row r="3" spans="1:3" x14ac:dyDescent="0.25">
      <c r="A3" s="712" t="s">
        <v>1733</v>
      </c>
      <c r="B3" s="202" t="s">
        <v>1734</v>
      </c>
    </row>
    <row r="4" spans="1:3" x14ac:dyDescent="0.25">
      <c r="A4" s="712">
        <v>5</v>
      </c>
      <c r="B4">
        <v>300</v>
      </c>
    </row>
    <row r="5" spans="1:3" x14ac:dyDescent="0.25">
      <c r="A5" s="712">
        <v>10</v>
      </c>
      <c r="B5">
        <v>500</v>
      </c>
    </row>
    <row r="6" spans="1:3" x14ac:dyDescent="0.25">
      <c r="A6" s="712">
        <v>15</v>
      </c>
      <c r="B6">
        <v>900</v>
      </c>
    </row>
    <row r="7" spans="1:3" x14ac:dyDescent="0.25">
      <c r="A7" s="712">
        <v>20</v>
      </c>
      <c r="B7">
        <v>1000</v>
      </c>
    </row>
    <row r="8" spans="1:3" x14ac:dyDescent="0.25">
      <c r="A8" s="712">
        <v>25</v>
      </c>
      <c r="B8">
        <v>1100</v>
      </c>
    </row>
    <row r="9" spans="1:3" x14ac:dyDescent="0.25">
      <c r="A9" s="712">
        <v>30</v>
      </c>
      <c r="B9">
        <v>1200</v>
      </c>
    </row>
    <row r="11" spans="1:3" x14ac:dyDescent="0.25">
      <c r="A11" s="744" t="s">
        <v>1735</v>
      </c>
      <c r="B11" s="202" t="s">
        <v>102</v>
      </c>
      <c r="C11" t="s">
        <v>1736</v>
      </c>
    </row>
    <row r="12" spans="1:3" x14ac:dyDescent="0.25">
      <c r="A12" s="712" t="s">
        <v>1733</v>
      </c>
    </row>
    <row r="13" spans="1:3" x14ac:dyDescent="0.25">
      <c r="A13" s="712">
        <v>2</v>
      </c>
      <c r="B13">
        <v>300</v>
      </c>
    </row>
    <row r="14" spans="1:3" x14ac:dyDescent="0.25">
      <c r="A14" s="712">
        <v>5</v>
      </c>
      <c r="B14">
        <v>400</v>
      </c>
    </row>
    <row r="15" spans="1:3" x14ac:dyDescent="0.25">
      <c r="A15" s="712">
        <v>10</v>
      </c>
      <c r="B15">
        <v>500</v>
      </c>
    </row>
    <row r="16" spans="1:3" x14ac:dyDescent="0.25">
      <c r="A16" s="712">
        <v>15</v>
      </c>
      <c r="B16">
        <v>600</v>
      </c>
    </row>
    <row r="17" spans="1:2" x14ac:dyDescent="0.25">
      <c r="A17" s="712">
        <v>20</v>
      </c>
      <c r="B17">
        <v>700</v>
      </c>
    </row>
    <row r="18" spans="1:2" x14ac:dyDescent="0.25">
      <c r="A18" s="712">
        <v>25</v>
      </c>
      <c r="B18">
        <v>800</v>
      </c>
    </row>
    <row r="19" spans="1:2" x14ac:dyDescent="0.25">
      <c r="A19" s="712">
        <v>30</v>
      </c>
      <c r="B19">
        <v>900</v>
      </c>
    </row>
    <row r="21" spans="1:2" x14ac:dyDescent="0.25">
      <c r="A21" s="712" t="s">
        <v>264</v>
      </c>
      <c r="B21" s="202" t="s">
        <v>1737</v>
      </c>
    </row>
    <row r="22" spans="1:2" x14ac:dyDescent="0.25">
      <c r="A22" s="712" t="s">
        <v>1733</v>
      </c>
    </row>
    <row r="23" spans="1:2" x14ac:dyDescent="0.25">
      <c r="A23" s="712">
        <v>5</v>
      </c>
      <c r="B23">
        <v>300</v>
      </c>
    </row>
    <row r="24" spans="1:2" x14ac:dyDescent="0.25">
      <c r="A24" s="712">
        <v>10</v>
      </c>
      <c r="B24">
        <v>500</v>
      </c>
    </row>
    <row r="25" spans="1:2" x14ac:dyDescent="0.25">
      <c r="A25" s="712">
        <v>15</v>
      </c>
      <c r="B25">
        <v>900</v>
      </c>
    </row>
    <row r="26" spans="1:2" x14ac:dyDescent="0.25">
      <c r="A26" s="712">
        <v>20</v>
      </c>
      <c r="B26">
        <v>1000</v>
      </c>
    </row>
    <row r="27" spans="1:2" x14ac:dyDescent="0.25">
      <c r="A27" s="712">
        <v>25</v>
      </c>
      <c r="B27">
        <v>1100</v>
      </c>
    </row>
    <row r="28" spans="1:2" x14ac:dyDescent="0.25">
      <c r="A28" s="712">
        <v>30</v>
      </c>
      <c r="B28">
        <v>1200</v>
      </c>
    </row>
  </sheetData>
  <phoneticPr fontId="15" type="noConversion"/>
  <hyperlinks>
    <hyperlink ref="A1" location="'Table of Contents'!A1" display="TOC" xr:uid="{00000000-0004-0000-4300-000000000000}"/>
  </hyperlinks>
  <pageMargins left="0.75" right="0.75" top="1" bottom="1" header="0.5" footer="0.5"/>
  <pageSetup orientation="portrait" r:id="rId1"/>
  <headerFooter alignWithMargins="0">
    <oddFooter>&amp;L&amp;D &amp;T&amp;C&amp;F&amp;R&amp;A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sheetPr>
  <dimension ref="A1:AJ82"/>
  <sheetViews>
    <sheetView topLeftCell="A3" workbookViewId="0"/>
  </sheetViews>
  <sheetFormatPr defaultRowHeight="13.2" x14ac:dyDescent="0.25"/>
  <cols>
    <col min="1" max="1" width="9.33203125" customWidth="1"/>
    <col min="2" max="2" width="39.44140625" customWidth="1"/>
    <col min="3" max="3" width="12" hidden="1" customWidth="1"/>
    <col min="4" max="6" width="11.44140625" hidden="1" customWidth="1"/>
    <col min="7" max="21" width="11.44140625" customWidth="1"/>
    <col min="22" max="36" width="9.77734375" customWidth="1"/>
  </cols>
  <sheetData>
    <row r="1" spans="1:36" x14ac:dyDescent="0.25">
      <c r="A1" s="290" t="s">
        <v>194</v>
      </c>
      <c r="C1" s="1"/>
      <c r="G1" s="2"/>
    </row>
    <row r="2" spans="1:36" ht="13.8" x14ac:dyDescent="0.25">
      <c r="A2" s="43" t="s">
        <v>1342</v>
      </c>
      <c r="B2" s="43"/>
      <c r="C2" s="1"/>
      <c r="G2" s="2"/>
    </row>
    <row r="3" spans="1:36" ht="13.8" thickBot="1" x14ac:dyDescent="0.3"/>
    <row r="4" spans="1:36" ht="13.8" thickTop="1" x14ac:dyDescent="0.25">
      <c r="A4" s="5"/>
      <c r="B4" s="6"/>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row>
    <row r="5" spans="1:36" x14ac:dyDescent="0.25">
      <c r="A5" s="81"/>
      <c r="B5" s="74" t="s">
        <v>1738</v>
      </c>
      <c r="C5" s="45" t="s">
        <v>465</v>
      </c>
      <c r="D5" s="45" t="s">
        <v>466</v>
      </c>
      <c r="E5" s="45" t="s">
        <v>467</v>
      </c>
      <c r="F5" s="45" t="s">
        <v>468</v>
      </c>
      <c r="G5" s="45" t="s">
        <v>251</v>
      </c>
      <c r="H5" s="45" t="s">
        <v>252</v>
      </c>
      <c r="I5" s="45" t="s">
        <v>253</v>
      </c>
      <c r="J5" s="45" t="s">
        <v>469</v>
      </c>
      <c r="K5" s="45" t="s">
        <v>1345</v>
      </c>
      <c r="L5" s="45" t="s">
        <v>1346</v>
      </c>
      <c r="M5" s="45" t="s">
        <v>1347</v>
      </c>
      <c r="N5" s="45" t="s">
        <v>1348</v>
      </c>
      <c r="O5" s="45" t="s">
        <v>1349</v>
      </c>
      <c r="P5" s="45" t="s">
        <v>1350</v>
      </c>
      <c r="Q5" s="45" t="s">
        <v>1351</v>
      </c>
      <c r="R5" s="45" t="s">
        <v>1352</v>
      </c>
      <c r="S5" s="45" t="s">
        <v>1353</v>
      </c>
      <c r="T5" s="45" t="s">
        <v>1354</v>
      </c>
      <c r="U5" s="45" t="s">
        <v>1355</v>
      </c>
      <c r="V5" s="45" t="s">
        <v>1356</v>
      </c>
      <c r="W5" s="45" t="s">
        <v>1357</v>
      </c>
      <c r="X5" s="45" t="s">
        <v>1358</v>
      </c>
      <c r="Y5" s="45" t="s">
        <v>1359</v>
      </c>
      <c r="Z5" s="45" t="s">
        <v>1360</v>
      </c>
      <c r="AA5" s="45" t="s">
        <v>1361</v>
      </c>
      <c r="AB5" s="45" t="s">
        <v>1362</v>
      </c>
      <c r="AC5" s="45" t="s">
        <v>1363</v>
      </c>
      <c r="AD5" s="45" t="s">
        <v>1364</v>
      </c>
      <c r="AE5" s="45" t="s">
        <v>1365</v>
      </c>
      <c r="AF5" s="45" t="s">
        <v>1366</v>
      </c>
      <c r="AG5" s="45" t="s">
        <v>1367</v>
      </c>
      <c r="AH5" s="45" t="s">
        <v>1368</v>
      </c>
      <c r="AI5" s="45" t="s">
        <v>1369</v>
      </c>
      <c r="AJ5" s="45" t="s">
        <v>1370</v>
      </c>
    </row>
    <row r="6" spans="1:36" x14ac:dyDescent="0.25">
      <c r="A6" s="81"/>
      <c r="B6" s="74"/>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row>
    <row r="7" spans="1:36" ht="13.8" thickBot="1" x14ac:dyDescent="0.3">
      <c r="A7" s="8" t="s">
        <v>715</v>
      </c>
      <c r="B7" s="78"/>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13.8" thickTop="1" x14ac:dyDescent="0.25">
      <c r="A8" s="26"/>
      <c r="B8" s="27"/>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row>
    <row r="9" spans="1:36" x14ac:dyDescent="0.25">
      <c r="A9" s="11">
        <v>710</v>
      </c>
      <c r="B9" s="12" t="s">
        <v>1371</v>
      </c>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row>
    <row r="10" spans="1:36" x14ac:dyDescent="0.25">
      <c r="A10" s="11">
        <v>5930</v>
      </c>
      <c r="B10" s="101" t="s">
        <v>1375</v>
      </c>
      <c r="C10" s="14">
        <f>ROUND((+C60*0.4),0)</f>
        <v>18865</v>
      </c>
      <c r="D10" s="14">
        <f t="shared" ref="D10:U10" si="0">ROUND((+D60*0.4),0)</f>
        <v>19246</v>
      </c>
      <c r="E10" s="14">
        <f t="shared" si="0"/>
        <v>19635</v>
      </c>
      <c r="F10" s="14">
        <f t="shared" si="0"/>
        <v>20032</v>
      </c>
      <c r="G10" s="14">
        <f t="shared" si="0"/>
        <v>20760</v>
      </c>
      <c r="H10" s="14">
        <f t="shared" si="0"/>
        <v>20849</v>
      </c>
      <c r="I10" s="14">
        <f t="shared" si="0"/>
        <v>21270</v>
      </c>
      <c r="J10" s="14">
        <f t="shared" si="0"/>
        <v>21700</v>
      </c>
      <c r="K10" s="14">
        <f t="shared" si="0"/>
        <v>22138</v>
      </c>
      <c r="L10" s="14">
        <f t="shared" si="0"/>
        <v>22586</v>
      </c>
      <c r="M10" s="14">
        <f t="shared" si="0"/>
        <v>23042</v>
      </c>
      <c r="N10" s="14">
        <f t="shared" si="0"/>
        <v>0</v>
      </c>
      <c r="O10" s="14">
        <f t="shared" si="0"/>
        <v>0</v>
      </c>
      <c r="P10" s="14">
        <f t="shared" si="0"/>
        <v>0</v>
      </c>
      <c r="Q10" s="14">
        <f t="shared" si="0"/>
        <v>0</v>
      </c>
      <c r="R10" s="14">
        <f t="shared" si="0"/>
        <v>0</v>
      </c>
      <c r="S10" s="14">
        <f t="shared" si="0"/>
        <v>0</v>
      </c>
      <c r="T10" s="14">
        <f t="shared" si="0"/>
        <v>0</v>
      </c>
      <c r="U10" s="14">
        <f t="shared" si="0"/>
        <v>0</v>
      </c>
      <c r="V10" s="14">
        <f t="shared" ref="V10:AC10" si="1">ROUND((+V60*0.4),0)</f>
        <v>0</v>
      </c>
      <c r="W10" s="14">
        <f t="shared" si="1"/>
        <v>0</v>
      </c>
      <c r="X10" s="14">
        <f t="shared" si="1"/>
        <v>0</v>
      </c>
      <c r="Y10" s="14">
        <f t="shared" si="1"/>
        <v>0</v>
      </c>
      <c r="Z10" s="14">
        <f t="shared" si="1"/>
        <v>0</v>
      </c>
      <c r="AA10" s="14">
        <f t="shared" si="1"/>
        <v>0</v>
      </c>
      <c r="AB10" s="14">
        <f t="shared" si="1"/>
        <v>0</v>
      </c>
      <c r="AC10" s="14">
        <f t="shared" si="1"/>
        <v>0</v>
      </c>
      <c r="AD10" s="14">
        <f t="shared" ref="AD10:AJ13" si="2">ROUND((+AD60*0.4),0)</f>
        <v>0</v>
      </c>
      <c r="AE10" s="14">
        <f t="shared" si="2"/>
        <v>0</v>
      </c>
      <c r="AF10" s="14">
        <f t="shared" si="2"/>
        <v>0</v>
      </c>
      <c r="AG10" s="14">
        <f t="shared" si="2"/>
        <v>0</v>
      </c>
      <c r="AH10" s="14">
        <f t="shared" si="2"/>
        <v>0</v>
      </c>
      <c r="AI10" s="14">
        <f t="shared" si="2"/>
        <v>0</v>
      </c>
      <c r="AJ10" s="14">
        <f t="shared" si="2"/>
        <v>0</v>
      </c>
    </row>
    <row r="11" spans="1:36" x14ac:dyDescent="0.25">
      <c r="A11" s="11">
        <v>5931</v>
      </c>
      <c r="B11" s="60" t="s">
        <v>1376</v>
      </c>
      <c r="C11" s="14">
        <f>ROUND((+C61*0.4),0)</f>
        <v>21350</v>
      </c>
      <c r="D11" s="14">
        <f t="shared" ref="D11:U11" si="3">ROUND((+D61*0.4),0)</f>
        <v>21872</v>
      </c>
      <c r="E11" s="14">
        <f t="shared" si="3"/>
        <v>22406</v>
      </c>
      <c r="F11" s="14">
        <f t="shared" si="3"/>
        <v>22954</v>
      </c>
      <c r="G11" s="14">
        <f t="shared" si="3"/>
        <v>23514</v>
      </c>
      <c r="H11" s="14">
        <f t="shared" si="3"/>
        <v>24089</v>
      </c>
      <c r="I11" s="14">
        <f t="shared" si="3"/>
        <v>24678</v>
      </c>
      <c r="J11" s="14">
        <f t="shared" si="3"/>
        <v>25281</v>
      </c>
      <c r="K11" s="14">
        <f t="shared" si="3"/>
        <v>25898</v>
      </c>
      <c r="L11" s="14">
        <f t="shared" si="3"/>
        <v>26531</v>
      </c>
      <c r="M11" s="14">
        <f t="shared" si="3"/>
        <v>27180</v>
      </c>
      <c r="N11" s="14">
        <f t="shared" si="3"/>
        <v>27844</v>
      </c>
      <c r="O11" s="14">
        <f t="shared" si="3"/>
        <v>28524</v>
      </c>
      <c r="P11" s="14">
        <f t="shared" si="3"/>
        <v>29221</v>
      </c>
      <c r="Q11" s="14">
        <f t="shared" si="3"/>
        <v>29935</v>
      </c>
      <c r="R11" s="14">
        <f t="shared" si="3"/>
        <v>30667</v>
      </c>
      <c r="S11" s="14">
        <f t="shared" si="3"/>
        <v>31416</v>
      </c>
      <c r="T11" s="14">
        <f t="shared" si="3"/>
        <v>32184</v>
      </c>
      <c r="U11" s="14">
        <f t="shared" si="3"/>
        <v>32970</v>
      </c>
      <c r="V11" s="14">
        <f t="shared" ref="V11:AC11" si="4">ROUND((+V61*0.4),0)</f>
        <v>33776</v>
      </c>
      <c r="W11" s="14">
        <f t="shared" si="4"/>
        <v>34601</v>
      </c>
      <c r="X11" s="14">
        <f t="shared" si="4"/>
        <v>35446</v>
      </c>
      <c r="Y11" s="14">
        <f t="shared" si="4"/>
        <v>0</v>
      </c>
      <c r="Z11" s="14">
        <f t="shared" si="4"/>
        <v>0</v>
      </c>
      <c r="AA11" s="14">
        <f t="shared" si="4"/>
        <v>0</v>
      </c>
      <c r="AB11" s="14">
        <f t="shared" si="4"/>
        <v>0</v>
      </c>
      <c r="AC11" s="14">
        <f t="shared" si="4"/>
        <v>0</v>
      </c>
      <c r="AD11" s="14">
        <f t="shared" si="2"/>
        <v>0</v>
      </c>
      <c r="AE11" s="14">
        <f t="shared" si="2"/>
        <v>0</v>
      </c>
      <c r="AF11" s="14">
        <f t="shared" si="2"/>
        <v>0</v>
      </c>
      <c r="AG11" s="14">
        <f t="shared" si="2"/>
        <v>0</v>
      </c>
      <c r="AH11" s="14">
        <f t="shared" si="2"/>
        <v>0</v>
      </c>
      <c r="AI11" s="14">
        <f t="shared" si="2"/>
        <v>0</v>
      </c>
      <c r="AJ11" s="14">
        <f t="shared" si="2"/>
        <v>0</v>
      </c>
    </row>
    <row r="12" spans="1:36" s="317" customFormat="1" x14ac:dyDescent="0.25">
      <c r="A12" s="602">
        <v>5932</v>
      </c>
      <c r="B12" s="594" t="s">
        <v>1377</v>
      </c>
      <c r="C12" s="591">
        <f>ROUND((+C62*0.4),0)</f>
        <v>6174</v>
      </c>
      <c r="D12" s="591">
        <f t="shared" ref="D12:U12" si="5">ROUND((+D62*0.4),0)</f>
        <v>6444</v>
      </c>
      <c r="E12" s="591">
        <f t="shared" si="5"/>
        <v>6726</v>
      </c>
      <c r="F12" s="591">
        <f t="shared" si="5"/>
        <v>7020</v>
      </c>
      <c r="G12" s="591">
        <f t="shared" si="5"/>
        <v>8000</v>
      </c>
      <c r="H12" s="591">
        <f t="shared" si="5"/>
        <v>8000</v>
      </c>
      <c r="I12" s="591">
        <f t="shared" si="5"/>
        <v>8000</v>
      </c>
      <c r="J12" s="591">
        <f t="shared" si="5"/>
        <v>10000</v>
      </c>
      <c r="K12" s="591">
        <f t="shared" si="5"/>
        <v>10000</v>
      </c>
      <c r="L12" s="591">
        <f t="shared" si="5"/>
        <v>10000</v>
      </c>
      <c r="M12" s="591">
        <f t="shared" si="5"/>
        <v>10000</v>
      </c>
      <c r="N12" s="591">
        <f t="shared" si="5"/>
        <v>12000</v>
      </c>
      <c r="O12" s="591">
        <f t="shared" si="5"/>
        <v>12000</v>
      </c>
      <c r="P12" s="591">
        <f t="shared" si="5"/>
        <v>12000</v>
      </c>
      <c r="Q12" s="591">
        <f t="shared" si="5"/>
        <v>14000</v>
      </c>
      <c r="R12" s="591">
        <f t="shared" si="5"/>
        <v>14000</v>
      </c>
      <c r="S12" s="591">
        <f t="shared" si="5"/>
        <v>14000</v>
      </c>
      <c r="T12" s="591">
        <f t="shared" si="5"/>
        <v>14000</v>
      </c>
      <c r="U12" s="591">
        <f t="shared" si="5"/>
        <v>14000</v>
      </c>
      <c r="V12" s="591">
        <f t="shared" ref="V12:AC12" si="6">ROUND((+V62*0.4),0)</f>
        <v>14000</v>
      </c>
      <c r="W12" s="591">
        <f t="shared" si="6"/>
        <v>14000</v>
      </c>
      <c r="X12" s="591">
        <f t="shared" si="6"/>
        <v>16000</v>
      </c>
      <c r="Y12" s="591">
        <f t="shared" si="6"/>
        <v>16000</v>
      </c>
      <c r="Z12" s="591">
        <f t="shared" si="6"/>
        <v>16000</v>
      </c>
      <c r="AA12" s="591">
        <f t="shared" si="6"/>
        <v>16000</v>
      </c>
      <c r="AB12" s="591">
        <f t="shared" si="6"/>
        <v>16000</v>
      </c>
      <c r="AC12" s="591">
        <f t="shared" si="6"/>
        <v>18000</v>
      </c>
      <c r="AD12" s="591">
        <f t="shared" si="2"/>
        <v>18000</v>
      </c>
      <c r="AE12" s="591">
        <f t="shared" si="2"/>
        <v>18000</v>
      </c>
      <c r="AF12" s="591">
        <f t="shared" si="2"/>
        <v>0</v>
      </c>
      <c r="AG12" s="591">
        <f t="shared" si="2"/>
        <v>0</v>
      </c>
      <c r="AH12" s="591">
        <f t="shared" si="2"/>
        <v>0</v>
      </c>
      <c r="AI12" s="591">
        <f t="shared" si="2"/>
        <v>0</v>
      </c>
      <c r="AJ12" s="591">
        <f t="shared" si="2"/>
        <v>0</v>
      </c>
    </row>
    <row r="13" spans="1:36" ht="13.8" thickBot="1" x14ac:dyDescent="0.3">
      <c r="A13" s="11">
        <v>5933</v>
      </c>
      <c r="B13" s="60" t="s">
        <v>1378</v>
      </c>
      <c r="C13" s="16">
        <f>ROUND((+C63*0.4),0)</f>
        <v>5658</v>
      </c>
      <c r="D13" s="16">
        <f t="shared" ref="D13:U13" si="7">ROUND((+D63*0.4),0)</f>
        <v>5891</v>
      </c>
      <c r="E13" s="16">
        <f t="shared" si="7"/>
        <v>6134</v>
      </c>
      <c r="F13" s="16">
        <f t="shared" si="7"/>
        <v>6387</v>
      </c>
      <c r="G13" s="16">
        <f t="shared" si="7"/>
        <v>6651</v>
      </c>
      <c r="H13" s="16">
        <f t="shared" si="7"/>
        <v>6925</v>
      </c>
      <c r="I13" s="16">
        <f t="shared" si="7"/>
        <v>7211</v>
      </c>
      <c r="J13" s="16">
        <f t="shared" si="7"/>
        <v>7508</v>
      </c>
      <c r="K13" s="16">
        <f t="shared" si="7"/>
        <v>7818</v>
      </c>
      <c r="L13" s="16">
        <f t="shared" si="7"/>
        <v>8140</v>
      </c>
      <c r="M13" s="16">
        <f t="shared" si="7"/>
        <v>8476</v>
      </c>
      <c r="N13" s="16">
        <f t="shared" si="7"/>
        <v>8826</v>
      </c>
      <c r="O13" s="16">
        <f t="shared" si="7"/>
        <v>9190</v>
      </c>
      <c r="P13" s="16">
        <f t="shared" si="7"/>
        <v>9569</v>
      </c>
      <c r="Q13" s="16">
        <f t="shared" si="7"/>
        <v>9964</v>
      </c>
      <c r="R13" s="16">
        <f t="shared" si="7"/>
        <v>10374</v>
      </c>
      <c r="S13" s="16">
        <f t="shared" si="7"/>
        <v>10802</v>
      </c>
      <c r="T13" s="16">
        <f t="shared" si="7"/>
        <v>11248</v>
      </c>
      <c r="U13" s="16">
        <f t="shared" si="7"/>
        <v>11712</v>
      </c>
      <c r="V13" s="16">
        <f t="shared" ref="V13:AC13" si="8">ROUND((+V63*0.4),0)</f>
        <v>12195</v>
      </c>
      <c r="W13" s="16">
        <f t="shared" si="8"/>
        <v>12698</v>
      </c>
      <c r="X13" s="16">
        <f t="shared" si="8"/>
        <v>13222</v>
      </c>
      <c r="Y13" s="16">
        <f t="shared" si="8"/>
        <v>13767</v>
      </c>
      <c r="Z13" s="16">
        <f t="shared" si="8"/>
        <v>14335</v>
      </c>
      <c r="AA13" s="16">
        <f t="shared" si="8"/>
        <v>14927</v>
      </c>
      <c r="AB13" s="16">
        <f t="shared" si="8"/>
        <v>15542</v>
      </c>
      <c r="AC13" s="16">
        <f t="shared" si="8"/>
        <v>16184</v>
      </c>
      <c r="AD13" s="16">
        <f t="shared" si="2"/>
        <v>16851</v>
      </c>
      <c r="AE13" s="16">
        <f t="shared" si="2"/>
        <v>17546</v>
      </c>
      <c r="AF13" s="16">
        <f t="shared" si="2"/>
        <v>18270</v>
      </c>
      <c r="AG13" s="16">
        <f t="shared" si="2"/>
        <v>19024</v>
      </c>
      <c r="AH13" s="16">
        <f t="shared" si="2"/>
        <v>19685</v>
      </c>
      <c r="AI13" s="16">
        <f t="shared" si="2"/>
        <v>0</v>
      </c>
      <c r="AJ13" s="16">
        <f t="shared" si="2"/>
        <v>0</v>
      </c>
    </row>
    <row r="14" spans="1:36" x14ac:dyDescent="0.25">
      <c r="A14" s="11"/>
      <c r="B14" s="17" t="s">
        <v>1371</v>
      </c>
      <c r="C14" s="19">
        <f>SUM(C9:C13)</f>
        <v>52047</v>
      </c>
      <c r="D14" s="19">
        <f t="shared" ref="D14:U14" si="9">SUM(D9:D13)</f>
        <v>53453</v>
      </c>
      <c r="E14" s="19">
        <f t="shared" si="9"/>
        <v>54901</v>
      </c>
      <c r="F14" s="19">
        <f t="shared" si="9"/>
        <v>56393</v>
      </c>
      <c r="G14" s="19">
        <f t="shared" si="9"/>
        <v>58925</v>
      </c>
      <c r="H14" s="19">
        <f t="shared" si="9"/>
        <v>59863</v>
      </c>
      <c r="I14" s="19">
        <f t="shared" si="9"/>
        <v>61159</v>
      </c>
      <c r="J14" s="19">
        <f t="shared" si="9"/>
        <v>64489</v>
      </c>
      <c r="K14" s="19">
        <f t="shared" si="9"/>
        <v>65854</v>
      </c>
      <c r="L14" s="19">
        <f t="shared" si="9"/>
        <v>67257</v>
      </c>
      <c r="M14" s="19">
        <f t="shared" si="9"/>
        <v>68698</v>
      </c>
      <c r="N14" s="19">
        <f t="shared" si="9"/>
        <v>48670</v>
      </c>
      <c r="O14" s="19">
        <f t="shared" si="9"/>
        <v>49714</v>
      </c>
      <c r="P14" s="19">
        <f t="shared" si="9"/>
        <v>50790</v>
      </c>
      <c r="Q14" s="19">
        <f t="shared" si="9"/>
        <v>53899</v>
      </c>
      <c r="R14" s="19">
        <f t="shared" si="9"/>
        <v>55041</v>
      </c>
      <c r="S14" s="19">
        <f t="shared" si="9"/>
        <v>56218</v>
      </c>
      <c r="T14" s="19">
        <f t="shared" si="9"/>
        <v>57432</v>
      </c>
      <c r="U14" s="19">
        <f t="shared" si="9"/>
        <v>58682</v>
      </c>
      <c r="V14" s="19">
        <f t="shared" ref="V14:AJ14" si="10">SUM(V9:V13)</f>
        <v>59971</v>
      </c>
      <c r="W14" s="19">
        <f t="shared" si="10"/>
        <v>61299</v>
      </c>
      <c r="X14" s="19">
        <f t="shared" si="10"/>
        <v>64668</v>
      </c>
      <c r="Y14" s="19">
        <f t="shared" si="10"/>
        <v>29767</v>
      </c>
      <c r="Z14" s="19">
        <f t="shared" si="10"/>
        <v>30335</v>
      </c>
      <c r="AA14" s="19">
        <f t="shared" si="10"/>
        <v>30927</v>
      </c>
      <c r="AB14" s="19">
        <f t="shared" si="10"/>
        <v>31542</v>
      </c>
      <c r="AC14" s="19">
        <f t="shared" si="10"/>
        <v>34184</v>
      </c>
      <c r="AD14" s="19">
        <f t="shared" si="10"/>
        <v>34851</v>
      </c>
      <c r="AE14" s="19">
        <f t="shared" si="10"/>
        <v>35546</v>
      </c>
      <c r="AF14" s="19">
        <f t="shared" si="10"/>
        <v>18270</v>
      </c>
      <c r="AG14" s="19">
        <f t="shared" si="10"/>
        <v>19024</v>
      </c>
      <c r="AH14" s="19">
        <f t="shared" si="10"/>
        <v>19685</v>
      </c>
      <c r="AI14" s="19">
        <f t="shared" si="10"/>
        <v>0</v>
      </c>
      <c r="AJ14" s="19">
        <f t="shared" si="10"/>
        <v>0</v>
      </c>
    </row>
    <row r="15" spans="1:36" x14ac:dyDescent="0.25">
      <c r="A15" s="11"/>
      <c r="B15" s="12"/>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row>
    <row r="16" spans="1:36" x14ac:dyDescent="0.25">
      <c r="A16" s="11">
        <v>751</v>
      </c>
      <c r="B16" s="12" t="s">
        <v>1394</v>
      </c>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1"/>
    </row>
    <row r="17" spans="1:36" x14ac:dyDescent="0.25">
      <c r="A17" s="11">
        <v>5930</v>
      </c>
      <c r="B17" s="60" t="s">
        <v>1375</v>
      </c>
      <c r="C17" s="14">
        <f t="shared" ref="C17:C22" si="11">ROUND((+C67*0.4),0)</f>
        <v>4408</v>
      </c>
      <c r="D17" s="14">
        <f t="shared" ref="D17:U17" si="12">ROUND((+D67*0.4),0)</f>
        <v>4266</v>
      </c>
      <c r="E17" s="14">
        <f t="shared" si="12"/>
        <v>3638</v>
      </c>
      <c r="F17" s="14">
        <f t="shared" si="12"/>
        <v>3241</v>
      </c>
      <c r="G17" s="14">
        <f t="shared" si="12"/>
        <v>2836</v>
      </c>
      <c r="H17" s="14">
        <f t="shared" si="12"/>
        <v>2424</v>
      </c>
      <c r="I17" s="14">
        <f t="shared" si="12"/>
        <v>2002</v>
      </c>
      <c r="J17" s="14">
        <f t="shared" si="12"/>
        <v>1572</v>
      </c>
      <c r="K17" s="14">
        <f t="shared" si="12"/>
        <v>1134</v>
      </c>
      <c r="L17" s="14">
        <f t="shared" si="12"/>
        <v>687</v>
      </c>
      <c r="M17" s="14">
        <f t="shared" si="12"/>
        <v>231</v>
      </c>
      <c r="N17" s="14">
        <f t="shared" si="12"/>
        <v>0</v>
      </c>
      <c r="O17" s="14">
        <f t="shared" si="12"/>
        <v>0</v>
      </c>
      <c r="P17" s="14">
        <f t="shared" si="12"/>
        <v>0</v>
      </c>
      <c r="Q17" s="14">
        <f t="shared" si="12"/>
        <v>0</v>
      </c>
      <c r="R17" s="14">
        <f t="shared" si="12"/>
        <v>0</v>
      </c>
      <c r="S17" s="14">
        <f t="shared" si="12"/>
        <v>0</v>
      </c>
      <c r="T17" s="14">
        <f t="shared" si="12"/>
        <v>0</v>
      </c>
      <c r="U17" s="14">
        <f t="shared" si="12"/>
        <v>0</v>
      </c>
      <c r="V17" s="14">
        <f t="shared" ref="V17:AC17" si="13">ROUND((+V67*0.4),0)</f>
        <v>0</v>
      </c>
      <c r="W17" s="14">
        <f t="shared" si="13"/>
        <v>0</v>
      </c>
      <c r="X17" s="14">
        <f t="shared" si="13"/>
        <v>0</v>
      </c>
      <c r="Y17" s="14">
        <f t="shared" si="13"/>
        <v>0</v>
      </c>
      <c r="Z17" s="14">
        <f t="shared" si="13"/>
        <v>0</v>
      </c>
      <c r="AA17" s="14">
        <f t="shared" si="13"/>
        <v>0</v>
      </c>
      <c r="AB17" s="14">
        <f t="shared" si="13"/>
        <v>0</v>
      </c>
      <c r="AC17" s="14">
        <f t="shared" si="13"/>
        <v>0</v>
      </c>
      <c r="AD17" s="14">
        <f t="shared" ref="AD17:AJ22" si="14">ROUND((+AD67*0.4),0)</f>
        <v>0</v>
      </c>
      <c r="AE17" s="14">
        <f t="shared" si="14"/>
        <v>0</v>
      </c>
      <c r="AF17" s="14">
        <f t="shared" si="14"/>
        <v>0</v>
      </c>
      <c r="AG17" s="14">
        <f t="shared" si="14"/>
        <v>0</v>
      </c>
      <c r="AH17" s="14">
        <f t="shared" si="14"/>
        <v>0</v>
      </c>
      <c r="AI17" s="14">
        <f t="shared" si="14"/>
        <v>0</v>
      </c>
      <c r="AJ17" s="14">
        <f t="shared" si="14"/>
        <v>0</v>
      </c>
    </row>
    <row r="18" spans="1:36" x14ac:dyDescent="0.25">
      <c r="A18" s="11" t="s">
        <v>1396</v>
      </c>
      <c r="B18" s="60" t="s">
        <v>1397</v>
      </c>
      <c r="C18" s="14">
        <f t="shared" si="11"/>
        <v>327</v>
      </c>
      <c r="D18" s="14">
        <f t="shared" ref="D18:U18" si="15">ROUND((+D68*0.4),0)</f>
        <v>302</v>
      </c>
      <c r="E18" s="14">
        <f t="shared" si="15"/>
        <v>273</v>
      </c>
      <c r="F18" s="14">
        <f t="shared" si="15"/>
        <v>243</v>
      </c>
      <c r="G18" s="14">
        <f t="shared" si="15"/>
        <v>213</v>
      </c>
      <c r="H18" s="14">
        <f t="shared" si="15"/>
        <v>182</v>
      </c>
      <c r="I18" s="14">
        <f t="shared" si="15"/>
        <v>150</v>
      </c>
      <c r="J18" s="14">
        <f t="shared" si="15"/>
        <v>118</v>
      </c>
      <c r="K18" s="14">
        <f t="shared" si="15"/>
        <v>85</v>
      </c>
      <c r="L18" s="14">
        <f t="shared" si="15"/>
        <v>52</v>
      </c>
      <c r="M18" s="14">
        <f t="shared" si="15"/>
        <v>178</v>
      </c>
      <c r="N18" s="14">
        <f t="shared" si="15"/>
        <v>0</v>
      </c>
      <c r="O18" s="14">
        <f t="shared" si="15"/>
        <v>0</v>
      </c>
      <c r="P18" s="14">
        <f t="shared" si="15"/>
        <v>0</v>
      </c>
      <c r="Q18" s="14">
        <f t="shared" si="15"/>
        <v>0</v>
      </c>
      <c r="R18" s="14">
        <f t="shared" si="15"/>
        <v>0</v>
      </c>
      <c r="S18" s="14">
        <f t="shared" si="15"/>
        <v>0</v>
      </c>
      <c r="T18" s="14">
        <f t="shared" si="15"/>
        <v>0</v>
      </c>
      <c r="U18" s="14">
        <f t="shared" si="15"/>
        <v>0</v>
      </c>
      <c r="V18" s="14">
        <f t="shared" ref="V18:AC18" si="16">ROUND((+V68*0.4),0)</f>
        <v>0</v>
      </c>
      <c r="W18" s="14">
        <f t="shared" si="16"/>
        <v>0</v>
      </c>
      <c r="X18" s="14">
        <f t="shared" si="16"/>
        <v>0</v>
      </c>
      <c r="Y18" s="14">
        <f t="shared" si="16"/>
        <v>0</v>
      </c>
      <c r="Z18" s="14">
        <f t="shared" si="16"/>
        <v>0</v>
      </c>
      <c r="AA18" s="14">
        <f t="shared" si="16"/>
        <v>0</v>
      </c>
      <c r="AB18" s="14">
        <f t="shared" si="16"/>
        <v>0</v>
      </c>
      <c r="AC18" s="14">
        <f t="shared" si="16"/>
        <v>0</v>
      </c>
      <c r="AD18" s="14">
        <f t="shared" si="14"/>
        <v>0</v>
      </c>
      <c r="AE18" s="14">
        <f t="shared" si="14"/>
        <v>0</v>
      </c>
      <c r="AF18" s="14">
        <f t="shared" si="14"/>
        <v>0</v>
      </c>
      <c r="AG18" s="14">
        <f t="shared" si="14"/>
        <v>0</v>
      </c>
      <c r="AH18" s="14">
        <f t="shared" si="14"/>
        <v>0</v>
      </c>
      <c r="AI18" s="14">
        <f t="shared" si="14"/>
        <v>0</v>
      </c>
      <c r="AJ18" s="14">
        <f t="shared" si="14"/>
        <v>0</v>
      </c>
    </row>
    <row r="19" spans="1:36" x14ac:dyDescent="0.25">
      <c r="A19" s="11">
        <v>5931</v>
      </c>
      <c r="B19" s="60" t="s">
        <v>1376</v>
      </c>
      <c r="C19" s="14">
        <f t="shared" si="11"/>
        <v>14524</v>
      </c>
      <c r="D19" s="14">
        <f t="shared" ref="D19:U19" si="17">ROUND((+D69*0.4),0)</f>
        <v>14054</v>
      </c>
      <c r="E19" s="14">
        <f t="shared" si="17"/>
        <v>13468</v>
      </c>
      <c r="F19" s="14">
        <f t="shared" si="17"/>
        <v>12921</v>
      </c>
      <c r="G19" s="14">
        <f t="shared" si="17"/>
        <v>12360</v>
      </c>
      <c r="H19" s="14">
        <f t="shared" si="17"/>
        <v>11785</v>
      </c>
      <c r="I19" s="14">
        <f t="shared" si="17"/>
        <v>11197</v>
      </c>
      <c r="J19" s="14">
        <f t="shared" si="17"/>
        <v>10594</v>
      </c>
      <c r="K19" s="14">
        <f t="shared" si="17"/>
        <v>9976</v>
      </c>
      <c r="L19" s="14">
        <f t="shared" si="17"/>
        <v>9343</v>
      </c>
      <c r="M19" s="14">
        <f t="shared" si="17"/>
        <v>8695</v>
      </c>
      <c r="N19" s="14">
        <f t="shared" si="17"/>
        <v>8030</v>
      </c>
      <c r="O19" s="14">
        <f t="shared" si="17"/>
        <v>7350</v>
      </c>
      <c r="P19" s="14">
        <f t="shared" si="17"/>
        <v>6653</v>
      </c>
      <c r="Q19" s="14">
        <f t="shared" si="17"/>
        <v>5939</v>
      </c>
      <c r="R19" s="14">
        <f t="shared" si="17"/>
        <v>5208</v>
      </c>
      <c r="S19" s="14">
        <f t="shared" si="17"/>
        <v>4458</v>
      </c>
      <c r="T19" s="14">
        <f t="shared" si="17"/>
        <v>3691</v>
      </c>
      <c r="U19" s="14">
        <f t="shared" si="17"/>
        <v>2904</v>
      </c>
      <c r="V19" s="14">
        <f t="shared" ref="V19:AC19" si="18">ROUND((+V69*0.4),0)</f>
        <v>2099</v>
      </c>
      <c r="W19" s="14">
        <f t="shared" si="18"/>
        <v>1274</v>
      </c>
      <c r="X19" s="14">
        <f t="shared" si="18"/>
        <v>428</v>
      </c>
      <c r="Y19" s="14">
        <f t="shared" si="18"/>
        <v>0</v>
      </c>
      <c r="Z19" s="14">
        <f t="shared" si="18"/>
        <v>0</v>
      </c>
      <c r="AA19" s="14">
        <f t="shared" si="18"/>
        <v>0</v>
      </c>
      <c r="AB19" s="14">
        <f t="shared" si="18"/>
        <v>0</v>
      </c>
      <c r="AC19" s="14">
        <f t="shared" si="18"/>
        <v>0</v>
      </c>
      <c r="AD19" s="14">
        <f t="shared" si="14"/>
        <v>0</v>
      </c>
      <c r="AE19" s="14">
        <f t="shared" si="14"/>
        <v>0</v>
      </c>
      <c r="AF19" s="14">
        <f t="shared" si="14"/>
        <v>0</v>
      </c>
      <c r="AG19" s="14">
        <f t="shared" si="14"/>
        <v>0</v>
      </c>
      <c r="AH19" s="14">
        <f t="shared" si="14"/>
        <v>0</v>
      </c>
      <c r="AI19" s="14">
        <f t="shared" si="14"/>
        <v>0</v>
      </c>
      <c r="AJ19" s="14">
        <f t="shared" si="14"/>
        <v>0</v>
      </c>
    </row>
    <row r="20" spans="1:36" x14ac:dyDescent="0.25">
      <c r="A20" s="11" t="s">
        <v>1398</v>
      </c>
      <c r="B20" s="60" t="s">
        <v>1399</v>
      </c>
      <c r="C20" s="14">
        <f t="shared" si="11"/>
        <v>903</v>
      </c>
      <c r="D20" s="14">
        <f t="shared" ref="D20:U20" si="19">ROUND((+D70*0.4),0)</f>
        <v>870</v>
      </c>
      <c r="E20" s="14">
        <f t="shared" si="19"/>
        <v>837</v>
      </c>
      <c r="F20" s="14">
        <f t="shared" si="19"/>
        <v>803</v>
      </c>
      <c r="G20" s="14">
        <f t="shared" si="19"/>
        <v>768</v>
      </c>
      <c r="H20" s="14">
        <f t="shared" si="19"/>
        <v>732</v>
      </c>
      <c r="I20" s="14">
        <f t="shared" si="19"/>
        <v>696</v>
      </c>
      <c r="J20" s="14">
        <f t="shared" si="19"/>
        <v>658</v>
      </c>
      <c r="K20" s="14">
        <f t="shared" si="19"/>
        <v>580</v>
      </c>
      <c r="L20" s="14">
        <f t="shared" si="19"/>
        <v>581</v>
      </c>
      <c r="M20" s="14">
        <f t="shared" si="19"/>
        <v>540</v>
      </c>
      <c r="N20" s="14">
        <f t="shared" si="19"/>
        <v>499</v>
      </c>
      <c r="O20" s="14">
        <f t="shared" si="19"/>
        <v>457</v>
      </c>
      <c r="P20" s="14">
        <f t="shared" si="19"/>
        <v>414</v>
      </c>
      <c r="Q20" s="14">
        <f t="shared" si="19"/>
        <v>369</v>
      </c>
      <c r="R20" s="14">
        <f t="shared" si="19"/>
        <v>324</v>
      </c>
      <c r="S20" s="14">
        <f t="shared" si="19"/>
        <v>277</v>
      </c>
      <c r="T20" s="14">
        <f t="shared" si="19"/>
        <v>230</v>
      </c>
      <c r="U20" s="14">
        <f t="shared" si="19"/>
        <v>181</v>
      </c>
      <c r="V20" s="14">
        <f t="shared" ref="V20:AC20" si="20">ROUND((+V70*0.4),0)</f>
        <v>131</v>
      </c>
      <c r="W20" s="14">
        <f t="shared" si="20"/>
        <v>79</v>
      </c>
      <c r="X20" s="14">
        <f t="shared" si="20"/>
        <v>27</v>
      </c>
      <c r="Y20" s="14">
        <f t="shared" si="20"/>
        <v>0</v>
      </c>
      <c r="Z20" s="14">
        <f t="shared" si="20"/>
        <v>0</v>
      </c>
      <c r="AA20" s="14">
        <f t="shared" si="20"/>
        <v>0</v>
      </c>
      <c r="AB20" s="14">
        <f t="shared" si="20"/>
        <v>0</v>
      </c>
      <c r="AC20" s="14">
        <f t="shared" si="20"/>
        <v>0</v>
      </c>
      <c r="AD20" s="14">
        <f t="shared" si="14"/>
        <v>0</v>
      </c>
      <c r="AE20" s="14">
        <f t="shared" si="14"/>
        <v>0</v>
      </c>
      <c r="AF20" s="14">
        <f t="shared" si="14"/>
        <v>0</v>
      </c>
      <c r="AG20" s="14">
        <f t="shared" si="14"/>
        <v>0</v>
      </c>
      <c r="AH20" s="14">
        <f t="shared" si="14"/>
        <v>0</v>
      </c>
      <c r="AI20" s="14">
        <f t="shared" si="14"/>
        <v>0</v>
      </c>
      <c r="AJ20" s="14">
        <f t="shared" si="14"/>
        <v>0</v>
      </c>
    </row>
    <row r="21" spans="1:36" s="317" customFormat="1" x14ac:dyDescent="0.25">
      <c r="A21" s="602">
        <v>5932</v>
      </c>
      <c r="B21" s="594" t="s">
        <v>1377</v>
      </c>
      <c r="C21" s="591">
        <f t="shared" si="11"/>
        <v>16130</v>
      </c>
      <c r="D21" s="591">
        <f t="shared" ref="D21:U21" si="21">ROUND((+D71*0.4),0)</f>
        <v>15860</v>
      </c>
      <c r="E21" s="591">
        <f t="shared" si="21"/>
        <v>15578</v>
      </c>
      <c r="F21" s="591">
        <f t="shared" si="21"/>
        <v>15283</v>
      </c>
      <c r="G21" s="591">
        <f t="shared" si="21"/>
        <v>10765</v>
      </c>
      <c r="H21" s="591">
        <f t="shared" si="21"/>
        <v>10103</v>
      </c>
      <c r="I21" s="591">
        <f t="shared" si="21"/>
        <v>9703</v>
      </c>
      <c r="J21" s="591">
        <f t="shared" si="21"/>
        <v>9303</v>
      </c>
      <c r="K21" s="591">
        <f t="shared" si="21"/>
        <v>8803</v>
      </c>
      <c r="L21" s="591">
        <f t="shared" si="21"/>
        <v>8303</v>
      </c>
      <c r="M21" s="591">
        <f t="shared" si="21"/>
        <v>7803</v>
      </c>
      <c r="N21" s="591">
        <f t="shared" si="21"/>
        <v>7303</v>
      </c>
      <c r="O21" s="591">
        <f t="shared" si="21"/>
        <v>6703</v>
      </c>
      <c r="P21" s="591">
        <f t="shared" si="21"/>
        <v>6103</v>
      </c>
      <c r="Q21" s="591">
        <f t="shared" si="21"/>
        <v>5503</v>
      </c>
      <c r="R21" s="591">
        <f t="shared" si="21"/>
        <v>5223</v>
      </c>
      <c r="S21" s="591">
        <f t="shared" si="21"/>
        <v>4943</v>
      </c>
      <c r="T21" s="591">
        <f t="shared" si="21"/>
        <v>4663</v>
      </c>
      <c r="U21" s="591">
        <f t="shared" si="21"/>
        <v>4365</v>
      </c>
      <c r="V21" s="591">
        <f t="shared" ref="V21:AC21" si="22">ROUND((+V71*0.4),0)</f>
        <v>4068</v>
      </c>
      <c r="W21" s="591">
        <f t="shared" si="22"/>
        <v>3753</v>
      </c>
      <c r="X21" s="591">
        <f t="shared" si="22"/>
        <v>3420</v>
      </c>
      <c r="Y21" s="591">
        <f t="shared" si="22"/>
        <v>3040</v>
      </c>
      <c r="Z21" s="591">
        <f t="shared" si="22"/>
        <v>2660</v>
      </c>
      <c r="AA21" s="591">
        <f t="shared" si="22"/>
        <v>2260</v>
      </c>
      <c r="AB21" s="591">
        <f t="shared" si="22"/>
        <v>1860</v>
      </c>
      <c r="AC21" s="591">
        <f t="shared" si="22"/>
        <v>1440</v>
      </c>
      <c r="AD21" s="591">
        <f t="shared" si="14"/>
        <v>968</v>
      </c>
      <c r="AE21" s="591">
        <f t="shared" si="14"/>
        <v>495</v>
      </c>
      <c r="AF21" s="591">
        <f t="shared" si="14"/>
        <v>0</v>
      </c>
      <c r="AG21" s="591">
        <f t="shared" si="14"/>
        <v>0</v>
      </c>
      <c r="AH21" s="591">
        <f t="shared" si="14"/>
        <v>0</v>
      </c>
      <c r="AI21" s="591">
        <f t="shared" si="14"/>
        <v>0</v>
      </c>
      <c r="AJ21" s="591">
        <f t="shared" si="14"/>
        <v>0</v>
      </c>
    </row>
    <row r="22" spans="1:36" ht="13.8" thickBot="1" x14ac:dyDescent="0.3">
      <c r="A22" s="11">
        <v>5933</v>
      </c>
      <c r="B22" s="60" t="s">
        <v>1378</v>
      </c>
      <c r="C22" s="16">
        <f t="shared" si="11"/>
        <v>14962</v>
      </c>
      <c r="D22" s="16">
        <f t="shared" ref="D22:U22" si="23">ROUND((+D72*0.4),0)</f>
        <v>14729</v>
      </c>
      <c r="E22" s="16">
        <f t="shared" si="23"/>
        <v>14486</v>
      </c>
      <c r="F22" s="16">
        <f t="shared" si="23"/>
        <v>14233</v>
      </c>
      <c r="G22" s="16">
        <f t="shared" si="23"/>
        <v>13970</v>
      </c>
      <c r="H22" s="16">
        <f t="shared" si="23"/>
        <v>13695</v>
      </c>
      <c r="I22" s="16">
        <f t="shared" si="23"/>
        <v>13410</v>
      </c>
      <c r="J22" s="16">
        <f t="shared" si="23"/>
        <v>13112</v>
      </c>
      <c r="K22" s="16">
        <f t="shared" si="23"/>
        <v>12802</v>
      </c>
      <c r="L22" s="16">
        <f t="shared" si="23"/>
        <v>12480</v>
      </c>
      <c r="M22" s="16">
        <f t="shared" si="23"/>
        <v>12144</v>
      </c>
      <c r="N22" s="16">
        <f t="shared" si="23"/>
        <v>11795</v>
      </c>
      <c r="O22" s="16">
        <f t="shared" si="23"/>
        <v>11431</v>
      </c>
      <c r="P22" s="16">
        <f t="shared" si="23"/>
        <v>11052</v>
      </c>
      <c r="Q22" s="16">
        <f t="shared" si="23"/>
        <v>10657</v>
      </c>
      <c r="R22" s="16">
        <f t="shared" si="23"/>
        <v>10246</v>
      </c>
      <c r="S22" s="16">
        <f t="shared" si="23"/>
        <v>9818</v>
      </c>
      <c r="T22" s="16">
        <f t="shared" si="23"/>
        <v>9372</v>
      </c>
      <c r="U22" s="16">
        <f t="shared" si="23"/>
        <v>8908</v>
      </c>
      <c r="V22" s="16">
        <f t="shared" ref="V22:AC22" si="24">ROUND((+V72*0.4),0)</f>
        <v>8425</v>
      </c>
      <c r="W22" s="16">
        <f t="shared" si="24"/>
        <v>7922</v>
      </c>
      <c r="X22" s="16">
        <f t="shared" si="24"/>
        <v>7398</v>
      </c>
      <c r="Y22" s="16">
        <f t="shared" si="24"/>
        <v>6853</v>
      </c>
      <c r="Z22" s="16">
        <f t="shared" si="24"/>
        <v>6285</v>
      </c>
      <c r="AA22" s="16">
        <f t="shared" si="24"/>
        <v>5694</v>
      </c>
      <c r="AB22" s="16">
        <f t="shared" si="24"/>
        <v>5078</v>
      </c>
      <c r="AC22" s="16">
        <f t="shared" si="24"/>
        <v>4437</v>
      </c>
      <c r="AD22" s="16">
        <f t="shared" si="14"/>
        <v>3769</v>
      </c>
      <c r="AE22" s="16">
        <f t="shared" si="14"/>
        <v>3074</v>
      </c>
      <c r="AF22" s="16">
        <f t="shared" si="14"/>
        <v>1150</v>
      </c>
      <c r="AG22" s="16">
        <f t="shared" si="14"/>
        <v>1597</v>
      </c>
      <c r="AH22" s="16">
        <f t="shared" si="14"/>
        <v>812</v>
      </c>
      <c r="AI22" s="16">
        <f t="shared" si="14"/>
        <v>0</v>
      </c>
      <c r="AJ22" s="16">
        <f t="shared" si="14"/>
        <v>0</v>
      </c>
    </row>
    <row r="23" spans="1:36" x14ac:dyDescent="0.25">
      <c r="A23" s="11"/>
      <c r="B23" s="12"/>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row>
    <row r="24" spans="1:36" x14ac:dyDescent="0.25">
      <c r="A24" s="11"/>
      <c r="B24" s="17" t="s">
        <v>1394</v>
      </c>
      <c r="C24" s="19">
        <f>SUM(C16:C23)</f>
        <v>51254</v>
      </c>
      <c r="D24" s="19">
        <f t="shared" ref="D24:U24" si="25">SUM(D16:D23)</f>
        <v>50081</v>
      </c>
      <c r="E24" s="19">
        <f t="shared" si="25"/>
        <v>48280</v>
      </c>
      <c r="F24" s="19">
        <f t="shared" si="25"/>
        <v>46724</v>
      </c>
      <c r="G24" s="19">
        <f t="shared" si="25"/>
        <v>40912</v>
      </c>
      <c r="H24" s="19">
        <f t="shared" si="25"/>
        <v>38921</v>
      </c>
      <c r="I24" s="19">
        <f t="shared" si="25"/>
        <v>37158</v>
      </c>
      <c r="J24" s="19">
        <f t="shared" si="25"/>
        <v>35357</v>
      </c>
      <c r="K24" s="19">
        <f t="shared" si="25"/>
        <v>33380</v>
      </c>
      <c r="L24" s="19">
        <f t="shared" si="25"/>
        <v>31446</v>
      </c>
      <c r="M24" s="19">
        <f t="shared" si="25"/>
        <v>29591</v>
      </c>
      <c r="N24" s="19">
        <f t="shared" si="25"/>
        <v>27627</v>
      </c>
      <c r="O24" s="19">
        <f t="shared" si="25"/>
        <v>25941</v>
      </c>
      <c r="P24" s="19">
        <f t="shared" si="25"/>
        <v>24222</v>
      </c>
      <c r="Q24" s="19">
        <f t="shared" si="25"/>
        <v>22468</v>
      </c>
      <c r="R24" s="19">
        <f t="shared" si="25"/>
        <v>21001</v>
      </c>
      <c r="S24" s="19">
        <f t="shared" si="25"/>
        <v>19496</v>
      </c>
      <c r="T24" s="19">
        <f t="shared" si="25"/>
        <v>17956</v>
      </c>
      <c r="U24" s="19">
        <f t="shared" si="25"/>
        <v>16358</v>
      </c>
      <c r="V24" s="19">
        <f t="shared" ref="V24:AJ24" si="26">SUM(V16:V23)</f>
        <v>14723</v>
      </c>
      <c r="W24" s="19">
        <f t="shared" si="26"/>
        <v>13028</v>
      </c>
      <c r="X24" s="19">
        <f t="shared" si="26"/>
        <v>11273</v>
      </c>
      <c r="Y24" s="19">
        <f t="shared" si="26"/>
        <v>9893</v>
      </c>
      <c r="Z24" s="19">
        <f t="shared" si="26"/>
        <v>8945</v>
      </c>
      <c r="AA24" s="19">
        <f t="shared" si="26"/>
        <v>7954</v>
      </c>
      <c r="AB24" s="19">
        <f t="shared" si="26"/>
        <v>6938</v>
      </c>
      <c r="AC24" s="19">
        <f t="shared" si="26"/>
        <v>5877</v>
      </c>
      <c r="AD24" s="19">
        <f t="shared" si="26"/>
        <v>4737</v>
      </c>
      <c r="AE24" s="19">
        <f t="shared" si="26"/>
        <v>3569</v>
      </c>
      <c r="AF24" s="19">
        <f t="shared" si="26"/>
        <v>1150</v>
      </c>
      <c r="AG24" s="19">
        <f t="shared" si="26"/>
        <v>1597</v>
      </c>
      <c r="AH24" s="19">
        <f t="shared" si="26"/>
        <v>812</v>
      </c>
      <c r="AI24" s="19">
        <f t="shared" si="26"/>
        <v>0</v>
      </c>
      <c r="AJ24" s="19">
        <f t="shared" si="26"/>
        <v>0</v>
      </c>
    </row>
    <row r="25" spans="1:36" x14ac:dyDescent="0.25">
      <c r="A25" s="11"/>
      <c r="B25" s="1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row>
    <row r="26" spans="1:36" x14ac:dyDescent="0.25">
      <c r="A26" s="11"/>
      <c r="B26" s="12" t="s">
        <v>1739</v>
      </c>
      <c r="C26" s="14">
        <f>+C24+C14</f>
        <v>103301</v>
      </c>
      <c r="D26" s="14">
        <f t="shared" ref="D26:U26" si="27">+D24+D14</f>
        <v>103534</v>
      </c>
      <c r="E26" s="14">
        <f t="shared" si="27"/>
        <v>103181</v>
      </c>
      <c r="F26" s="14">
        <f t="shared" si="27"/>
        <v>103117</v>
      </c>
      <c r="G26" s="14">
        <f t="shared" si="27"/>
        <v>99837</v>
      </c>
      <c r="H26" s="14">
        <f t="shared" si="27"/>
        <v>98784</v>
      </c>
      <c r="I26" s="14">
        <f t="shared" si="27"/>
        <v>98317</v>
      </c>
      <c r="J26" s="14">
        <f t="shared" si="27"/>
        <v>99846</v>
      </c>
      <c r="K26" s="14">
        <f t="shared" si="27"/>
        <v>99234</v>
      </c>
      <c r="L26" s="14">
        <f t="shared" si="27"/>
        <v>98703</v>
      </c>
      <c r="M26" s="14">
        <f t="shared" si="27"/>
        <v>98289</v>
      </c>
      <c r="N26" s="14">
        <f t="shared" si="27"/>
        <v>76297</v>
      </c>
      <c r="O26" s="14">
        <f t="shared" si="27"/>
        <v>75655</v>
      </c>
      <c r="P26" s="14">
        <f t="shared" si="27"/>
        <v>75012</v>
      </c>
      <c r="Q26" s="14">
        <f t="shared" si="27"/>
        <v>76367</v>
      </c>
      <c r="R26" s="14">
        <f t="shared" si="27"/>
        <v>76042</v>
      </c>
      <c r="S26" s="14">
        <f t="shared" si="27"/>
        <v>75714</v>
      </c>
      <c r="T26" s="14">
        <f t="shared" si="27"/>
        <v>75388</v>
      </c>
      <c r="U26" s="14">
        <f t="shared" si="27"/>
        <v>75040</v>
      </c>
      <c r="V26" s="14">
        <f t="shared" ref="V26:AC26" si="28">+V24+V14</f>
        <v>74694</v>
      </c>
      <c r="W26" s="14">
        <f t="shared" si="28"/>
        <v>74327</v>
      </c>
      <c r="X26" s="14">
        <f t="shared" si="28"/>
        <v>75941</v>
      </c>
      <c r="Y26" s="14">
        <f t="shared" si="28"/>
        <v>39660</v>
      </c>
      <c r="Z26" s="14">
        <f t="shared" si="28"/>
        <v>39280</v>
      </c>
      <c r="AA26" s="14">
        <f t="shared" si="28"/>
        <v>38881</v>
      </c>
      <c r="AB26" s="14">
        <f t="shared" si="28"/>
        <v>38480</v>
      </c>
      <c r="AC26" s="14">
        <f t="shared" si="28"/>
        <v>40061</v>
      </c>
      <c r="AD26" s="14">
        <f t="shared" ref="AD26:AJ26" si="29">+AD24+AD14</f>
        <v>39588</v>
      </c>
      <c r="AE26" s="14">
        <f t="shared" si="29"/>
        <v>39115</v>
      </c>
      <c r="AF26" s="14">
        <f t="shared" si="29"/>
        <v>19420</v>
      </c>
      <c r="AG26" s="14">
        <f t="shared" si="29"/>
        <v>20621</v>
      </c>
      <c r="AH26" s="14">
        <f t="shared" si="29"/>
        <v>20497</v>
      </c>
      <c r="AI26" s="14">
        <f t="shared" si="29"/>
        <v>0</v>
      </c>
      <c r="AJ26" s="14">
        <f t="shared" si="29"/>
        <v>0</v>
      </c>
    </row>
    <row r="28" spans="1:36" ht="13.8" thickBot="1" x14ac:dyDescent="0.3"/>
    <row r="29" spans="1:36" ht="13.8" thickTop="1" x14ac:dyDescent="0.25">
      <c r="A29" s="5"/>
      <c r="B29" s="6"/>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row>
    <row r="30" spans="1:36" x14ac:dyDescent="0.25">
      <c r="A30" s="81"/>
      <c r="B30" s="74" t="s">
        <v>1740</v>
      </c>
      <c r="C30" s="45" t="s">
        <v>465</v>
      </c>
      <c r="D30" s="45" t="s">
        <v>466</v>
      </c>
      <c r="E30" s="45" t="s">
        <v>467</v>
      </c>
      <c r="F30" s="45" t="s">
        <v>468</v>
      </c>
      <c r="G30" s="45" t="s">
        <v>251</v>
      </c>
      <c r="H30" s="45" t="s">
        <v>252</v>
      </c>
      <c r="I30" s="45" t="s">
        <v>253</v>
      </c>
      <c r="J30" s="45" t="s">
        <v>469</v>
      </c>
      <c r="K30" s="45" t="s">
        <v>1345</v>
      </c>
      <c r="L30" s="45" t="s">
        <v>1346</v>
      </c>
      <c r="M30" s="45" t="s">
        <v>1347</v>
      </c>
      <c r="N30" s="45" t="s">
        <v>1348</v>
      </c>
      <c r="O30" s="45" t="s">
        <v>1349</v>
      </c>
      <c r="P30" s="45" t="s">
        <v>1350</v>
      </c>
      <c r="Q30" s="45" t="s">
        <v>1351</v>
      </c>
      <c r="R30" s="45" t="s">
        <v>1352</v>
      </c>
      <c r="S30" s="45" t="s">
        <v>1353</v>
      </c>
      <c r="T30" s="45" t="s">
        <v>1354</v>
      </c>
      <c r="U30" s="45" t="s">
        <v>1355</v>
      </c>
      <c r="V30" s="45" t="s">
        <v>1356</v>
      </c>
      <c r="W30" s="45" t="s">
        <v>1357</v>
      </c>
      <c r="X30" s="45" t="s">
        <v>1358</v>
      </c>
      <c r="Y30" s="45" t="s">
        <v>1359</v>
      </c>
      <c r="Z30" s="45" t="s">
        <v>1360</v>
      </c>
      <c r="AA30" s="45" t="s">
        <v>1361</v>
      </c>
      <c r="AB30" s="45" t="s">
        <v>1362</v>
      </c>
      <c r="AC30" s="45" t="s">
        <v>1363</v>
      </c>
      <c r="AD30" s="45" t="s">
        <v>1364</v>
      </c>
      <c r="AE30" s="45" t="s">
        <v>1365</v>
      </c>
      <c r="AF30" s="45" t="s">
        <v>1366</v>
      </c>
      <c r="AG30" s="45" t="s">
        <v>1367</v>
      </c>
      <c r="AH30" s="45" t="s">
        <v>1368</v>
      </c>
      <c r="AI30" s="45" t="s">
        <v>1369</v>
      </c>
      <c r="AJ30" s="45" t="s">
        <v>1370</v>
      </c>
    </row>
    <row r="31" spans="1:36" x14ac:dyDescent="0.25">
      <c r="A31" s="81"/>
      <c r="B31" s="74"/>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row>
    <row r="32" spans="1:36" ht="13.8" thickBot="1" x14ac:dyDescent="0.3">
      <c r="A32" s="8" t="s">
        <v>715</v>
      </c>
      <c r="B32" s="78"/>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row>
    <row r="33" spans="1:36" ht="13.8" thickTop="1" x14ac:dyDescent="0.25">
      <c r="A33" s="26"/>
      <c r="B33" s="27"/>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row>
    <row r="34" spans="1:36" x14ac:dyDescent="0.25">
      <c r="A34" s="11">
        <v>710</v>
      </c>
      <c r="B34" s="12" t="s">
        <v>1371</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row>
    <row r="35" spans="1:36" x14ac:dyDescent="0.25">
      <c r="A35" s="11">
        <v>5930</v>
      </c>
      <c r="B35" s="101" t="s">
        <v>1375</v>
      </c>
      <c r="C35" s="14">
        <f>+C60-C10</f>
        <v>28298</v>
      </c>
      <c r="D35" s="14">
        <f t="shared" ref="D35:U35" si="30">+D60-D10</f>
        <v>28869</v>
      </c>
      <c r="E35" s="14">
        <f t="shared" si="30"/>
        <v>29452</v>
      </c>
      <c r="F35" s="14">
        <f t="shared" si="30"/>
        <v>30047</v>
      </c>
      <c r="G35" s="14">
        <f t="shared" si="30"/>
        <v>31141</v>
      </c>
      <c r="H35" s="14">
        <f t="shared" si="30"/>
        <v>31274</v>
      </c>
      <c r="I35" s="14">
        <f t="shared" si="30"/>
        <v>31906</v>
      </c>
      <c r="J35" s="14">
        <f t="shared" si="30"/>
        <v>32550</v>
      </c>
      <c r="K35" s="14">
        <f t="shared" si="30"/>
        <v>33208</v>
      </c>
      <c r="L35" s="14">
        <f t="shared" si="30"/>
        <v>33878</v>
      </c>
      <c r="M35" s="14">
        <f t="shared" si="30"/>
        <v>34563</v>
      </c>
      <c r="N35" s="14">
        <f t="shared" si="30"/>
        <v>0</v>
      </c>
      <c r="O35" s="14">
        <f t="shared" si="30"/>
        <v>0</v>
      </c>
      <c r="P35" s="14">
        <f t="shared" si="30"/>
        <v>0</v>
      </c>
      <c r="Q35" s="14">
        <f t="shared" si="30"/>
        <v>0</v>
      </c>
      <c r="R35" s="14">
        <f t="shared" si="30"/>
        <v>0</v>
      </c>
      <c r="S35" s="14">
        <f t="shared" si="30"/>
        <v>0</v>
      </c>
      <c r="T35" s="14">
        <f t="shared" si="30"/>
        <v>0</v>
      </c>
      <c r="U35" s="14">
        <f t="shared" si="30"/>
        <v>0</v>
      </c>
      <c r="V35" s="14">
        <f t="shared" ref="V35:AC35" si="31">+V60-V10</f>
        <v>0</v>
      </c>
      <c r="W35" s="14">
        <f t="shared" si="31"/>
        <v>0</v>
      </c>
      <c r="X35" s="14">
        <f t="shared" si="31"/>
        <v>0</v>
      </c>
      <c r="Y35" s="14">
        <f t="shared" si="31"/>
        <v>0</v>
      </c>
      <c r="Z35" s="14">
        <f t="shared" si="31"/>
        <v>0</v>
      </c>
      <c r="AA35" s="14">
        <f t="shared" si="31"/>
        <v>0</v>
      </c>
      <c r="AB35" s="14">
        <f t="shared" si="31"/>
        <v>0</v>
      </c>
      <c r="AC35" s="14">
        <f t="shared" si="31"/>
        <v>0</v>
      </c>
      <c r="AD35" s="14">
        <f t="shared" ref="AD35:AJ38" si="32">+AD60-AD10</f>
        <v>0</v>
      </c>
      <c r="AE35" s="14">
        <f t="shared" si="32"/>
        <v>0</v>
      </c>
      <c r="AF35" s="14">
        <f t="shared" si="32"/>
        <v>0</v>
      </c>
      <c r="AG35" s="14">
        <f t="shared" si="32"/>
        <v>0</v>
      </c>
      <c r="AH35" s="14">
        <f t="shared" si="32"/>
        <v>0</v>
      </c>
      <c r="AI35" s="14">
        <f t="shared" si="32"/>
        <v>0</v>
      </c>
      <c r="AJ35" s="14">
        <f t="shared" si="32"/>
        <v>0</v>
      </c>
    </row>
    <row r="36" spans="1:36" x14ac:dyDescent="0.25">
      <c r="A36" s="11">
        <v>5931</v>
      </c>
      <c r="B36" s="60" t="s">
        <v>1376</v>
      </c>
      <c r="C36" s="14">
        <f>+C61-C11</f>
        <v>32025</v>
      </c>
      <c r="D36" s="14">
        <f t="shared" ref="D36:U36" si="33">+D61-D11</f>
        <v>32807</v>
      </c>
      <c r="E36" s="14">
        <f t="shared" si="33"/>
        <v>33610</v>
      </c>
      <c r="F36" s="14">
        <f t="shared" si="33"/>
        <v>34430</v>
      </c>
      <c r="G36" s="14">
        <f t="shared" si="33"/>
        <v>35272</v>
      </c>
      <c r="H36" s="14">
        <f t="shared" si="33"/>
        <v>36134</v>
      </c>
      <c r="I36" s="14">
        <f t="shared" si="33"/>
        <v>37016</v>
      </c>
      <c r="J36" s="14">
        <f t="shared" si="33"/>
        <v>37921</v>
      </c>
      <c r="K36" s="14">
        <f t="shared" si="33"/>
        <v>38848</v>
      </c>
      <c r="L36" s="14">
        <f t="shared" si="33"/>
        <v>39797</v>
      </c>
      <c r="M36" s="14">
        <f t="shared" si="33"/>
        <v>40769</v>
      </c>
      <c r="N36" s="14">
        <f t="shared" si="33"/>
        <v>41765</v>
      </c>
      <c r="O36" s="14">
        <f t="shared" si="33"/>
        <v>42786</v>
      </c>
      <c r="P36" s="14">
        <f t="shared" si="33"/>
        <v>43832</v>
      </c>
      <c r="Q36" s="14">
        <f t="shared" si="33"/>
        <v>44903</v>
      </c>
      <c r="R36" s="14">
        <f t="shared" si="33"/>
        <v>46000</v>
      </c>
      <c r="S36" s="14">
        <f t="shared" si="33"/>
        <v>47124</v>
      </c>
      <c r="T36" s="14">
        <f t="shared" si="33"/>
        <v>48275</v>
      </c>
      <c r="U36" s="14">
        <f t="shared" si="33"/>
        <v>49455</v>
      </c>
      <c r="V36" s="14">
        <f t="shared" ref="V36:AC36" si="34">+V61-V11</f>
        <v>50663</v>
      </c>
      <c r="W36" s="14">
        <f t="shared" si="34"/>
        <v>51901</v>
      </c>
      <c r="X36" s="14">
        <f t="shared" si="34"/>
        <v>53170</v>
      </c>
      <c r="Y36" s="14">
        <f t="shared" si="34"/>
        <v>0</v>
      </c>
      <c r="Z36" s="14">
        <f t="shared" si="34"/>
        <v>0</v>
      </c>
      <c r="AA36" s="14">
        <f t="shared" si="34"/>
        <v>0</v>
      </c>
      <c r="AB36" s="14">
        <f t="shared" si="34"/>
        <v>0</v>
      </c>
      <c r="AC36" s="14">
        <f t="shared" si="34"/>
        <v>0</v>
      </c>
      <c r="AD36" s="14">
        <f t="shared" si="32"/>
        <v>0</v>
      </c>
      <c r="AE36" s="14">
        <f t="shared" si="32"/>
        <v>0</v>
      </c>
      <c r="AF36" s="14">
        <f t="shared" si="32"/>
        <v>0</v>
      </c>
      <c r="AG36" s="14">
        <f t="shared" si="32"/>
        <v>0</v>
      </c>
      <c r="AH36" s="14">
        <f t="shared" si="32"/>
        <v>0</v>
      </c>
      <c r="AI36" s="14">
        <f t="shared" si="32"/>
        <v>0</v>
      </c>
      <c r="AJ36" s="14">
        <f t="shared" si="32"/>
        <v>0</v>
      </c>
    </row>
    <row r="37" spans="1:36" x14ac:dyDescent="0.25">
      <c r="A37" s="11">
        <v>5932</v>
      </c>
      <c r="B37" s="60" t="s">
        <v>1377</v>
      </c>
      <c r="C37" s="14">
        <f>+C62-C12</f>
        <v>9260</v>
      </c>
      <c r="D37" s="14">
        <f t="shared" ref="D37:U37" si="35">+D62-D12</f>
        <v>9665</v>
      </c>
      <c r="E37" s="14">
        <f t="shared" si="35"/>
        <v>10088</v>
      </c>
      <c r="F37" s="14">
        <f t="shared" si="35"/>
        <v>10530</v>
      </c>
      <c r="G37" s="14">
        <f t="shared" si="35"/>
        <v>12000</v>
      </c>
      <c r="H37" s="14">
        <f t="shared" si="35"/>
        <v>12000</v>
      </c>
      <c r="I37" s="14">
        <f t="shared" si="35"/>
        <v>12000</v>
      </c>
      <c r="J37" s="14">
        <f t="shared" si="35"/>
        <v>15000</v>
      </c>
      <c r="K37" s="14">
        <f t="shared" si="35"/>
        <v>15000</v>
      </c>
      <c r="L37" s="14">
        <f t="shared" si="35"/>
        <v>15000</v>
      </c>
      <c r="M37" s="14">
        <f t="shared" si="35"/>
        <v>15000</v>
      </c>
      <c r="N37" s="14">
        <f t="shared" si="35"/>
        <v>18000</v>
      </c>
      <c r="O37" s="14">
        <f t="shared" si="35"/>
        <v>18000</v>
      </c>
      <c r="P37" s="14">
        <f t="shared" si="35"/>
        <v>18000</v>
      </c>
      <c r="Q37" s="14">
        <f t="shared" si="35"/>
        <v>21000</v>
      </c>
      <c r="R37" s="14">
        <f t="shared" si="35"/>
        <v>21000</v>
      </c>
      <c r="S37" s="14">
        <f t="shared" si="35"/>
        <v>21000</v>
      </c>
      <c r="T37" s="14">
        <f t="shared" si="35"/>
        <v>21000</v>
      </c>
      <c r="U37" s="14">
        <f t="shared" si="35"/>
        <v>21000</v>
      </c>
      <c r="V37" s="14">
        <f t="shared" ref="V37:AC37" si="36">+V62-V12</f>
        <v>21000</v>
      </c>
      <c r="W37" s="14">
        <f t="shared" si="36"/>
        <v>21000</v>
      </c>
      <c r="X37" s="14">
        <f t="shared" si="36"/>
        <v>24000</v>
      </c>
      <c r="Y37" s="14">
        <f t="shared" si="36"/>
        <v>24000</v>
      </c>
      <c r="Z37" s="14">
        <f t="shared" si="36"/>
        <v>24000</v>
      </c>
      <c r="AA37" s="14">
        <f t="shared" si="36"/>
        <v>24000</v>
      </c>
      <c r="AB37" s="14">
        <f t="shared" si="36"/>
        <v>24000</v>
      </c>
      <c r="AC37" s="14">
        <f t="shared" si="36"/>
        <v>27000</v>
      </c>
      <c r="AD37" s="14">
        <f t="shared" si="32"/>
        <v>27000</v>
      </c>
      <c r="AE37" s="14">
        <f t="shared" si="32"/>
        <v>27000</v>
      </c>
      <c r="AF37" s="14">
        <f t="shared" si="32"/>
        <v>0</v>
      </c>
      <c r="AG37" s="14">
        <f t="shared" si="32"/>
        <v>0</v>
      </c>
      <c r="AH37" s="14">
        <f t="shared" si="32"/>
        <v>0</v>
      </c>
      <c r="AI37" s="14">
        <f t="shared" si="32"/>
        <v>0</v>
      </c>
      <c r="AJ37" s="14">
        <f t="shared" si="32"/>
        <v>0</v>
      </c>
    </row>
    <row r="38" spans="1:36" ht="13.8" thickBot="1" x14ac:dyDescent="0.3">
      <c r="A38" s="11">
        <v>5933</v>
      </c>
      <c r="B38" s="60" t="s">
        <v>1378</v>
      </c>
      <c r="C38" s="16">
        <f>+C63-C13</f>
        <v>8487</v>
      </c>
      <c r="D38" s="16">
        <f t="shared" ref="D38:U38" si="37">+D63-D13</f>
        <v>8837</v>
      </c>
      <c r="E38" s="16">
        <f t="shared" si="37"/>
        <v>9202</v>
      </c>
      <c r="F38" s="16">
        <f t="shared" si="37"/>
        <v>9581</v>
      </c>
      <c r="G38" s="16">
        <f t="shared" si="37"/>
        <v>9976</v>
      </c>
      <c r="H38" s="16">
        <f t="shared" si="37"/>
        <v>10388</v>
      </c>
      <c r="I38" s="16">
        <f t="shared" si="37"/>
        <v>10816</v>
      </c>
      <c r="J38" s="16">
        <f t="shared" si="37"/>
        <v>11262</v>
      </c>
      <c r="K38" s="16">
        <f t="shared" si="37"/>
        <v>11727</v>
      </c>
      <c r="L38" s="16">
        <f t="shared" si="37"/>
        <v>12211</v>
      </c>
      <c r="M38" s="16">
        <f t="shared" si="37"/>
        <v>12714</v>
      </c>
      <c r="N38" s="16">
        <f t="shared" si="37"/>
        <v>13238</v>
      </c>
      <c r="O38" s="16">
        <f t="shared" si="37"/>
        <v>13784</v>
      </c>
      <c r="P38" s="16">
        <f t="shared" si="37"/>
        <v>14353</v>
      </c>
      <c r="Q38" s="16">
        <f t="shared" si="37"/>
        <v>14945</v>
      </c>
      <c r="R38" s="16">
        <f t="shared" si="37"/>
        <v>15562</v>
      </c>
      <c r="S38" s="16">
        <f t="shared" si="37"/>
        <v>16204</v>
      </c>
      <c r="T38" s="16">
        <f t="shared" si="37"/>
        <v>16872</v>
      </c>
      <c r="U38" s="16">
        <f t="shared" si="37"/>
        <v>17568</v>
      </c>
      <c r="V38" s="16">
        <f t="shared" ref="V38:AC38" si="38">+V63-V13</f>
        <v>18293</v>
      </c>
      <c r="W38" s="16">
        <f t="shared" si="38"/>
        <v>19048</v>
      </c>
      <c r="X38" s="16">
        <f t="shared" si="38"/>
        <v>19833</v>
      </c>
      <c r="Y38" s="16">
        <f t="shared" si="38"/>
        <v>20651</v>
      </c>
      <c r="Z38" s="16">
        <f t="shared" si="38"/>
        <v>21503</v>
      </c>
      <c r="AA38" s="16">
        <f t="shared" si="38"/>
        <v>22390</v>
      </c>
      <c r="AB38" s="16">
        <f t="shared" si="38"/>
        <v>23314</v>
      </c>
      <c r="AC38" s="16">
        <f t="shared" si="38"/>
        <v>24275</v>
      </c>
      <c r="AD38" s="16">
        <f t="shared" si="32"/>
        <v>25277</v>
      </c>
      <c r="AE38" s="16">
        <f t="shared" si="32"/>
        <v>26319</v>
      </c>
      <c r="AF38" s="16">
        <f t="shared" si="32"/>
        <v>27405</v>
      </c>
      <c r="AG38" s="16">
        <f t="shared" si="32"/>
        <v>28535</v>
      </c>
      <c r="AH38" s="16">
        <f t="shared" si="32"/>
        <v>29528</v>
      </c>
      <c r="AI38" s="16">
        <f t="shared" si="32"/>
        <v>0</v>
      </c>
      <c r="AJ38" s="16">
        <f t="shared" si="32"/>
        <v>0</v>
      </c>
    </row>
    <row r="39" spans="1:36" x14ac:dyDescent="0.25">
      <c r="A39" s="11"/>
      <c r="B39" s="17" t="s">
        <v>1371</v>
      </c>
      <c r="C39" s="19">
        <f>SUM(C34:C38)</f>
        <v>78070</v>
      </c>
      <c r="D39" s="19">
        <f t="shared" ref="D39:U39" si="39">SUM(D34:D38)</f>
        <v>80178</v>
      </c>
      <c r="E39" s="19">
        <f t="shared" si="39"/>
        <v>82352</v>
      </c>
      <c r="F39" s="19">
        <f t="shared" si="39"/>
        <v>84588</v>
      </c>
      <c r="G39" s="19">
        <f t="shared" si="39"/>
        <v>88389</v>
      </c>
      <c r="H39" s="19">
        <f t="shared" si="39"/>
        <v>89796</v>
      </c>
      <c r="I39" s="19">
        <f t="shared" si="39"/>
        <v>91738</v>
      </c>
      <c r="J39" s="19">
        <f t="shared" si="39"/>
        <v>96733</v>
      </c>
      <c r="K39" s="19">
        <f t="shared" si="39"/>
        <v>98783</v>
      </c>
      <c r="L39" s="19">
        <f t="shared" si="39"/>
        <v>100886</v>
      </c>
      <c r="M39" s="19">
        <f t="shared" si="39"/>
        <v>103046</v>
      </c>
      <c r="N39" s="19">
        <f t="shared" si="39"/>
        <v>73003</v>
      </c>
      <c r="O39" s="19">
        <f t="shared" si="39"/>
        <v>74570</v>
      </c>
      <c r="P39" s="19">
        <f t="shared" si="39"/>
        <v>76185</v>
      </c>
      <c r="Q39" s="19">
        <f t="shared" si="39"/>
        <v>80848</v>
      </c>
      <c r="R39" s="19">
        <f t="shared" si="39"/>
        <v>82562</v>
      </c>
      <c r="S39" s="19">
        <f t="shared" si="39"/>
        <v>84328</v>
      </c>
      <c r="T39" s="19">
        <f t="shared" si="39"/>
        <v>86147</v>
      </c>
      <c r="U39" s="19">
        <f t="shared" si="39"/>
        <v>88023</v>
      </c>
      <c r="V39" s="19">
        <f t="shared" ref="V39:AJ39" si="40">SUM(V34:V38)</f>
        <v>89956</v>
      </c>
      <c r="W39" s="19">
        <f t="shared" si="40"/>
        <v>91949</v>
      </c>
      <c r="X39" s="19">
        <f t="shared" si="40"/>
        <v>97003</v>
      </c>
      <c r="Y39" s="19">
        <f t="shared" si="40"/>
        <v>44651</v>
      </c>
      <c r="Z39" s="19">
        <f t="shared" si="40"/>
        <v>45503</v>
      </c>
      <c r="AA39" s="19">
        <f t="shared" si="40"/>
        <v>46390</v>
      </c>
      <c r="AB39" s="19">
        <f t="shared" si="40"/>
        <v>47314</v>
      </c>
      <c r="AC39" s="19">
        <f t="shared" si="40"/>
        <v>51275</v>
      </c>
      <c r="AD39" s="19">
        <f t="shared" si="40"/>
        <v>52277</v>
      </c>
      <c r="AE39" s="19">
        <f t="shared" si="40"/>
        <v>53319</v>
      </c>
      <c r="AF39" s="19">
        <f t="shared" si="40"/>
        <v>27405</v>
      </c>
      <c r="AG39" s="19">
        <f t="shared" si="40"/>
        <v>28535</v>
      </c>
      <c r="AH39" s="19">
        <f t="shared" si="40"/>
        <v>29528</v>
      </c>
      <c r="AI39" s="19">
        <f t="shared" si="40"/>
        <v>0</v>
      </c>
      <c r="AJ39" s="19">
        <f t="shared" si="40"/>
        <v>0</v>
      </c>
    </row>
    <row r="40" spans="1:36" x14ac:dyDescent="0.25">
      <c r="A40" s="11"/>
      <c r="B40" s="12"/>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row>
    <row r="41" spans="1:36" x14ac:dyDescent="0.25">
      <c r="A41" s="11">
        <v>751</v>
      </c>
      <c r="B41" s="12" t="s">
        <v>1394</v>
      </c>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row>
    <row r="42" spans="1:36" x14ac:dyDescent="0.25">
      <c r="A42" s="11">
        <v>5930</v>
      </c>
      <c r="B42" s="60" t="s">
        <v>1375</v>
      </c>
      <c r="C42" s="14">
        <f t="shared" ref="C42:C47" si="41">+C67-C17</f>
        <v>6611</v>
      </c>
      <c r="D42" s="14">
        <f t="shared" ref="D42:U42" si="42">+D67-D17</f>
        <v>6400</v>
      </c>
      <c r="E42" s="14">
        <f t="shared" si="42"/>
        <v>5456</v>
      </c>
      <c r="F42" s="14">
        <f t="shared" si="42"/>
        <v>4861</v>
      </c>
      <c r="G42" s="14">
        <f t="shared" si="42"/>
        <v>4255</v>
      </c>
      <c r="H42" s="14">
        <f t="shared" si="42"/>
        <v>3635</v>
      </c>
      <c r="I42" s="14">
        <f t="shared" si="42"/>
        <v>3004</v>
      </c>
      <c r="J42" s="14">
        <f t="shared" si="42"/>
        <v>2359</v>
      </c>
      <c r="K42" s="14">
        <f t="shared" si="42"/>
        <v>1701</v>
      </c>
      <c r="L42" s="14">
        <f t="shared" si="42"/>
        <v>1030</v>
      </c>
      <c r="M42" s="14">
        <f t="shared" si="42"/>
        <v>346</v>
      </c>
      <c r="N42" s="14">
        <f t="shared" si="42"/>
        <v>0</v>
      </c>
      <c r="O42" s="14">
        <f t="shared" si="42"/>
        <v>0</v>
      </c>
      <c r="P42" s="14">
        <f t="shared" si="42"/>
        <v>0</v>
      </c>
      <c r="Q42" s="14">
        <f t="shared" si="42"/>
        <v>0</v>
      </c>
      <c r="R42" s="14">
        <f t="shared" si="42"/>
        <v>0</v>
      </c>
      <c r="S42" s="14">
        <f t="shared" si="42"/>
        <v>0</v>
      </c>
      <c r="T42" s="14">
        <f t="shared" si="42"/>
        <v>0</v>
      </c>
      <c r="U42" s="14">
        <f t="shared" si="42"/>
        <v>0</v>
      </c>
      <c r="V42" s="14">
        <f t="shared" ref="V42:AC42" si="43">+V67-V17</f>
        <v>0</v>
      </c>
      <c r="W42" s="14">
        <f t="shared" si="43"/>
        <v>0</v>
      </c>
      <c r="X42" s="14">
        <f t="shared" si="43"/>
        <v>0</v>
      </c>
      <c r="Y42" s="14">
        <f t="shared" si="43"/>
        <v>0</v>
      </c>
      <c r="Z42" s="14">
        <f t="shared" si="43"/>
        <v>0</v>
      </c>
      <c r="AA42" s="14">
        <f t="shared" si="43"/>
        <v>0</v>
      </c>
      <c r="AB42" s="14">
        <f t="shared" si="43"/>
        <v>0</v>
      </c>
      <c r="AC42" s="14">
        <f t="shared" si="43"/>
        <v>0</v>
      </c>
      <c r="AD42" s="14">
        <f t="shared" ref="AD42:AJ47" si="44">+AD67-AD17</f>
        <v>0</v>
      </c>
      <c r="AE42" s="14">
        <f t="shared" si="44"/>
        <v>0</v>
      </c>
      <c r="AF42" s="14">
        <f t="shared" si="44"/>
        <v>0</v>
      </c>
      <c r="AG42" s="14">
        <f t="shared" si="44"/>
        <v>0</v>
      </c>
      <c r="AH42" s="14">
        <f t="shared" si="44"/>
        <v>0</v>
      </c>
      <c r="AI42" s="14">
        <f t="shared" si="44"/>
        <v>0</v>
      </c>
      <c r="AJ42" s="14">
        <f t="shared" si="44"/>
        <v>0</v>
      </c>
    </row>
    <row r="43" spans="1:36" x14ac:dyDescent="0.25">
      <c r="A43" s="11" t="s">
        <v>1396</v>
      </c>
      <c r="B43" s="60" t="s">
        <v>1397</v>
      </c>
      <c r="C43" s="14">
        <f t="shared" si="41"/>
        <v>490</v>
      </c>
      <c r="D43" s="14">
        <f t="shared" ref="D43:U43" si="45">+D68-D18</f>
        <v>453</v>
      </c>
      <c r="E43" s="14">
        <f t="shared" si="45"/>
        <v>410</v>
      </c>
      <c r="F43" s="14">
        <f t="shared" si="45"/>
        <v>365</v>
      </c>
      <c r="G43" s="14">
        <f t="shared" si="45"/>
        <v>319</v>
      </c>
      <c r="H43" s="14">
        <f t="shared" si="45"/>
        <v>273</v>
      </c>
      <c r="I43" s="14">
        <f t="shared" si="45"/>
        <v>226</v>
      </c>
      <c r="J43" s="14">
        <f t="shared" si="45"/>
        <v>177</v>
      </c>
      <c r="K43" s="14">
        <f t="shared" si="45"/>
        <v>128</v>
      </c>
      <c r="L43" s="14">
        <f t="shared" si="45"/>
        <v>77</v>
      </c>
      <c r="M43" s="14">
        <f t="shared" si="45"/>
        <v>266</v>
      </c>
      <c r="N43" s="14">
        <f t="shared" si="45"/>
        <v>0</v>
      </c>
      <c r="O43" s="14">
        <f t="shared" si="45"/>
        <v>0</v>
      </c>
      <c r="P43" s="14">
        <f t="shared" si="45"/>
        <v>0</v>
      </c>
      <c r="Q43" s="14">
        <f t="shared" si="45"/>
        <v>0</v>
      </c>
      <c r="R43" s="14">
        <f t="shared" si="45"/>
        <v>0</v>
      </c>
      <c r="S43" s="14">
        <f t="shared" si="45"/>
        <v>0</v>
      </c>
      <c r="T43" s="14">
        <f t="shared" si="45"/>
        <v>0</v>
      </c>
      <c r="U43" s="14">
        <f t="shared" si="45"/>
        <v>0</v>
      </c>
      <c r="V43" s="14">
        <f t="shared" ref="V43:AC43" si="46">+V68-V18</f>
        <v>0</v>
      </c>
      <c r="W43" s="14">
        <f t="shared" si="46"/>
        <v>0</v>
      </c>
      <c r="X43" s="14">
        <f t="shared" si="46"/>
        <v>0</v>
      </c>
      <c r="Y43" s="14">
        <f t="shared" si="46"/>
        <v>0</v>
      </c>
      <c r="Z43" s="14">
        <f t="shared" si="46"/>
        <v>0</v>
      </c>
      <c r="AA43" s="14">
        <f t="shared" si="46"/>
        <v>0</v>
      </c>
      <c r="AB43" s="14">
        <f t="shared" si="46"/>
        <v>0</v>
      </c>
      <c r="AC43" s="14">
        <f t="shared" si="46"/>
        <v>0</v>
      </c>
      <c r="AD43" s="14">
        <f t="shared" si="44"/>
        <v>0</v>
      </c>
      <c r="AE43" s="14">
        <f t="shared" si="44"/>
        <v>0</v>
      </c>
      <c r="AF43" s="14">
        <f t="shared" si="44"/>
        <v>0</v>
      </c>
      <c r="AG43" s="14">
        <f t="shared" si="44"/>
        <v>0</v>
      </c>
      <c r="AH43" s="14">
        <f t="shared" si="44"/>
        <v>0</v>
      </c>
      <c r="AI43" s="14">
        <f t="shared" si="44"/>
        <v>0</v>
      </c>
      <c r="AJ43" s="14">
        <f t="shared" si="44"/>
        <v>0</v>
      </c>
    </row>
    <row r="44" spans="1:36" x14ac:dyDescent="0.25">
      <c r="A44" s="11">
        <v>5931</v>
      </c>
      <c r="B44" s="60" t="s">
        <v>1376</v>
      </c>
      <c r="C44" s="14">
        <f t="shared" si="41"/>
        <v>21787</v>
      </c>
      <c r="D44" s="14">
        <f t="shared" ref="D44:U44" si="47">+D69-D19</f>
        <v>21081</v>
      </c>
      <c r="E44" s="14">
        <f t="shared" si="47"/>
        <v>20202</v>
      </c>
      <c r="F44" s="14">
        <f t="shared" si="47"/>
        <v>19381</v>
      </c>
      <c r="G44" s="14">
        <f t="shared" si="47"/>
        <v>18540</v>
      </c>
      <c r="H44" s="14">
        <f t="shared" si="47"/>
        <v>17678</v>
      </c>
      <c r="I44" s="14">
        <f t="shared" si="47"/>
        <v>16795</v>
      </c>
      <c r="J44" s="14">
        <f t="shared" si="47"/>
        <v>15890</v>
      </c>
      <c r="K44" s="14">
        <f t="shared" si="47"/>
        <v>14964</v>
      </c>
      <c r="L44" s="14">
        <f t="shared" si="47"/>
        <v>14015</v>
      </c>
      <c r="M44" s="14">
        <f t="shared" si="47"/>
        <v>13042</v>
      </c>
      <c r="N44" s="14">
        <f t="shared" si="47"/>
        <v>12046.119999999999</v>
      </c>
      <c r="O44" s="14">
        <f t="shared" si="47"/>
        <v>11026</v>
      </c>
      <c r="P44" s="14">
        <f t="shared" si="47"/>
        <v>9980</v>
      </c>
      <c r="Q44" s="14">
        <f t="shared" si="47"/>
        <v>8909</v>
      </c>
      <c r="R44" s="14">
        <f t="shared" si="47"/>
        <v>7812</v>
      </c>
      <c r="S44" s="14">
        <f t="shared" si="47"/>
        <v>6688</v>
      </c>
      <c r="T44" s="14">
        <f t="shared" si="47"/>
        <v>5536</v>
      </c>
      <c r="U44" s="14">
        <f t="shared" si="47"/>
        <v>4357</v>
      </c>
      <c r="V44" s="14">
        <f t="shared" ref="V44:AC44" si="48">+V69-V19</f>
        <v>3148</v>
      </c>
      <c r="W44" s="14">
        <f t="shared" si="48"/>
        <v>1910</v>
      </c>
      <c r="X44" s="14">
        <f t="shared" si="48"/>
        <v>642</v>
      </c>
      <c r="Y44" s="14">
        <f t="shared" si="48"/>
        <v>0</v>
      </c>
      <c r="Z44" s="14">
        <f t="shared" si="48"/>
        <v>0</v>
      </c>
      <c r="AA44" s="14">
        <f t="shared" si="48"/>
        <v>0</v>
      </c>
      <c r="AB44" s="14">
        <f t="shared" si="48"/>
        <v>0</v>
      </c>
      <c r="AC44" s="14">
        <f t="shared" si="48"/>
        <v>0</v>
      </c>
      <c r="AD44" s="14">
        <f t="shared" si="44"/>
        <v>0</v>
      </c>
      <c r="AE44" s="14">
        <f t="shared" si="44"/>
        <v>0</v>
      </c>
      <c r="AF44" s="14">
        <f t="shared" si="44"/>
        <v>0</v>
      </c>
      <c r="AG44" s="14">
        <f t="shared" si="44"/>
        <v>0</v>
      </c>
      <c r="AH44" s="14">
        <f t="shared" si="44"/>
        <v>0</v>
      </c>
      <c r="AI44" s="14">
        <f t="shared" si="44"/>
        <v>0</v>
      </c>
      <c r="AJ44" s="14">
        <f t="shared" si="44"/>
        <v>0</v>
      </c>
    </row>
    <row r="45" spans="1:36" x14ac:dyDescent="0.25">
      <c r="A45" s="11" t="s">
        <v>1398</v>
      </c>
      <c r="B45" s="60" t="s">
        <v>1399</v>
      </c>
      <c r="C45" s="14">
        <f t="shared" si="41"/>
        <v>1354</v>
      </c>
      <c r="D45" s="14">
        <f t="shared" ref="D45:U45" si="49">+D70-D20</f>
        <v>1306</v>
      </c>
      <c r="E45" s="14">
        <f t="shared" si="49"/>
        <v>1256</v>
      </c>
      <c r="F45" s="14">
        <f t="shared" si="49"/>
        <v>1205</v>
      </c>
      <c r="G45" s="14">
        <f t="shared" si="49"/>
        <v>1152</v>
      </c>
      <c r="H45" s="14">
        <f t="shared" si="49"/>
        <v>1099</v>
      </c>
      <c r="I45" s="14">
        <f t="shared" si="49"/>
        <v>1044</v>
      </c>
      <c r="J45" s="14">
        <f t="shared" si="49"/>
        <v>988</v>
      </c>
      <c r="K45" s="14">
        <f t="shared" si="49"/>
        <v>870</v>
      </c>
      <c r="L45" s="14">
        <f t="shared" si="49"/>
        <v>871</v>
      </c>
      <c r="M45" s="14">
        <f t="shared" si="49"/>
        <v>811</v>
      </c>
      <c r="N45" s="14">
        <f t="shared" si="49"/>
        <v>749</v>
      </c>
      <c r="O45" s="14">
        <f t="shared" si="49"/>
        <v>685</v>
      </c>
      <c r="P45" s="14">
        <f t="shared" si="49"/>
        <v>620</v>
      </c>
      <c r="Q45" s="14">
        <f t="shared" si="49"/>
        <v>554</v>
      </c>
      <c r="R45" s="14">
        <f t="shared" si="49"/>
        <v>485</v>
      </c>
      <c r="S45" s="14">
        <f t="shared" si="49"/>
        <v>416</v>
      </c>
      <c r="T45" s="14">
        <f t="shared" si="49"/>
        <v>344</v>
      </c>
      <c r="U45" s="14">
        <f t="shared" si="49"/>
        <v>271</v>
      </c>
      <c r="V45" s="14">
        <f t="shared" ref="V45:AC45" si="50">+V70-V20</f>
        <v>196</v>
      </c>
      <c r="W45" s="14">
        <f t="shared" si="50"/>
        <v>119</v>
      </c>
      <c r="X45" s="14">
        <f t="shared" si="50"/>
        <v>40</v>
      </c>
      <c r="Y45" s="14">
        <f t="shared" si="50"/>
        <v>0</v>
      </c>
      <c r="Z45" s="14">
        <f t="shared" si="50"/>
        <v>0</v>
      </c>
      <c r="AA45" s="14">
        <f t="shared" si="50"/>
        <v>0</v>
      </c>
      <c r="AB45" s="14">
        <f t="shared" si="50"/>
        <v>0</v>
      </c>
      <c r="AC45" s="14">
        <f t="shared" si="50"/>
        <v>0</v>
      </c>
      <c r="AD45" s="14">
        <f t="shared" si="44"/>
        <v>0</v>
      </c>
      <c r="AE45" s="14">
        <f t="shared" si="44"/>
        <v>0</v>
      </c>
      <c r="AF45" s="14">
        <f t="shared" si="44"/>
        <v>0</v>
      </c>
      <c r="AG45" s="14">
        <f t="shared" si="44"/>
        <v>0</v>
      </c>
      <c r="AH45" s="14">
        <f t="shared" si="44"/>
        <v>0</v>
      </c>
      <c r="AI45" s="14">
        <f t="shared" si="44"/>
        <v>0</v>
      </c>
      <c r="AJ45" s="14">
        <f t="shared" si="44"/>
        <v>0</v>
      </c>
    </row>
    <row r="46" spans="1:36" x14ac:dyDescent="0.25">
      <c r="A46" s="11">
        <v>5932</v>
      </c>
      <c r="B46" s="60" t="s">
        <v>1377</v>
      </c>
      <c r="C46" s="14">
        <f t="shared" si="41"/>
        <v>24194</v>
      </c>
      <c r="D46" s="14">
        <f t="shared" ref="D46:U46" si="51">+D71-D21</f>
        <v>23789</v>
      </c>
      <c r="E46" s="14">
        <f t="shared" si="51"/>
        <v>23366</v>
      </c>
      <c r="F46" s="14">
        <f t="shared" si="51"/>
        <v>22925</v>
      </c>
      <c r="G46" s="14">
        <f t="shared" si="51"/>
        <v>16148</v>
      </c>
      <c r="H46" s="14">
        <f t="shared" si="51"/>
        <v>15154</v>
      </c>
      <c r="I46" s="14">
        <f t="shared" si="51"/>
        <v>14554</v>
      </c>
      <c r="J46" s="14">
        <f t="shared" si="51"/>
        <v>13954</v>
      </c>
      <c r="K46" s="14">
        <f t="shared" si="51"/>
        <v>13204</v>
      </c>
      <c r="L46" s="14">
        <f t="shared" si="51"/>
        <v>12454</v>
      </c>
      <c r="M46" s="14">
        <f t="shared" si="51"/>
        <v>11704</v>
      </c>
      <c r="N46" s="14">
        <f t="shared" si="51"/>
        <v>10954</v>
      </c>
      <c r="O46" s="14">
        <f t="shared" si="51"/>
        <v>10054</v>
      </c>
      <c r="P46" s="14">
        <f t="shared" si="51"/>
        <v>9154</v>
      </c>
      <c r="Q46" s="14">
        <f t="shared" si="51"/>
        <v>8254</v>
      </c>
      <c r="R46" s="14">
        <f t="shared" si="51"/>
        <v>7834</v>
      </c>
      <c r="S46" s="14">
        <f t="shared" si="51"/>
        <v>7414</v>
      </c>
      <c r="T46" s="14">
        <f t="shared" si="51"/>
        <v>6994</v>
      </c>
      <c r="U46" s="14">
        <f t="shared" si="51"/>
        <v>6548</v>
      </c>
      <c r="V46" s="14">
        <f t="shared" ref="V46:AC46" si="52">+V71-V21</f>
        <v>6101</v>
      </c>
      <c r="W46" s="14">
        <f t="shared" si="52"/>
        <v>5629</v>
      </c>
      <c r="X46" s="14">
        <f t="shared" si="52"/>
        <v>5130</v>
      </c>
      <c r="Y46" s="14">
        <f t="shared" si="52"/>
        <v>4560</v>
      </c>
      <c r="Z46" s="14">
        <f t="shared" si="52"/>
        <v>3990</v>
      </c>
      <c r="AA46" s="14">
        <f t="shared" si="52"/>
        <v>3390</v>
      </c>
      <c r="AB46" s="14">
        <f t="shared" si="52"/>
        <v>2790</v>
      </c>
      <c r="AC46" s="14">
        <f t="shared" si="52"/>
        <v>2160</v>
      </c>
      <c r="AD46" s="14">
        <f t="shared" si="44"/>
        <v>1451</v>
      </c>
      <c r="AE46" s="14">
        <f t="shared" si="44"/>
        <v>743</v>
      </c>
      <c r="AF46" s="14">
        <f t="shared" si="44"/>
        <v>0</v>
      </c>
      <c r="AG46" s="14">
        <f t="shared" si="44"/>
        <v>0</v>
      </c>
      <c r="AH46" s="14">
        <f t="shared" si="44"/>
        <v>0</v>
      </c>
      <c r="AI46" s="14">
        <f t="shared" si="44"/>
        <v>0</v>
      </c>
      <c r="AJ46" s="14">
        <f t="shared" si="44"/>
        <v>0</v>
      </c>
    </row>
    <row r="47" spans="1:36" ht="13.8" thickBot="1" x14ac:dyDescent="0.3">
      <c r="A47" s="11">
        <v>5933</v>
      </c>
      <c r="B47" s="60" t="s">
        <v>1378</v>
      </c>
      <c r="C47" s="16">
        <f t="shared" si="41"/>
        <v>22444</v>
      </c>
      <c r="D47" s="16">
        <f t="shared" ref="D47:U47" si="53">+D72-D22</f>
        <v>22094</v>
      </c>
      <c r="E47" s="16">
        <f t="shared" si="53"/>
        <v>21729</v>
      </c>
      <c r="F47" s="16">
        <f t="shared" si="53"/>
        <v>21350</v>
      </c>
      <c r="G47" s="16">
        <f t="shared" si="53"/>
        <v>20954</v>
      </c>
      <c r="H47" s="16">
        <f t="shared" si="53"/>
        <v>20543</v>
      </c>
      <c r="I47" s="16">
        <f t="shared" si="53"/>
        <v>20114</v>
      </c>
      <c r="J47" s="16">
        <f t="shared" si="53"/>
        <v>19669</v>
      </c>
      <c r="K47" s="16">
        <f t="shared" si="53"/>
        <v>19204</v>
      </c>
      <c r="L47" s="16">
        <f t="shared" si="53"/>
        <v>18720</v>
      </c>
      <c r="M47" s="16">
        <f t="shared" si="53"/>
        <v>18217</v>
      </c>
      <c r="N47" s="16">
        <f t="shared" si="53"/>
        <v>17692</v>
      </c>
      <c r="O47" s="16">
        <f t="shared" si="53"/>
        <v>17146</v>
      </c>
      <c r="P47" s="16">
        <f t="shared" si="53"/>
        <v>16577</v>
      </c>
      <c r="Q47" s="16">
        <f t="shared" si="53"/>
        <v>15985</v>
      </c>
      <c r="R47" s="16">
        <f t="shared" si="53"/>
        <v>15369</v>
      </c>
      <c r="S47" s="16">
        <f t="shared" si="53"/>
        <v>14727</v>
      </c>
      <c r="T47" s="16">
        <f t="shared" si="53"/>
        <v>14059</v>
      </c>
      <c r="U47" s="16">
        <f t="shared" si="53"/>
        <v>13363</v>
      </c>
      <c r="V47" s="16">
        <f t="shared" ref="V47:AC47" si="54">+V72-V22</f>
        <v>12638</v>
      </c>
      <c r="W47" s="16">
        <f t="shared" si="54"/>
        <v>11883</v>
      </c>
      <c r="X47" s="16">
        <f t="shared" si="54"/>
        <v>11098</v>
      </c>
      <c r="Y47" s="16">
        <f t="shared" si="54"/>
        <v>10280</v>
      </c>
      <c r="Z47" s="16">
        <f t="shared" si="54"/>
        <v>9428</v>
      </c>
      <c r="AA47" s="16">
        <f t="shared" si="54"/>
        <v>8540</v>
      </c>
      <c r="AB47" s="16">
        <f t="shared" si="54"/>
        <v>7617</v>
      </c>
      <c r="AC47" s="16">
        <f t="shared" si="54"/>
        <v>6655</v>
      </c>
      <c r="AD47" s="16">
        <f t="shared" si="44"/>
        <v>5654</v>
      </c>
      <c r="AE47" s="16">
        <f t="shared" si="44"/>
        <v>4612</v>
      </c>
      <c r="AF47" s="16">
        <f t="shared" si="44"/>
        <v>1726</v>
      </c>
      <c r="AG47" s="16">
        <f t="shared" si="44"/>
        <v>2395</v>
      </c>
      <c r="AH47" s="16">
        <f t="shared" si="44"/>
        <v>1218</v>
      </c>
      <c r="AI47" s="16">
        <f t="shared" si="44"/>
        <v>0</v>
      </c>
      <c r="AJ47" s="16">
        <f t="shared" si="44"/>
        <v>0</v>
      </c>
    </row>
    <row r="48" spans="1:36" x14ac:dyDescent="0.25">
      <c r="A48" s="11"/>
      <c r="B48" s="12"/>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row>
    <row r="49" spans="1:36" x14ac:dyDescent="0.25">
      <c r="A49" s="11"/>
      <c r="B49" s="17" t="s">
        <v>1394</v>
      </c>
      <c r="C49" s="19">
        <f>SUM(C41:C48)</f>
        <v>76880</v>
      </c>
      <c r="D49" s="19">
        <f t="shared" ref="D49:U49" si="55">SUM(D41:D48)</f>
        <v>75123</v>
      </c>
      <c r="E49" s="19">
        <f t="shared" si="55"/>
        <v>72419</v>
      </c>
      <c r="F49" s="19">
        <f t="shared" si="55"/>
        <v>70087</v>
      </c>
      <c r="G49" s="19">
        <f t="shared" si="55"/>
        <v>61368</v>
      </c>
      <c r="H49" s="19">
        <f t="shared" si="55"/>
        <v>58382</v>
      </c>
      <c r="I49" s="19">
        <f t="shared" si="55"/>
        <v>55737</v>
      </c>
      <c r="J49" s="19">
        <f t="shared" si="55"/>
        <v>53037</v>
      </c>
      <c r="K49" s="19">
        <f t="shared" si="55"/>
        <v>50071</v>
      </c>
      <c r="L49" s="19">
        <f t="shared" si="55"/>
        <v>47167</v>
      </c>
      <c r="M49" s="19">
        <f t="shared" si="55"/>
        <v>44386</v>
      </c>
      <c r="N49" s="19">
        <f t="shared" si="55"/>
        <v>41441.119999999995</v>
      </c>
      <c r="O49" s="19">
        <f t="shared" si="55"/>
        <v>38911</v>
      </c>
      <c r="P49" s="19">
        <f t="shared" si="55"/>
        <v>36331</v>
      </c>
      <c r="Q49" s="19">
        <f t="shared" si="55"/>
        <v>33702</v>
      </c>
      <c r="R49" s="19">
        <f t="shared" si="55"/>
        <v>31500</v>
      </c>
      <c r="S49" s="19">
        <f t="shared" si="55"/>
        <v>29245</v>
      </c>
      <c r="T49" s="19">
        <f t="shared" si="55"/>
        <v>26933</v>
      </c>
      <c r="U49" s="19">
        <f t="shared" si="55"/>
        <v>24539</v>
      </c>
      <c r="V49" s="19">
        <f t="shared" ref="V49:AJ49" si="56">SUM(V41:V48)</f>
        <v>22083</v>
      </c>
      <c r="W49" s="19">
        <f t="shared" si="56"/>
        <v>19541</v>
      </c>
      <c r="X49" s="19">
        <f t="shared" si="56"/>
        <v>16910</v>
      </c>
      <c r="Y49" s="19">
        <f t="shared" si="56"/>
        <v>14840</v>
      </c>
      <c r="Z49" s="19">
        <f t="shared" si="56"/>
        <v>13418</v>
      </c>
      <c r="AA49" s="19">
        <f t="shared" si="56"/>
        <v>11930</v>
      </c>
      <c r="AB49" s="19">
        <f t="shared" si="56"/>
        <v>10407</v>
      </c>
      <c r="AC49" s="19">
        <f t="shared" si="56"/>
        <v>8815</v>
      </c>
      <c r="AD49" s="19">
        <f t="shared" si="56"/>
        <v>7105</v>
      </c>
      <c r="AE49" s="19">
        <f t="shared" si="56"/>
        <v>5355</v>
      </c>
      <c r="AF49" s="19">
        <f t="shared" si="56"/>
        <v>1726</v>
      </c>
      <c r="AG49" s="19">
        <f t="shared" si="56"/>
        <v>2395</v>
      </c>
      <c r="AH49" s="19">
        <f t="shared" si="56"/>
        <v>1218</v>
      </c>
      <c r="AI49" s="19">
        <f t="shared" si="56"/>
        <v>0</v>
      </c>
      <c r="AJ49" s="19">
        <f t="shared" si="56"/>
        <v>0</v>
      </c>
    </row>
    <row r="50" spans="1:36" x14ac:dyDescent="0.25">
      <c r="A50" s="11"/>
      <c r="B50" s="12"/>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row>
    <row r="51" spans="1:36" x14ac:dyDescent="0.25">
      <c r="A51" s="11"/>
      <c r="B51" s="12" t="s">
        <v>1741</v>
      </c>
      <c r="C51" s="14">
        <f>+C49+C39</f>
        <v>154950</v>
      </c>
      <c r="D51" s="14">
        <f t="shared" ref="D51:U51" si="57">+D49+D39</f>
        <v>155301</v>
      </c>
      <c r="E51" s="14">
        <f t="shared" si="57"/>
        <v>154771</v>
      </c>
      <c r="F51" s="14">
        <f t="shared" si="57"/>
        <v>154675</v>
      </c>
      <c r="G51" s="14">
        <f t="shared" si="57"/>
        <v>149757</v>
      </c>
      <c r="H51" s="14">
        <f t="shared" si="57"/>
        <v>148178</v>
      </c>
      <c r="I51" s="14">
        <f t="shared" si="57"/>
        <v>147475</v>
      </c>
      <c r="J51" s="14">
        <f t="shared" si="57"/>
        <v>149770</v>
      </c>
      <c r="K51" s="14">
        <f t="shared" si="57"/>
        <v>148854</v>
      </c>
      <c r="L51" s="14">
        <f t="shared" si="57"/>
        <v>148053</v>
      </c>
      <c r="M51" s="14">
        <f t="shared" si="57"/>
        <v>147432</v>
      </c>
      <c r="N51" s="14">
        <f t="shared" si="57"/>
        <v>114444.12</v>
      </c>
      <c r="O51" s="14">
        <f t="shared" si="57"/>
        <v>113481</v>
      </c>
      <c r="P51" s="14">
        <f t="shared" si="57"/>
        <v>112516</v>
      </c>
      <c r="Q51" s="14">
        <f t="shared" si="57"/>
        <v>114550</v>
      </c>
      <c r="R51" s="14">
        <f t="shared" si="57"/>
        <v>114062</v>
      </c>
      <c r="S51" s="14">
        <f t="shared" si="57"/>
        <v>113573</v>
      </c>
      <c r="T51" s="14">
        <f t="shared" si="57"/>
        <v>113080</v>
      </c>
      <c r="U51" s="14">
        <f t="shared" si="57"/>
        <v>112562</v>
      </c>
      <c r="V51" s="14">
        <f t="shared" ref="V51:AC51" si="58">+V49+V39</f>
        <v>112039</v>
      </c>
      <c r="W51" s="14">
        <f t="shared" si="58"/>
        <v>111490</v>
      </c>
      <c r="X51" s="14">
        <f t="shared" si="58"/>
        <v>113913</v>
      </c>
      <c r="Y51" s="14">
        <f t="shared" si="58"/>
        <v>59491</v>
      </c>
      <c r="Z51" s="14">
        <f t="shared" si="58"/>
        <v>58921</v>
      </c>
      <c r="AA51" s="14">
        <f t="shared" si="58"/>
        <v>58320</v>
      </c>
      <c r="AB51" s="14">
        <f t="shared" si="58"/>
        <v>57721</v>
      </c>
      <c r="AC51" s="14">
        <f t="shared" si="58"/>
        <v>60090</v>
      </c>
      <c r="AD51" s="14">
        <f t="shared" ref="AD51:AJ51" si="59">+AD49+AD39</f>
        <v>59382</v>
      </c>
      <c r="AE51" s="14">
        <f t="shared" si="59"/>
        <v>58674</v>
      </c>
      <c r="AF51" s="14">
        <f t="shared" si="59"/>
        <v>29131</v>
      </c>
      <c r="AG51" s="14">
        <f t="shared" si="59"/>
        <v>30930</v>
      </c>
      <c r="AH51" s="14">
        <f t="shared" si="59"/>
        <v>30746</v>
      </c>
      <c r="AI51" s="14">
        <f t="shared" si="59"/>
        <v>0</v>
      </c>
      <c r="AJ51" s="14">
        <f t="shared" si="59"/>
        <v>0</v>
      </c>
    </row>
    <row r="52" spans="1:36" x14ac:dyDescent="0.25">
      <c r="A52" s="4"/>
      <c r="B52" s="4"/>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row>
    <row r="53" spans="1:36" ht="13.8" thickBot="1" x14ac:dyDescent="0.3"/>
    <row r="54" spans="1:36" ht="13.8" thickTop="1" x14ac:dyDescent="0.25">
      <c r="A54" s="5"/>
      <c r="B54" s="6"/>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row>
    <row r="55" spans="1:36" x14ac:dyDescent="0.25">
      <c r="A55" s="81"/>
      <c r="B55" s="74" t="s">
        <v>1742</v>
      </c>
      <c r="C55" s="45" t="s">
        <v>465</v>
      </c>
      <c r="D55" s="45" t="s">
        <v>466</v>
      </c>
      <c r="E55" s="45" t="s">
        <v>467</v>
      </c>
      <c r="F55" s="45" t="s">
        <v>468</v>
      </c>
      <c r="G55" s="45" t="s">
        <v>251</v>
      </c>
      <c r="H55" s="45" t="s">
        <v>252</v>
      </c>
      <c r="I55" s="45" t="s">
        <v>253</v>
      </c>
      <c r="J55" s="45" t="s">
        <v>469</v>
      </c>
      <c r="K55" s="45" t="s">
        <v>1345</v>
      </c>
      <c r="L55" s="45" t="s">
        <v>1346</v>
      </c>
      <c r="M55" s="45" t="s">
        <v>1347</v>
      </c>
      <c r="N55" s="45" t="s">
        <v>1348</v>
      </c>
      <c r="O55" s="45" t="s">
        <v>1349</v>
      </c>
      <c r="P55" s="45" t="s">
        <v>1350</v>
      </c>
      <c r="Q55" s="45" t="s">
        <v>1351</v>
      </c>
      <c r="R55" s="45" t="s">
        <v>1352</v>
      </c>
      <c r="S55" s="45" t="s">
        <v>1353</v>
      </c>
      <c r="T55" s="45" t="s">
        <v>1354</v>
      </c>
      <c r="U55" s="45" t="s">
        <v>1355</v>
      </c>
      <c r="V55" s="45" t="s">
        <v>1356</v>
      </c>
      <c r="W55" s="45" t="s">
        <v>1357</v>
      </c>
      <c r="X55" s="45" t="s">
        <v>1358</v>
      </c>
      <c r="Y55" s="45" t="s">
        <v>1359</v>
      </c>
      <c r="Z55" s="45" t="s">
        <v>1360</v>
      </c>
      <c r="AA55" s="45" t="s">
        <v>1361</v>
      </c>
      <c r="AB55" s="45" t="s">
        <v>1362</v>
      </c>
      <c r="AC55" s="45" t="s">
        <v>1363</v>
      </c>
      <c r="AD55" s="45" t="s">
        <v>1364</v>
      </c>
      <c r="AE55" s="45" t="s">
        <v>1365</v>
      </c>
      <c r="AF55" s="45" t="s">
        <v>1366</v>
      </c>
      <c r="AG55" s="45" t="s">
        <v>1367</v>
      </c>
      <c r="AH55" s="45" t="s">
        <v>1368</v>
      </c>
      <c r="AI55" s="45" t="s">
        <v>1369</v>
      </c>
      <c r="AJ55" s="45" t="s">
        <v>1370</v>
      </c>
    </row>
    <row r="56" spans="1:36" x14ac:dyDescent="0.25">
      <c r="A56" s="81"/>
      <c r="B56" s="74"/>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row>
    <row r="57" spans="1:36" ht="13.8" thickBot="1" x14ac:dyDescent="0.3">
      <c r="A57" s="8" t="s">
        <v>715</v>
      </c>
      <c r="B57" s="78"/>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row>
    <row r="58" spans="1:36" ht="13.8" thickTop="1" x14ac:dyDescent="0.25">
      <c r="A58" s="26"/>
      <c r="B58" s="27"/>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row>
    <row r="59" spans="1:36" x14ac:dyDescent="0.25">
      <c r="A59" s="11">
        <v>710</v>
      </c>
      <c r="B59" s="12" t="s">
        <v>1371</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row>
    <row r="60" spans="1:36" x14ac:dyDescent="0.25">
      <c r="A60" s="11">
        <v>5930</v>
      </c>
      <c r="B60" s="101" t="s">
        <v>1375</v>
      </c>
      <c r="C60" s="14">
        <v>47163</v>
      </c>
      <c r="D60" s="14">
        <v>48115</v>
      </c>
      <c r="E60" s="14">
        <v>49087</v>
      </c>
      <c r="F60" s="14">
        <v>50079</v>
      </c>
      <c r="G60" s="14">
        <v>51901</v>
      </c>
      <c r="H60" s="14">
        <v>52123</v>
      </c>
      <c r="I60" s="14">
        <v>53176</v>
      </c>
      <c r="J60" s="14">
        <v>54250</v>
      </c>
      <c r="K60" s="14">
        <v>55346</v>
      </c>
      <c r="L60" s="14">
        <v>56464</v>
      </c>
      <c r="M60" s="14">
        <v>57605</v>
      </c>
      <c r="N60" s="14"/>
      <c r="O60" s="14"/>
      <c r="P60" s="14"/>
      <c r="Q60" s="14"/>
      <c r="R60" s="14"/>
      <c r="S60" s="14"/>
      <c r="T60" s="14"/>
      <c r="U60" s="14"/>
      <c r="V60" s="14"/>
      <c r="W60" s="14"/>
      <c r="X60" s="14"/>
      <c r="Y60" s="14"/>
      <c r="Z60" s="14"/>
      <c r="AA60" s="14"/>
      <c r="AB60" s="14"/>
      <c r="AC60" s="14"/>
      <c r="AD60" s="14"/>
      <c r="AE60" s="14"/>
      <c r="AF60" s="14"/>
      <c r="AG60" s="14"/>
      <c r="AH60" s="14"/>
      <c r="AI60" s="14"/>
      <c r="AJ60" s="14"/>
    </row>
    <row r="61" spans="1:36" x14ac:dyDescent="0.25">
      <c r="A61" s="11">
        <v>5931</v>
      </c>
      <c r="B61" s="60" t="s">
        <v>1376</v>
      </c>
      <c r="C61" s="14">
        <v>53375</v>
      </c>
      <c r="D61" s="14">
        <v>54679</v>
      </c>
      <c r="E61" s="14">
        <v>56016</v>
      </c>
      <c r="F61" s="14">
        <v>57384</v>
      </c>
      <c r="G61" s="14">
        <v>58786</v>
      </c>
      <c r="H61" s="14">
        <v>60223</v>
      </c>
      <c r="I61" s="14">
        <v>61694</v>
      </c>
      <c r="J61" s="14">
        <v>63202</v>
      </c>
      <c r="K61" s="14">
        <v>64746</v>
      </c>
      <c r="L61" s="14">
        <v>66328</v>
      </c>
      <c r="M61" s="14">
        <v>67949</v>
      </c>
      <c r="N61" s="14">
        <v>69609</v>
      </c>
      <c r="O61" s="14">
        <v>71310</v>
      </c>
      <c r="P61" s="14">
        <v>73053</v>
      </c>
      <c r="Q61" s="14">
        <v>74838</v>
      </c>
      <c r="R61" s="14">
        <v>76667</v>
      </c>
      <c r="S61" s="14">
        <v>78540</v>
      </c>
      <c r="T61" s="14">
        <v>80459</v>
      </c>
      <c r="U61" s="14">
        <v>82425</v>
      </c>
      <c r="V61" s="14">
        <v>84439</v>
      </c>
      <c r="W61" s="14">
        <v>86502</v>
      </c>
      <c r="X61" s="14">
        <v>88616</v>
      </c>
      <c r="Y61" s="14"/>
      <c r="Z61" s="14"/>
      <c r="AA61" s="14"/>
      <c r="AB61" s="14"/>
      <c r="AC61" s="14"/>
      <c r="AD61" s="14"/>
      <c r="AE61" s="14"/>
      <c r="AF61" s="14"/>
      <c r="AG61" s="14"/>
      <c r="AH61" s="14"/>
      <c r="AI61" s="14"/>
      <c r="AJ61" s="14"/>
    </row>
    <row r="62" spans="1:36" s="317" customFormat="1" x14ac:dyDescent="0.25">
      <c r="A62" s="602">
        <v>5932</v>
      </c>
      <c r="B62" s="594" t="s">
        <v>1377</v>
      </c>
      <c r="C62" s="591">
        <v>15434</v>
      </c>
      <c r="D62" s="591">
        <v>16109</v>
      </c>
      <c r="E62" s="591">
        <v>16814</v>
      </c>
      <c r="F62" s="591">
        <v>17550</v>
      </c>
      <c r="G62" s="591">
        <v>20000</v>
      </c>
      <c r="H62" s="591">
        <v>20000</v>
      </c>
      <c r="I62" s="591">
        <v>20000</v>
      </c>
      <c r="J62" s="591">
        <v>25000</v>
      </c>
      <c r="K62" s="591">
        <v>25000</v>
      </c>
      <c r="L62" s="591">
        <v>25000</v>
      </c>
      <c r="M62" s="591">
        <v>25000</v>
      </c>
      <c r="N62" s="591">
        <v>30000</v>
      </c>
      <c r="O62" s="591">
        <v>30000</v>
      </c>
      <c r="P62" s="591">
        <v>30000</v>
      </c>
      <c r="Q62" s="591">
        <v>35000</v>
      </c>
      <c r="R62" s="591">
        <v>35000</v>
      </c>
      <c r="S62" s="591">
        <v>35000</v>
      </c>
      <c r="T62" s="591">
        <v>35000</v>
      </c>
      <c r="U62" s="591">
        <v>35000</v>
      </c>
      <c r="V62" s="591">
        <v>35000</v>
      </c>
      <c r="W62" s="591">
        <v>35000</v>
      </c>
      <c r="X62" s="591">
        <v>40000</v>
      </c>
      <c r="Y62" s="591">
        <v>40000</v>
      </c>
      <c r="Z62" s="591">
        <v>40000</v>
      </c>
      <c r="AA62" s="591">
        <v>40000</v>
      </c>
      <c r="AB62" s="591">
        <v>40000</v>
      </c>
      <c r="AC62" s="591">
        <v>45000</v>
      </c>
      <c r="AD62" s="591">
        <v>45000</v>
      </c>
      <c r="AE62" s="591">
        <v>45000</v>
      </c>
      <c r="AF62" s="591"/>
      <c r="AG62" s="591"/>
      <c r="AH62" s="591"/>
      <c r="AI62" s="591"/>
      <c r="AJ62" s="591"/>
    </row>
    <row r="63" spans="1:36" ht="13.8" thickBot="1" x14ac:dyDescent="0.3">
      <c r="A63" s="11">
        <v>5933</v>
      </c>
      <c r="B63" s="60" t="s">
        <v>1378</v>
      </c>
      <c r="C63" s="16">
        <v>14145</v>
      </c>
      <c r="D63" s="16">
        <v>14728</v>
      </c>
      <c r="E63" s="16">
        <v>15336</v>
      </c>
      <c r="F63" s="16">
        <v>15968</v>
      </c>
      <c r="G63" s="16">
        <v>16627</v>
      </c>
      <c r="H63" s="16">
        <v>17313</v>
      </c>
      <c r="I63" s="16">
        <v>18027</v>
      </c>
      <c r="J63" s="16">
        <v>18770</v>
      </c>
      <c r="K63" s="16">
        <v>19545</v>
      </c>
      <c r="L63" s="16">
        <v>20351</v>
      </c>
      <c r="M63" s="16">
        <v>21190</v>
      </c>
      <c r="N63" s="16">
        <v>22064</v>
      </c>
      <c r="O63" s="16">
        <v>22974</v>
      </c>
      <c r="P63" s="16">
        <v>23922</v>
      </c>
      <c r="Q63" s="16">
        <v>24909</v>
      </c>
      <c r="R63" s="16">
        <v>25936</v>
      </c>
      <c r="S63" s="16">
        <v>27006</v>
      </c>
      <c r="T63" s="16">
        <v>28120</v>
      </c>
      <c r="U63" s="16">
        <v>29280</v>
      </c>
      <c r="V63" s="16">
        <v>30488</v>
      </c>
      <c r="W63" s="16">
        <v>31746</v>
      </c>
      <c r="X63" s="16">
        <v>33055</v>
      </c>
      <c r="Y63" s="16">
        <v>34418</v>
      </c>
      <c r="Z63" s="16">
        <v>35838</v>
      </c>
      <c r="AA63" s="16">
        <v>37317</v>
      </c>
      <c r="AB63" s="16">
        <v>38856</v>
      </c>
      <c r="AC63" s="16">
        <v>40459</v>
      </c>
      <c r="AD63" s="16">
        <v>42128</v>
      </c>
      <c r="AE63" s="16">
        <v>43865</v>
      </c>
      <c r="AF63" s="16">
        <v>45675</v>
      </c>
      <c r="AG63" s="16">
        <v>47559</v>
      </c>
      <c r="AH63" s="16">
        <v>49213</v>
      </c>
      <c r="AI63" s="16"/>
      <c r="AJ63" s="16"/>
    </row>
    <row r="64" spans="1:36" x14ac:dyDescent="0.25">
      <c r="A64" s="11"/>
      <c r="B64" s="17" t="s">
        <v>1371</v>
      </c>
      <c r="C64" s="19">
        <f>SUM(C59:C63)</f>
        <v>130117</v>
      </c>
      <c r="D64" s="19">
        <f t="shared" ref="D64:U64" si="60">SUM(D59:D63)</f>
        <v>133631</v>
      </c>
      <c r="E64" s="19">
        <f t="shared" si="60"/>
        <v>137253</v>
      </c>
      <c r="F64" s="19">
        <f t="shared" si="60"/>
        <v>140981</v>
      </c>
      <c r="G64" s="19">
        <f t="shared" si="60"/>
        <v>147314</v>
      </c>
      <c r="H64" s="19">
        <f t="shared" si="60"/>
        <v>149659</v>
      </c>
      <c r="I64" s="19">
        <f t="shared" si="60"/>
        <v>152897</v>
      </c>
      <c r="J64" s="19">
        <f t="shared" si="60"/>
        <v>161222</v>
      </c>
      <c r="K64" s="19">
        <f t="shared" si="60"/>
        <v>164637</v>
      </c>
      <c r="L64" s="19">
        <f t="shared" si="60"/>
        <v>168143</v>
      </c>
      <c r="M64" s="19">
        <f t="shared" si="60"/>
        <v>171744</v>
      </c>
      <c r="N64" s="19">
        <f t="shared" si="60"/>
        <v>121673</v>
      </c>
      <c r="O64" s="19">
        <f t="shared" si="60"/>
        <v>124284</v>
      </c>
      <c r="P64" s="19">
        <f t="shared" si="60"/>
        <v>126975</v>
      </c>
      <c r="Q64" s="19">
        <f t="shared" si="60"/>
        <v>134747</v>
      </c>
      <c r="R64" s="19">
        <f t="shared" si="60"/>
        <v>137603</v>
      </c>
      <c r="S64" s="19">
        <f t="shared" si="60"/>
        <v>140546</v>
      </c>
      <c r="T64" s="19">
        <f t="shared" si="60"/>
        <v>143579</v>
      </c>
      <c r="U64" s="19">
        <f t="shared" si="60"/>
        <v>146705</v>
      </c>
      <c r="V64" s="19">
        <f t="shared" ref="V64:AJ64" si="61">SUM(V59:V63)</f>
        <v>149927</v>
      </c>
      <c r="W64" s="19">
        <f t="shared" si="61"/>
        <v>153248</v>
      </c>
      <c r="X64" s="19">
        <f t="shared" si="61"/>
        <v>161671</v>
      </c>
      <c r="Y64" s="19">
        <f t="shared" si="61"/>
        <v>74418</v>
      </c>
      <c r="Z64" s="19">
        <f t="shared" si="61"/>
        <v>75838</v>
      </c>
      <c r="AA64" s="19">
        <f t="shared" si="61"/>
        <v>77317</v>
      </c>
      <c r="AB64" s="19">
        <f t="shared" si="61"/>
        <v>78856</v>
      </c>
      <c r="AC64" s="19">
        <f t="shared" si="61"/>
        <v>85459</v>
      </c>
      <c r="AD64" s="19">
        <f t="shared" si="61"/>
        <v>87128</v>
      </c>
      <c r="AE64" s="19">
        <f t="shared" si="61"/>
        <v>88865</v>
      </c>
      <c r="AF64" s="19">
        <f t="shared" si="61"/>
        <v>45675</v>
      </c>
      <c r="AG64" s="19">
        <f t="shared" si="61"/>
        <v>47559</v>
      </c>
      <c r="AH64" s="19">
        <f t="shared" si="61"/>
        <v>49213</v>
      </c>
      <c r="AI64" s="19">
        <f t="shared" si="61"/>
        <v>0</v>
      </c>
      <c r="AJ64" s="19">
        <f t="shared" si="61"/>
        <v>0</v>
      </c>
    </row>
    <row r="65" spans="1:36" x14ac:dyDescent="0.25">
      <c r="A65" s="11"/>
      <c r="B65" s="12"/>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1"/>
      <c r="AJ65" s="151"/>
    </row>
    <row r="66" spans="1:36" x14ac:dyDescent="0.25">
      <c r="A66" s="11">
        <v>751</v>
      </c>
      <c r="B66" s="12" t="s">
        <v>1394</v>
      </c>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row>
    <row r="67" spans="1:36" x14ac:dyDescent="0.25">
      <c r="A67" s="11">
        <v>5930</v>
      </c>
      <c r="B67" s="60" t="s">
        <v>1375</v>
      </c>
      <c r="C67" s="14">
        <v>11019</v>
      </c>
      <c r="D67" s="14">
        <v>10666</v>
      </c>
      <c r="E67" s="14">
        <v>9094</v>
      </c>
      <c r="F67" s="14">
        <v>8102</v>
      </c>
      <c r="G67" s="14">
        <v>7091</v>
      </c>
      <c r="H67" s="14">
        <v>6059</v>
      </c>
      <c r="I67" s="14">
        <v>5006</v>
      </c>
      <c r="J67" s="14">
        <v>3931</v>
      </c>
      <c r="K67" s="14">
        <v>2835</v>
      </c>
      <c r="L67" s="14">
        <v>1717</v>
      </c>
      <c r="M67" s="14">
        <v>577</v>
      </c>
      <c r="N67" s="14"/>
      <c r="O67" s="14"/>
      <c r="P67" s="14"/>
      <c r="Q67" s="14"/>
      <c r="R67" s="14"/>
      <c r="S67" s="14"/>
      <c r="T67" s="14"/>
      <c r="U67" s="14"/>
      <c r="V67" s="14"/>
      <c r="W67" s="14"/>
      <c r="X67" s="14"/>
      <c r="Y67" s="14"/>
      <c r="Z67" s="14"/>
      <c r="AA67" s="14"/>
      <c r="AB67" s="14"/>
      <c r="AC67" s="14"/>
      <c r="AD67" s="14"/>
      <c r="AE67" s="14"/>
      <c r="AF67" s="14"/>
      <c r="AG67" s="14"/>
      <c r="AH67" s="14"/>
      <c r="AI67" s="14"/>
      <c r="AJ67" s="14"/>
    </row>
    <row r="68" spans="1:36" x14ac:dyDescent="0.25">
      <c r="A68" s="11" t="s">
        <v>1396</v>
      </c>
      <c r="B68" s="60" t="s">
        <v>1397</v>
      </c>
      <c r="C68" s="14">
        <v>817</v>
      </c>
      <c r="D68" s="14">
        <v>755</v>
      </c>
      <c r="E68" s="14">
        <v>683</v>
      </c>
      <c r="F68" s="14">
        <v>608</v>
      </c>
      <c r="G68" s="14">
        <v>532</v>
      </c>
      <c r="H68" s="14">
        <v>455</v>
      </c>
      <c r="I68" s="14">
        <v>376</v>
      </c>
      <c r="J68" s="14">
        <v>295</v>
      </c>
      <c r="K68" s="14">
        <v>213</v>
      </c>
      <c r="L68" s="14">
        <v>129</v>
      </c>
      <c r="M68" s="14">
        <v>444</v>
      </c>
      <c r="N68" s="14"/>
      <c r="O68" s="14"/>
      <c r="P68" s="14"/>
      <c r="Q68" s="14"/>
      <c r="R68" s="14"/>
      <c r="S68" s="14"/>
      <c r="T68" s="14"/>
      <c r="U68" s="14"/>
      <c r="V68" s="14"/>
      <c r="W68" s="14"/>
      <c r="X68" s="14"/>
      <c r="Y68" s="14"/>
      <c r="Z68" s="14"/>
      <c r="AA68" s="14"/>
      <c r="AB68" s="14"/>
      <c r="AC68" s="14"/>
      <c r="AD68" s="14"/>
      <c r="AE68" s="14"/>
      <c r="AF68" s="14"/>
      <c r="AG68" s="14"/>
      <c r="AH68" s="14"/>
      <c r="AI68" s="14"/>
      <c r="AJ68" s="14"/>
    </row>
    <row r="69" spans="1:36" x14ac:dyDescent="0.25">
      <c r="A69" s="11">
        <v>5931</v>
      </c>
      <c r="B69" s="60" t="s">
        <v>1376</v>
      </c>
      <c r="C69" s="14">
        <v>36311</v>
      </c>
      <c r="D69" s="14">
        <v>35135</v>
      </c>
      <c r="E69" s="14">
        <v>33670</v>
      </c>
      <c r="F69" s="14">
        <v>32302</v>
      </c>
      <c r="G69" s="14">
        <v>30900</v>
      </c>
      <c r="H69" s="14">
        <v>29463</v>
      </c>
      <c r="I69" s="14">
        <v>27992</v>
      </c>
      <c r="J69" s="14">
        <v>26484</v>
      </c>
      <c r="K69" s="14">
        <v>24940</v>
      </c>
      <c r="L69" s="14">
        <v>23358</v>
      </c>
      <c r="M69" s="14">
        <v>21737</v>
      </c>
      <c r="N69" s="14">
        <v>20076.12</v>
      </c>
      <c r="O69" s="14">
        <v>18376</v>
      </c>
      <c r="P69" s="14">
        <v>16633</v>
      </c>
      <c r="Q69" s="14">
        <v>14848</v>
      </c>
      <c r="R69" s="14">
        <v>13020</v>
      </c>
      <c r="S69" s="14">
        <v>11146</v>
      </c>
      <c r="T69" s="14">
        <v>9227</v>
      </c>
      <c r="U69" s="14">
        <v>7261</v>
      </c>
      <c r="V69" s="14">
        <v>5247</v>
      </c>
      <c r="W69" s="14">
        <v>3184</v>
      </c>
      <c r="X69" s="14">
        <v>1070</v>
      </c>
      <c r="Y69" s="14"/>
      <c r="Z69" s="14"/>
      <c r="AA69" s="14"/>
      <c r="AB69" s="14"/>
      <c r="AC69" s="14"/>
      <c r="AD69" s="14"/>
      <c r="AE69" s="14"/>
      <c r="AF69" s="14"/>
      <c r="AG69" s="14"/>
      <c r="AH69" s="14"/>
      <c r="AI69" s="14"/>
      <c r="AJ69" s="14"/>
    </row>
    <row r="70" spans="1:36" x14ac:dyDescent="0.25">
      <c r="A70" s="11" t="s">
        <v>1398</v>
      </c>
      <c r="B70" s="60" t="s">
        <v>1399</v>
      </c>
      <c r="C70" s="14">
        <v>2257</v>
      </c>
      <c r="D70" s="14">
        <v>2176</v>
      </c>
      <c r="E70" s="14">
        <v>2093</v>
      </c>
      <c r="F70" s="14">
        <v>2008</v>
      </c>
      <c r="G70" s="14">
        <v>1920</v>
      </c>
      <c r="H70" s="14">
        <v>1831</v>
      </c>
      <c r="I70" s="14">
        <v>1740</v>
      </c>
      <c r="J70" s="14">
        <v>1646</v>
      </c>
      <c r="K70" s="14">
        <v>1450</v>
      </c>
      <c r="L70" s="14">
        <v>1452</v>
      </c>
      <c r="M70" s="14">
        <v>1351</v>
      </c>
      <c r="N70" s="14">
        <v>1248</v>
      </c>
      <c r="O70" s="14">
        <v>1142</v>
      </c>
      <c r="P70" s="14">
        <v>1034</v>
      </c>
      <c r="Q70" s="14">
        <v>923</v>
      </c>
      <c r="R70" s="14">
        <v>809</v>
      </c>
      <c r="S70" s="14">
        <v>693</v>
      </c>
      <c r="T70" s="14">
        <v>574</v>
      </c>
      <c r="U70" s="14">
        <v>452</v>
      </c>
      <c r="V70" s="14">
        <v>327</v>
      </c>
      <c r="W70" s="14">
        <v>198</v>
      </c>
      <c r="X70" s="14">
        <v>67</v>
      </c>
      <c r="Y70" s="14"/>
      <c r="Z70" s="14"/>
      <c r="AA70" s="14"/>
      <c r="AB70" s="14"/>
      <c r="AC70" s="14"/>
      <c r="AD70" s="14"/>
      <c r="AE70" s="14"/>
      <c r="AF70" s="14"/>
      <c r="AG70" s="14"/>
      <c r="AH70" s="14"/>
      <c r="AI70" s="14"/>
      <c r="AJ70" s="14"/>
    </row>
    <row r="71" spans="1:36" s="317" customFormat="1" x14ac:dyDescent="0.25">
      <c r="A71" s="602">
        <v>5932</v>
      </c>
      <c r="B71" s="594" t="s">
        <v>1377</v>
      </c>
      <c r="C71" s="591">
        <v>40324</v>
      </c>
      <c r="D71" s="591">
        <v>39649</v>
      </c>
      <c r="E71" s="591">
        <v>38944</v>
      </c>
      <c r="F71" s="591">
        <v>38208</v>
      </c>
      <c r="G71" s="591">
        <v>26913</v>
      </c>
      <c r="H71" s="591">
        <v>25257</v>
      </c>
      <c r="I71" s="591">
        <v>24257</v>
      </c>
      <c r="J71" s="591">
        <v>23257</v>
      </c>
      <c r="K71" s="591">
        <v>22007</v>
      </c>
      <c r="L71" s="591">
        <v>20757</v>
      </c>
      <c r="M71" s="591">
        <v>19507</v>
      </c>
      <c r="N71" s="591">
        <v>18257</v>
      </c>
      <c r="O71" s="591">
        <v>16757</v>
      </c>
      <c r="P71" s="591">
        <v>15257</v>
      </c>
      <c r="Q71" s="591">
        <v>13757</v>
      </c>
      <c r="R71" s="591">
        <v>13057</v>
      </c>
      <c r="S71" s="591">
        <v>12357</v>
      </c>
      <c r="T71" s="591">
        <v>11657</v>
      </c>
      <c r="U71" s="591">
        <v>10913</v>
      </c>
      <c r="V71" s="591">
        <v>10169</v>
      </c>
      <c r="W71" s="591">
        <v>9382</v>
      </c>
      <c r="X71" s="591">
        <v>8550</v>
      </c>
      <c r="Y71" s="591">
        <v>7600</v>
      </c>
      <c r="Z71" s="591">
        <v>6650</v>
      </c>
      <c r="AA71" s="591">
        <v>5650</v>
      </c>
      <c r="AB71" s="591">
        <v>4650</v>
      </c>
      <c r="AC71" s="591">
        <v>3600</v>
      </c>
      <c r="AD71" s="591">
        <v>2419</v>
      </c>
      <c r="AE71" s="591">
        <v>1238</v>
      </c>
      <c r="AF71" s="591"/>
      <c r="AG71" s="591"/>
      <c r="AH71" s="591"/>
      <c r="AI71" s="591"/>
      <c r="AJ71" s="591"/>
    </row>
    <row r="72" spans="1:36" ht="13.8" thickBot="1" x14ac:dyDescent="0.3">
      <c r="A72" s="11">
        <v>5933</v>
      </c>
      <c r="B72" s="60" t="s">
        <v>1378</v>
      </c>
      <c r="C72" s="16">
        <v>37406</v>
      </c>
      <c r="D72" s="16">
        <v>36823</v>
      </c>
      <c r="E72" s="16">
        <v>36215</v>
      </c>
      <c r="F72" s="16">
        <v>35583</v>
      </c>
      <c r="G72" s="16">
        <v>34924</v>
      </c>
      <c r="H72" s="16">
        <v>34238</v>
      </c>
      <c r="I72" s="16">
        <v>33524</v>
      </c>
      <c r="J72" s="16">
        <v>32781</v>
      </c>
      <c r="K72" s="16">
        <v>32006</v>
      </c>
      <c r="L72" s="16">
        <v>31200</v>
      </c>
      <c r="M72" s="16">
        <v>30361</v>
      </c>
      <c r="N72" s="16">
        <v>29487</v>
      </c>
      <c r="O72" s="16">
        <v>28577</v>
      </c>
      <c r="P72" s="16">
        <v>27629</v>
      </c>
      <c r="Q72" s="16">
        <v>26642</v>
      </c>
      <c r="R72" s="16">
        <v>25615</v>
      </c>
      <c r="S72" s="16">
        <v>24545</v>
      </c>
      <c r="T72" s="16">
        <v>23431</v>
      </c>
      <c r="U72" s="16">
        <v>22271</v>
      </c>
      <c r="V72" s="16">
        <v>21063</v>
      </c>
      <c r="W72" s="16">
        <v>19805</v>
      </c>
      <c r="X72" s="16">
        <v>18496</v>
      </c>
      <c r="Y72" s="16">
        <v>17133</v>
      </c>
      <c r="Z72" s="16">
        <v>15713</v>
      </c>
      <c r="AA72" s="16">
        <v>14234</v>
      </c>
      <c r="AB72" s="16">
        <v>12695</v>
      </c>
      <c r="AC72" s="16">
        <v>11092</v>
      </c>
      <c r="AD72" s="16">
        <v>9423</v>
      </c>
      <c r="AE72" s="16">
        <v>7686</v>
      </c>
      <c r="AF72" s="16">
        <v>2876</v>
      </c>
      <c r="AG72" s="16">
        <v>3992</v>
      </c>
      <c r="AH72" s="16">
        <v>2030</v>
      </c>
      <c r="AI72" s="16"/>
      <c r="AJ72" s="16"/>
    </row>
    <row r="73" spans="1:36" x14ac:dyDescent="0.25">
      <c r="A73" s="11"/>
      <c r="B73" s="12"/>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row>
    <row r="74" spans="1:36" x14ac:dyDescent="0.25">
      <c r="A74" s="11"/>
      <c r="B74" s="17" t="s">
        <v>1394</v>
      </c>
      <c r="C74" s="19">
        <f>SUM(C66:C73)</f>
        <v>128134</v>
      </c>
      <c r="D74" s="19">
        <f t="shared" ref="D74:U74" si="62">SUM(D66:D73)</f>
        <v>125204</v>
      </c>
      <c r="E74" s="19">
        <f t="shared" si="62"/>
        <v>120699</v>
      </c>
      <c r="F74" s="19">
        <f t="shared" si="62"/>
        <v>116811</v>
      </c>
      <c r="G74" s="19">
        <f t="shared" si="62"/>
        <v>102280</v>
      </c>
      <c r="H74" s="19">
        <f t="shared" si="62"/>
        <v>97303</v>
      </c>
      <c r="I74" s="19">
        <f t="shared" si="62"/>
        <v>92895</v>
      </c>
      <c r="J74" s="19">
        <f t="shared" si="62"/>
        <v>88394</v>
      </c>
      <c r="K74" s="19">
        <f t="shared" si="62"/>
        <v>83451</v>
      </c>
      <c r="L74" s="19">
        <f t="shared" si="62"/>
        <v>78613</v>
      </c>
      <c r="M74" s="19">
        <f t="shared" si="62"/>
        <v>73977</v>
      </c>
      <c r="N74" s="19">
        <f t="shared" si="62"/>
        <v>69068.12</v>
      </c>
      <c r="O74" s="19">
        <f t="shared" si="62"/>
        <v>64852</v>
      </c>
      <c r="P74" s="19">
        <f t="shared" si="62"/>
        <v>60553</v>
      </c>
      <c r="Q74" s="19">
        <f t="shared" si="62"/>
        <v>56170</v>
      </c>
      <c r="R74" s="19">
        <f t="shared" si="62"/>
        <v>52501</v>
      </c>
      <c r="S74" s="19">
        <f t="shared" si="62"/>
        <v>48741</v>
      </c>
      <c r="T74" s="19">
        <f t="shared" si="62"/>
        <v>44889</v>
      </c>
      <c r="U74" s="19">
        <f t="shared" si="62"/>
        <v>40897</v>
      </c>
      <c r="V74" s="19">
        <f t="shared" ref="V74:AJ74" si="63">SUM(V66:V73)</f>
        <v>36806</v>
      </c>
      <c r="W74" s="19">
        <f t="shared" si="63"/>
        <v>32569</v>
      </c>
      <c r="X74" s="19">
        <f t="shared" si="63"/>
        <v>28183</v>
      </c>
      <c r="Y74" s="19">
        <f t="shared" si="63"/>
        <v>24733</v>
      </c>
      <c r="Z74" s="19">
        <f t="shared" si="63"/>
        <v>22363</v>
      </c>
      <c r="AA74" s="19">
        <f t="shared" si="63"/>
        <v>19884</v>
      </c>
      <c r="AB74" s="19">
        <f t="shared" si="63"/>
        <v>17345</v>
      </c>
      <c r="AC74" s="19">
        <f t="shared" si="63"/>
        <v>14692</v>
      </c>
      <c r="AD74" s="19">
        <f t="shared" si="63"/>
        <v>11842</v>
      </c>
      <c r="AE74" s="19">
        <f t="shared" si="63"/>
        <v>8924</v>
      </c>
      <c r="AF74" s="19">
        <f t="shared" si="63"/>
        <v>2876</v>
      </c>
      <c r="AG74" s="19">
        <f t="shared" si="63"/>
        <v>3992</v>
      </c>
      <c r="AH74" s="19">
        <f t="shared" si="63"/>
        <v>2030</v>
      </c>
      <c r="AI74" s="19">
        <f t="shared" si="63"/>
        <v>0</v>
      </c>
      <c r="AJ74" s="19">
        <f t="shared" si="63"/>
        <v>0</v>
      </c>
    </row>
    <row r="75" spans="1:36" x14ac:dyDescent="0.25">
      <c r="A75" s="11"/>
      <c r="B75" s="12"/>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row>
    <row r="76" spans="1:36" x14ac:dyDescent="0.25">
      <c r="B76" s="12" t="s">
        <v>1743</v>
      </c>
      <c r="C76" s="14">
        <f>+C74+C64</f>
        <v>258251</v>
      </c>
      <c r="D76" s="14">
        <f t="shared" ref="D76:U76" si="64">+D74+D64</f>
        <v>258835</v>
      </c>
      <c r="E76" s="14">
        <f t="shared" si="64"/>
        <v>257952</v>
      </c>
      <c r="F76" s="14">
        <f t="shared" si="64"/>
        <v>257792</v>
      </c>
      <c r="G76" s="14">
        <f t="shared" si="64"/>
        <v>249594</v>
      </c>
      <c r="H76" s="14">
        <f t="shared" si="64"/>
        <v>246962</v>
      </c>
      <c r="I76" s="14">
        <f t="shared" si="64"/>
        <v>245792</v>
      </c>
      <c r="J76" s="14">
        <f t="shared" si="64"/>
        <v>249616</v>
      </c>
      <c r="K76" s="14">
        <f t="shared" si="64"/>
        <v>248088</v>
      </c>
      <c r="L76" s="14">
        <f t="shared" si="64"/>
        <v>246756</v>
      </c>
      <c r="M76" s="14">
        <f t="shared" si="64"/>
        <v>245721</v>
      </c>
      <c r="N76" s="14">
        <f t="shared" si="64"/>
        <v>190741.12</v>
      </c>
      <c r="O76" s="14">
        <f t="shared" si="64"/>
        <v>189136</v>
      </c>
      <c r="P76" s="14">
        <f t="shared" si="64"/>
        <v>187528</v>
      </c>
      <c r="Q76" s="14">
        <f t="shared" si="64"/>
        <v>190917</v>
      </c>
      <c r="R76" s="14">
        <f t="shared" si="64"/>
        <v>190104</v>
      </c>
      <c r="S76" s="14">
        <f t="shared" si="64"/>
        <v>189287</v>
      </c>
      <c r="T76" s="14">
        <f t="shared" si="64"/>
        <v>188468</v>
      </c>
      <c r="U76" s="14">
        <f t="shared" si="64"/>
        <v>187602</v>
      </c>
      <c r="V76" s="14">
        <f t="shared" ref="V76:AC76" si="65">+V74+V64</f>
        <v>186733</v>
      </c>
      <c r="W76" s="14">
        <f t="shared" si="65"/>
        <v>185817</v>
      </c>
      <c r="X76" s="14">
        <f t="shared" si="65"/>
        <v>189854</v>
      </c>
      <c r="Y76" s="14">
        <f t="shared" si="65"/>
        <v>99151</v>
      </c>
      <c r="Z76" s="14">
        <f t="shared" si="65"/>
        <v>98201</v>
      </c>
      <c r="AA76" s="14">
        <f t="shared" si="65"/>
        <v>97201</v>
      </c>
      <c r="AB76" s="14">
        <f t="shared" si="65"/>
        <v>96201</v>
      </c>
      <c r="AC76" s="14">
        <f t="shared" si="65"/>
        <v>100151</v>
      </c>
      <c r="AD76" s="14">
        <f t="shared" ref="AD76:AJ76" si="66">+AD74+AD64</f>
        <v>98970</v>
      </c>
      <c r="AE76" s="14">
        <f t="shared" si="66"/>
        <v>97789</v>
      </c>
      <c r="AF76" s="14">
        <f t="shared" si="66"/>
        <v>48551</v>
      </c>
      <c r="AG76" s="14">
        <f t="shared" si="66"/>
        <v>51551</v>
      </c>
      <c r="AH76" s="14">
        <f t="shared" si="66"/>
        <v>51243</v>
      </c>
      <c r="AI76" s="14">
        <f t="shared" si="66"/>
        <v>0</v>
      </c>
      <c r="AJ76" s="14">
        <f t="shared" si="66"/>
        <v>0</v>
      </c>
    </row>
    <row r="78" spans="1:36" x14ac:dyDescent="0.25">
      <c r="B78" t="s">
        <v>1739</v>
      </c>
      <c r="C78" s="2">
        <f>+C26</f>
        <v>103301</v>
      </c>
      <c r="D78" s="2">
        <f t="shared" ref="D78:U78" si="67">+D26</f>
        <v>103534</v>
      </c>
      <c r="E78" s="2">
        <f t="shared" si="67"/>
        <v>103181</v>
      </c>
      <c r="F78" s="2">
        <f t="shared" si="67"/>
        <v>103117</v>
      </c>
      <c r="G78" s="2">
        <f t="shared" si="67"/>
        <v>99837</v>
      </c>
      <c r="H78" s="2">
        <f t="shared" si="67"/>
        <v>98784</v>
      </c>
      <c r="I78" s="2">
        <f t="shared" si="67"/>
        <v>98317</v>
      </c>
      <c r="J78" s="2">
        <f t="shared" si="67"/>
        <v>99846</v>
      </c>
      <c r="K78" s="2">
        <f t="shared" si="67"/>
        <v>99234</v>
      </c>
      <c r="L78" s="2">
        <f t="shared" si="67"/>
        <v>98703</v>
      </c>
      <c r="M78" s="2">
        <f t="shared" si="67"/>
        <v>98289</v>
      </c>
      <c r="N78" s="2">
        <f t="shared" si="67"/>
        <v>76297</v>
      </c>
      <c r="O78" s="2">
        <f t="shared" si="67"/>
        <v>75655</v>
      </c>
      <c r="P78" s="2">
        <f t="shared" si="67"/>
        <v>75012</v>
      </c>
      <c r="Q78" s="2">
        <f t="shared" si="67"/>
        <v>76367</v>
      </c>
      <c r="R78" s="2">
        <f t="shared" si="67"/>
        <v>76042</v>
      </c>
      <c r="S78" s="2">
        <f t="shared" si="67"/>
        <v>75714</v>
      </c>
      <c r="T78" s="2">
        <f t="shared" si="67"/>
        <v>75388</v>
      </c>
      <c r="U78" s="2">
        <f t="shared" si="67"/>
        <v>75040</v>
      </c>
      <c r="V78" s="2">
        <f t="shared" ref="V78:AC78" si="68">+V26</f>
        <v>74694</v>
      </c>
      <c r="W78" s="2">
        <f t="shared" si="68"/>
        <v>74327</v>
      </c>
      <c r="X78" s="2">
        <f t="shared" si="68"/>
        <v>75941</v>
      </c>
      <c r="Y78" s="2">
        <f t="shared" si="68"/>
        <v>39660</v>
      </c>
      <c r="Z78" s="2">
        <f t="shared" si="68"/>
        <v>39280</v>
      </c>
      <c r="AA78" s="2">
        <f t="shared" si="68"/>
        <v>38881</v>
      </c>
      <c r="AB78" s="2">
        <f t="shared" si="68"/>
        <v>38480</v>
      </c>
      <c r="AC78" s="2">
        <f t="shared" si="68"/>
        <v>40061</v>
      </c>
      <c r="AD78" s="2">
        <f t="shared" ref="AD78:AJ78" si="69">+AD26</f>
        <v>39588</v>
      </c>
      <c r="AE78" s="2">
        <f t="shared" si="69"/>
        <v>39115</v>
      </c>
      <c r="AF78" s="2">
        <f t="shared" si="69"/>
        <v>19420</v>
      </c>
      <c r="AG78" s="2">
        <f t="shared" si="69"/>
        <v>20621</v>
      </c>
      <c r="AH78" s="2">
        <f t="shared" si="69"/>
        <v>20497</v>
      </c>
      <c r="AI78" s="2">
        <f t="shared" si="69"/>
        <v>0</v>
      </c>
      <c r="AJ78" s="2">
        <f t="shared" si="69"/>
        <v>0</v>
      </c>
    </row>
    <row r="79" spans="1:36" ht="15" x14ac:dyDescent="0.4">
      <c r="B79" t="s">
        <v>1741</v>
      </c>
      <c r="C79" s="287">
        <f>+C51</f>
        <v>154950</v>
      </c>
      <c r="D79" s="287">
        <f t="shared" ref="D79:U79" si="70">+D51</f>
        <v>155301</v>
      </c>
      <c r="E79" s="287">
        <f t="shared" si="70"/>
        <v>154771</v>
      </c>
      <c r="F79" s="287">
        <f t="shared" si="70"/>
        <v>154675</v>
      </c>
      <c r="G79" s="287">
        <f t="shared" si="70"/>
        <v>149757</v>
      </c>
      <c r="H79" s="287">
        <f t="shared" si="70"/>
        <v>148178</v>
      </c>
      <c r="I79" s="287">
        <f t="shared" si="70"/>
        <v>147475</v>
      </c>
      <c r="J79" s="287">
        <f t="shared" si="70"/>
        <v>149770</v>
      </c>
      <c r="K79" s="287">
        <f t="shared" si="70"/>
        <v>148854</v>
      </c>
      <c r="L79" s="287">
        <f t="shared" si="70"/>
        <v>148053</v>
      </c>
      <c r="M79" s="287">
        <f t="shared" si="70"/>
        <v>147432</v>
      </c>
      <c r="N79" s="287">
        <f t="shared" si="70"/>
        <v>114444.12</v>
      </c>
      <c r="O79" s="287">
        <f t="shared" si="70"/>
        <v>113481</v>
      </c>
      <c r="P79" s="287">
        <f t="shared" si="70"/>
        <v>112516</v>
      </c>
      <c r="Q79" s="287">
        <f t="shared" si="70"/>
        <v>114550</v>
      </c>
      <c r="R79" s="287">
        <f t="shared" si="70"/>
        <v>114062</v>
      </c>
      <c r="S79" s="287">
        <f t="shared" si="70"/>
        <v>113573</v>
      </c>
      <c r="T79" s="287">
        <f t="shared" si="70"/>
        <v>113080</v>
      </c>
      <c r="U79" s="287">
        <f t="shared" si="70"/>
        <v>112562</v>
      </c>
      <c r="V79" s="287">
        <f t="shared" ref="V79:AC79" si="71">+V51</f>
        <v>112039</v>
      </c>
      <c r="W79" s="287">
        <f t="shared" si="71"/>
        <v>111490</v>
      </c>
      <c r="X79" s="287">
        <f t="shared" si="71"/>
        <v>113913</v>
      </c>
      <c r="Y79" s="287">
        <f t="shared" si="71"/>
        <v>59491</v>
      </c>
      <c r="Z79" s="287">
        <f t="shared" si="71"/>
        <v>58921</v>
      </c>
      <c r="AA79" s="287">
        <f t="shared" si="71"/>
        <v>58320</v>
      </c>
      <c r="AB79" s="287">
        <f t="shared" si="71"/>
        <v>57721</v>
      </c>
      <c r="AC79" s="287">
        <f t="shared" si="71"/>
        <v>60090</v>
      </c>
      <c r="AD79" s="287">
        <f t="shared" ref="AD79:AJ79" si="72">+AD51</f>
        <v>59382</v>
      </c>
      <c r="AE79" s="287">
        <f t="shared" si="72"/>
        <v>58674</v>
      </c>
      <c r="AF79" s="287">
        <f t="shared" si="72"/>
        <v>29131</v>
      </c>
      <c r="AG79" s="287">
        <f t="shared" si="72"/>
        <v>30930</v>
      </c>
      <c r="AH79" s="287">
        <f t="shared" si="72"/>
        <v>30746</v>
      </c>
      <c r="AI79" s="287">
        <f t="shared" si="72"/>
        <v>0</v>
      </c>
      <c r="AJ79" s="287">
        <f t="shared" si="72"/>
        <v>0</v>
      </c>
    </row>
    <row r="80" spans="1:36" x14ac:dyDescent="0.25">
      <c r="B80" t="s">
        <v>1743</v>
      </c>
      <c r="C80" s="2">
        <f>SUM(C78:C79)</f>
        <v>258251</v>
      </c>
      <c r="D80" s="2">
        <f t="shared" ref="D80:U80" si="73">SUM(D78:D79)</f>
        <v>258835</v>
      </c>
      <c r="E80" s="2">
        <f t="shared" si="73"/>
        <v>257952</v>
      </c>
      <c r="F80" s="2">
        <f t="shared" si="73"/>
        <v>257792</v>
      </c>
      <c r="G80" s="2">
        <f t="shared" si="73"/>
        <v>249594</v>
      </c>
      <c r="H80" s="2">
        <f t="shared" si="73"/>
        <v>246962</v>
      </c>
      <c r="I80" s="2">
        <f t="shared" si="73"/>
        <v>245792</v>
      </c>
      <c r="J80" s="2">
        <f t="shared" si="73"/>
        <v>249616</v>
      </c>
      <c r="K80" s="2">
        <f t="shared" si="73"/>
        <v>248088</v>
      </c>
      <c r="L80" s="2">
        <f t="shared" si="73"/>
        <v>246756</v>
      </c>
      <c r="M80" s="2">
        <f t="shared" si="73"/>
        <v>245721</v>
      </c>
      <c r="N80" s="2">
        <f t="shared" si="73"/>
        <v>190741.12</v>
      </c>
      <c r="O80" s="2">
        <f t="shared" si="73"/>
        <v>189136</v>
      </c>
      <c r="P80" s="2">
        <f t="shared" si="73"/>
        <v>187528</v>
      </c>
      <c r="Q80" s="2">
        <f t="shared" si="73"/>
        <v>190917</v>
      </c>
      <c r="R80" s="2">
        <f t="shared" si="73"/>
        <v>190104</v>
      </c>
      <c r="S80" s="2">
        <f t="shared" si="73"/>
        <v>189287</v>
      </c>
      <c r="T80" s="2">
        <f t="shared" si="73"/>
        <v>188468</v>
      </c>
      <c r="U80" s="2">
        <f t="shared" si="73"/>
        <v>187602</v>
      </c>
      <c r="V80" s="2">
        <f t="shared" ref="V80:AJ80" si="74">SUM(V78:V79)</f>
        <v>186733</v>
      </c>
      <c r="W80" s="2">
        <f t="shared" si="74"/>
        <v>185817</v>
      </c>
      <c r="X80" s="2">
        <f t="shared" si="74"/>
        <v>189854</v>
      </c>
      <c r="Y80" s="2">
        <f t="shared" si="74"/>
        <v>99151</v>
      </c>
      <c r="Z80" s="2">
        <f t="shared" si="74"/>
        <v>98201</v>
      </c>
      <c r="AA80" s="2">
        <f t="shared" si="74"/>
        <v>97201</v>
      </c>
      <c r="AB80" s="2">
        <f t="shared" si="74"/>
        <v>96201</v>
      </c>
      <c r="AC80" s="2">
        <f t="shared" si="74"/>
        <v>100151</v>
      </c>
      <c r="AD80" s="2">
        <f t="shared" si="74"/>
        <v>98970</v>
      </c>
      <c r="AE80" s="2">
        <f t="shared" si="74"/>
        <v>97789</v>
      </c>
      <c r="AF80" s="2">
        <f t="shared" si="74"/>
        <v>48551</v>
      </c>
      <c r="AG80" s="2">
        <f t="shared" si="74"/>
        <v>51551</v>
      </c>
      <c r="AH80" s="2">
        <f t="shared" si="74"/>
        <v>51243</v>
      </c>
      <c r="AI80" s="2">
        <f t="shared" si="74"/>
        <v>0</v>
      </c>
      <c r="AJ80" s="2">
        <f t="shared" si="74"/>
        <v>0</v>
      </c>
    </row>
    <row r="82" spans="2:36" x14ac:dyDescent="0.25">
      <c r="B82" s="202" t="s">
        <v>1744</v>
      </c>
      <c r="C82" s="2">
        <f>+C80-C76</f>
        <v>0</v>
      </c>
      <c r="D82" s="2">
        <f t="shared" ref="D82:U82" si="75">+D80-D76</f>
        <v>0</v>
      </c>
      <c r="E82" s="2">
        <f t="shared" si="75"/>
        <v>0</v>
      </c>
      <c r="F82" s="2">
        <f t="shared" si="75"/>
        <v>0</v>
      </c>
      <c r="G82" s="2">
        <f t="shared" si="75"/>
        <v>0</v>
      </c>
      <c r="H82" s="2">
        <f t="shared" si="75"/>
        <v>0</v>
      </c>
      <c r="I82" s="2">
        <f t="shared" si="75"/>
        <v>0</v>
      </c>
      <c r="J82" s="2">
        <f t="shared" si="75"/>
        <v>0</v>
      </c>
      <c r="K82" s="2">
        <f t="shared" si="75"/>
        <v>0</v>
      </c>
      <c r="L82" s="2">
        <f t="shared" si="75"/>
        <v>0</v>
      </c>
      <c r="M82" s="2">
        <f t="shared" si="75"/>
        <v>0</v>
      </c>
      <c r="N82" s="2">
        <f t="shared" si="75"/>
        <v>0</v>
      </c>
      <c r="O82" s="2">
        <f t="shared" si="75"/>
        <v>0</v>
      </c>
      <c r="P82" s="2">
        <f t="shared" si="75"/>
        <v>0</v>
      </c>
      <c r="Q82" s="2">
        <f t="shared" si="75"/>
        <v>0</v>
      </c>
      <c r="R82" s="2">
        <f t="shared" si="75"/>
        <v>0</v>
      </c>
      <c r="S82" s="2">
        <f t="shared" si="75"/>
        <v>0</v>
      </c>
      <c r="T82" s="2">
        <f t="shared" si="75"/>
        <v>0</v>
      </c>
      <c r="U82" s="2">
        <f t="shared" si="75"/>
        <v>0</v>
      </c>
      <c r="V82" s="2">
        <f t="shared" ref="V82:AC82" si="76">+V80-V76</f>
        <v>0</v>
      </c>
      <c r="W82" s="2">
        <f t="shared" si="76"/>
        <v>0</v>
      </c>
      <c r="X82" s="2">
        <f t="shared" si="76"/>
        <v>0</v>
      </c>
      <c r="Y82" s="2">
        <f t="shared" si="76"/>
        <v>0</v>
      </c>
      <c r="Z82" s="2">
        <f t="shared" si="76"/>
        <v>0</v>
      </c>
      <c r="AA82" s="2">
        <f t="shared" si="76"/>
        <v>0</v>
      </c>
      <c r="AB82" s="2">
        <f t="shared" si="76"/>
        <v>0</v>
      </c>
      <c r="AC82" s="2">
        <f t="shared" si="76"/>
        <v>0</v>
      </c>
      <c r="AD82" s="2">
        <f t="shared" ref="AD82:AJ82" si="77">+AD80-AD76</f>
        <v>0</v>
      </c>
      <c r="AE82" s="2">
        <f t="shared" si="77"/>
        <v>0</v>
      </c>
      <c r="AF82" s="2">
        <f t="shared" si="77"/>
        <v>0</v>
      </c>
      <c r="AG82" s="2">
        <f t="shared" si="77"/>
        <v>0</v>
      </c>
      <c r="AH82" s="2">
        <f t="shared" si="77"/>
        <v>0</v>
      </c>
      <c r="AI82" s="2">
        <f t="shared" si="77"/>
        <v>0</v>
      </c>
      <c r="AJ82" s="2">
        <f t="shared" si="77"/>
        <v>0</v>
      </c>
    </row>
  </sheetData>
  <hyperlinks>
    <hyperlink ref="A1" location="'Table of Contents'!A1" display="TOC" xr:uid="{00000000-0004-0000-4400-000000000000}"/>
  </hyperlinks>
  <pageMargins left="0.7" right="0.7" top="0.75" bottom="0.75" header="0.3" footer="0.3"/>
  <pageSetup orientation="portrait" r:id="rId1"/>
  <headerFooter>
    <oddFooter>&amp;L&amp;D &amp;T&amp;C&amp;F&amp;R&amp;A &amp;P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AI210"/>
  <sheetViews>
    <sheetView topLeftCell="A30" workbookViewId="0">
      <selection activeCell="H16" sqref="H16"/>
    </sheetView>
  </sheetViews>
  <sheetFormatPr defaultRowHeight="13.2" x14ac:dyDescent="0.25"/>
  <cols>
    <col min="2" max="2" width="39.33203125" customWidth="1"/>
    <col min="3" max="3" width="12" hidden="1" customWidth="1"/>
    <col min="4" max="13" width="12" customWidth="1"/>
    <col min="14" max="30" width="10.6640625" customWidth="1"/>
    <col min="31" max="32" width="10.109375" customWidth="1"/>
  </cols>
  <sheetData>
    <row r="1" spans="1:35" x14ac:dyDescent="0.25">
      <c r="A1" s="290" t="s">
        <v>194</v>
      </c>
      <c r="B1" s="7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row>
    <row r="2" spans="1:35" x14ac:dyDescent="0.25">
      <c r="A2" s="74"/>
      <c r="B2" s="74"/>
    </row>
    <row r="3" spans="1:35" ht="13.8" thickBot="1" x14ac:dyDescent="0.3">
      <c r="B3" s="8" t="s">
        <v>715</v>
      </c>
      <c r="C3" s="9" t="s">
        <v>466</v>
      </c>
      <c r="D3" s="9" t="s">
        <v>467</v>
      </c>
      <c r="E3" s="9" t="s">
        <v>468</v>
      </c>
      <c r="F3" s="9" t="s">
        <v>251</v>
      </c>
      <c r="G3" s="9" t="s">
        <v>252</v>
      </c>
      <c r="H3" s="9" t="s">
        <v>253</v>
      </c>
      <c r="I3" s="9" t="s">
        <v>469</v>
      </c>
      <c r="J3" s="9" t="s">
        <v>1345</v>
      </c>
      <c r="K3" s="9" t="s">
        <v>1346</v>
      </c>
      <c r="L3" s="9" t="s">
        <v>1347</v>
      </c>
      <c r="M3" s="9" t="s">
        <v>1348</v>
      </c>
      <c r="N3" s="9" t="s">
        <v>1349</v>
      </c>
      <c r="O3" s="9" t="s">
        <v>1350</v>
      </c>
      <c r="P3" s="9" t="s">
        <v>1351</v>
      </c>
      <c r="Q3" s="9" t="s">
        <v>1352</v>
      </c>
      <c r="R3" s="9" t="s">
        <v>1353</v>
      </c>
      <c r="S3" s="9" t="s">
        <v>1354</v>
      </c>
      <c r="T3" s="9" t="s">
        <v>1355</v>
      </c>
      <c r="U3" s="9" t="s">
        <v>1356</v>
      </c>
      <c r="V3" s="9" t="s">
        <v>1357</v>
      </c>
      <c r="W3" s="9" t="s">
        <v>1358</v>
      </c>
      <c r="X3" s="9" t="s">
        <v>1359</v>
      </c>
      <c r="Y3" s="9" t="s">
        <v>1360</v>
      </c>
      <c r="Z3" s="9" t="s">
        <v>1361</v>
      </c>
      <c r="AA3" s="9" t="s">
        <v>1362</v>
      </c>
      <c r="AB3" s="9" t="s">
        <v>1363</v>
      </c>
      <c r="AC3" s="9" t="s">
        <v>1364</v>
      </c>
      <c r="AD3" s="9" t="s">
        <v>1365</v>
      </c>
      <c r="AE3" s="9" t="s">
        <v>1366</v>
      </c>
      <c r="AF3" s="9" t="s">
        <v>1367</v>
      </c>
      <c r="AG3" s="9" t="s">
        <v>1368</v>
      </c>
      <c r="AH3" s="9" t="s">
        <v>1369</v>
      </c>
      <c r="AI3" s="9" t="s">
        <v>1370</v>
      </c>
    </row>
    <row r="4" spans="1:35" ht="13.8" thickTop="1" x14ac:dyDescent="0.25">
      <c r="B4" s="81" t="s">
        <v>1745</v>
      </c>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row>
    <row r="5" spans="1:35" x14ac:dyDescent="0.25">
      <c r="A5" s="26"/>
      <c r="B5" s="27"/>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row>
    <row r="6" spans="1:35" x14ac:dyDescent="0.25">
      <c r="A6" s="11">
        <v>5910</v>
      </c>
      <c r="B6" s="12" t="s">
        <v>1372</v>
      </c>
      <c r="C6" s="19"/>
      <c r="D6" s="19">
        <f t="shared" ref="D6:AI6" si="0">+D50+D69</f>
        <v>37940</v>
      </c>
      <c r="E6" s="19">
        <f t="shared" si="0"/>
        <v>35980</v>
      </c>
      <c r="F6" s="19">
        <f t="shared" si="0"/>
        <v>0</v>
      </c>
      <c r="G6" s="19">
        <f t="shared" si="0"/>
        <v>0</v>
      </c>
      <c r="H6" s="19">
        <f t="shared" si="0"/>
        <v>0</v>
      </c>
      <c r="I6" s="19">
        <f t="shared" si="0"/>
        <v>0</v>
      </c>
      <c r="J6" s="19">
        <f t="shared" si="0"/>
        <v>0</v>
      </c>
      <c r="K6" s="19">
        <f t="shared" si="0"/>
        <v>0</v>
      </c>
      <c r="L6" s="19">
        <f t="shared" si="0"/>
        <v>0</v>
      </c>
      <c r="M6" s="19">
        <f t="shared" si="0"/>
        <v>0</v>
      </c>
      <c r="N6" s="19">
        <f t="shared" si="0"/>
        <v>0</v>
      </c>
      <c r="O6" s="19">
        <f t="shared" si="0"/>
        <v>0</v>
      </c>
      <c r="P6" s="19">
        <f t="shared" si="0"/>
        <v>0</v>
      </c>
      <c r="Q6" s="19">
        <f t="shared" si="0"/>
        <v>0</v>
      </c>
      <c r="R6" s="19">
        <f t="shared" si="0"/>
        <v>0</v>
      </c>
      <c r="S6" s="19">
        <f t="shared" si="0"/>
        <v>0</v>
      </c>
      <c r="T6" s="19">
        <f t="shared" si="0"/>
        <v>0</v>
      </c>
      <c r="U6" s="19">
        <f t="shared" si="0"/>
        <v>0</v>
      </c>
      <c r="V6" s="19">
        <f t="shared" si="0"/>
        <v>0</v>
      </c>
      <c r="W6" s="19">
        <f t="shared" si="0"/>
        <v>0</v>
      </c>
      <c r="X6" s="19">
        <f t="shared" si="0"/>
        <v>0</v>
      </c>
      <c r="Y6" s="19">
        <f t="shared" si="0"/>
        <v>0</v>
      </c>
      <c r="Z6" s="19">
        <f t="shared" si="0"/>
        <v>0</v>
      </c>
      <c r="AA6" s="19">
        <f t="shared" si="0"/>
        <v>0</v>
      </c>
      <c r="AB6" s="19">
        <f t="shared" si="0"/>
        <v>0</v>
      </c>
      <c r="AC6" s="19">
        <f t="shared" si="0"/>
        <v>0</v>
      </c>
      <c r="AD6" s="19">
        <f t="shared" si="0"/>
        <v>0</v>
      </c>
      <c r="AE6" s="19">
        <f t="shared" si="0"/>
        <v>0</v>
      </c>
      <c r="AF6" s="19">
        <f t="shared" si="0"/>
        <v>0</v>
      </c>
      <c r="AG6" s="19">
        <f t="shared" si="0"/>
        <v>0</v>
      </c>
      <c r="AH6" s="19">
        <f t="shared" si="0"/>
        <v>0</v>
      </c>
      <c r="AI6" s="19">
        <f t="shared" si="0"/>
        <v>0</v>
      </c>
    </row>
    <row r="7" spans="1:35" x14ac:dyDescent="0.25">
      <c r="A7" s="11">
        <v>5916</v>
      </c>
      <c r="B7" s="12" t="s">
        <v>1373</v>
      </c>
      <c r="C7" s="19"/>
      <c r="D7" s="19">
        <f t="shared" ref="D7:AI7" si="1">+D51+D70</f>
        <v>25400</v>
      </c>
      <c r="E7" s="19">
        <f t="shared" si="1"/>
        <v>24600</v>
      </c>
      <c r="F7" s="19">
        <f t="shared" si="1"/>
        <v>18900</v>
      </c>
      <c r="G7" s="19">
        <f t="shared" si="1"/>
        <v>18300</v>
      </c>
      <c r="H7" s="19">
        <f t="shared" si="1"/>
        <v>17700</v>
      </c>
      <c r="I7" s="19">
        <f t="shared" si="1"/>
        <v>17100</v>
      </c>
      <c r="J7" s="19">
        <f t="shared" si="1"/>
        <v>16500</v>
      </c>
      <c r="K7" s="19">
        <f t="shared" si="1"/>
        <v>15900</v>
      </c>
      <c r="L7" s="19">
        <f t="shared" si="1"/>
        <v>15300</v>
      </c>
      <c r="M7" s="19">
        <f t="shared" si="1"/>
        <v>0</v>
      </c>
      <c r="N7" s="19">
        <f t="shared" si="1"/>
        <v>0</v>
      </c>
      <c r="O7" s="19">
        <f t="shared" si="1"/>
        <v>0</v>
      </c>
      <c r="P7" s="19">
        <f t="shared" si="1"/>
        <v>0</v>
      </c>
      <c r="Q7" s="19">
        <f t="shared" si="1"/>
        <v>0</v>
      </c>
      <c r="R7" s="19">
        <f t="shared" si="1"/>
        <v>0</v>
      </c>
      <c r="S7" s="19">
        <f t="shared" si="1"/>
        <v>0</v>
      </c>
      <c r="T7" s="19">
        <f t="shared" si="1"/>
        <v>0</v>
      </c>
      <c r="U7" s="19">
        <f t="shared" si="1"/>
        <v>0</v>
      </c>
      <c r="V7" s="19">
        <f t="shared" si="1"/>
        <v>0</v>
      </c>
      <c r="W7" s="19">
        <f t="shared" si="1"/>
        <v>0</v>
      </c>
      <c r="X7" s="19">
        <f t="shared" si="1"/>
        <v>0</v>
      </c>
      <c r="Y7" s="19">
        <f t="shared" si="1"/>
        <v>0</v>
      </c>
      <c r="Z7" s="19">
        <f t="shared" si="1"/>
        <v>0</v>
      </c>
      <c r="AA7" s="19">
        <f t="shared" si="1"/>
        <v>0</v>
      </c>
      <c r="AB7" s="19">
        <f t="shared" si="1"/>
        <v>0</v>
      </c>
      <c r="AC7" s="19">
        <f t="shared" si="1"/>
        <v>0</v>
      </c>
      <c r="AD7" s="19">
        <f t="shared" si="1"/>
        <v>0</v>
      </c>
      <c r="AE7" s="19">
        <f t="shared" si="1"/>
        <v>0</v>
      </c>
      <c r="AF7" s="19">
        <f t="shared" si="1"/>
        <v>0</v>
      </c>
      <c r="AG7" s="19">
        <f t="shared" si="1"/>
        <v>0</v>
      </c>
      <c r="AH7" s="19">
        <f t="shared" si="1"/>
        <v>0</v>
      </c>
      <c r="AI7" s="19">
        <f t="shared" si="1"/>
        <v>0</v>
      </c>
    </row>
    <row r="8" spans="1:35" x14ac:dyDescent="0.25">
      <c r="A8" s="11">
        <v>5920</v>
      </c>
      <c r="B8" s="12" t="s">
        <v>1374</v>
      </c>
      <c r="C8" s="19"/>
      <c r="D8" s="19">
        <f t="shared" ref="D8:AI8" si="2">+D52+D71</f>
        <v>395800</v>
      </c>
      <c r="E8" s="19">
        <f t="shared" si="2"/>
        <v>395000</v>
      </c>
      <c r="F8" s="19">
        <f t="shared" si="2"/>
        <v>398700</v>
      </c>
      <c r="G8" s="19">
        <f t="shared" si="2"/>
        <v>396900</v>
      </c>
      <c r="H8" s="19">
        <f t="shared" si="2"/>
        <v>399600</v>
      </c>
      <c r="I8" s="19">
        <f t="shared" si="2"/>
        <v>401700</v>
      </c>
      <c r="J8" s="19">
        <f t="shared" si="2"/>
        <v>403200</v>
      </c>
      <c r="K8" s="19">
        <f t="shared" si="2"/>
        <v>403200</v>
      </c>
      <c r="L8" s="19">
        <f t="shared" si="2"/>
        <v>401663</v>
      </c>
      <c r="M8" s="19">
        <f t="shared" si="2"/>
        <v>414113</v>
      </c>
      <c r="N8" s="19">
        <f t="shared" si="2"/>
        <v>0</v>
      </c>
      <c r="O8" s="19">
        <f t="shared" si="2"/>
        <v>0</v>
      </c>
      <c r="P8" s="19">
        <f t="shared" si="2"/>
        <v>0</v>
      </c>
      <c r="Q8" s="19">
        <f t="shared" si="2"/>
        <v>0</v>
      </c>
      <c r="R8" s="19">
        <f t="shared" si="2"/>
        <v>0</v>
      </c>
      <c r="S8" s="19">
        <f t="shared" si="2"/>
        <v>0</v>
      </c>
      <c r="T8" s="19">
        <f t="shared" si="2"/>
        <v>0</v>
      </c>
      <c r="U8" s="19">
        <f t="shared" si="2"/>
        <v>0</v>
      </c>
      <c r="V8" s="19">
        <f t="shared" si="2"/>
        <v>0</v>
      </c>
      <c r="W8" s="19">
        <f t="shared" si="2"/>
        <v>0</v>
      </c>
      <c r="X8" s="19">
        <f t="shared" si="2"/>
        <v>0</v>
      </c>
      <c r="Y8" s="19">
        <f t="shared" si="2"/>
        <v>0</v>
      </c>
      <c r="Z8" s="19">
        <f t="shared" si="2"/>
        <v>0</v>
      </c>
      <c r="AA8" s="19">
        <f t="shared" si="2"/>
        <v>0</v>
      </c>
      <c r="AB8" s="19">
        <f t="shared" si="2"/>
        <v>0</v>
      </c>
      <c r="AC8" s="19">
        <f t="shared" si="2"/>
        <v>0</v>
      </c>
      <c r="AD8" s="19">
        <f t="shared" si="2"/>
        <v>0</v>
      </c>
      <c r="AE8" s="19">
        <f t="shared" si="2"/>
        <v>0</v>
      </c>
      <c r="AF8" s="19">
        <f t="shared" si="2"/>
        <v>0</v>
      </c>
      <c r="AG8" s="19">
        <f t="shared" si="2"/>
        <v>0</v>
      </c>
      <c r="AH8" s="19">
        <f t="shared" si="2"/>
        <v>0</v>
      </c>
      <c r="AI8" s="19">
        <f t="shared" si="2"/>
        <v>0</v>
      </c>
    </row>
    <row r="9" spans="1:35" x14ac:dyDescent="0.25">
      <c r="A9" s="11">
        <v>5930</v>
      </c>
      <c r="B9" s="101" t="s">
        <v>1375</v>
      </c>
      <c r="C9" s="19"/>
      <c r="D9" s="19">
        <f>+D151+D157+D158</f>
        <v>23546</v>
      </c>
      <c r="E9" s="19">
        <f t="shared" ref="E9:AI9" si="3">+E151+E157+E158</f>
        <v>23516</v>
      </c>
      <c r="F9" s="19">
        <f t="shared" si="3"/>
        <v>23809</v>
      </c>
      <c r="G9" s="19">
        <f t="shared" si="3"/>
        <v>23455</v>
      </c>
      <c r="H9" s="19">
        <f t="shared" si="3"/>
        <v>23422</v>
      </c>
      <c r="I9" s="19">
        <f t="shared" si="3"/>
        <v>23390</v>
      </c>
      <c r="J9" s="19">
        <f t="shared" si="3"/>
        <v>23357</v>
      </c>
      <c r="K9" s="19">
        <f t="shared" si="3"/>
        <v>23325</v>
      </c>
      <c r="L9" s="19">
        <f t="shared" si="3"/>
        <v>23451</v>
      </c>
      <c r="M9" s="19">
        <f t="shared" si="3"/>
        <v>0</v>
      </c>
      <c r="N9" s="19">
        <f t="shared" si="3"/>
        <v>0</v>
      </c>
      <c r="O9" s="19">
        <f t="shared" si="3"/>
        <v>0</v>
      </c>
      <c r="P9" s="19">
        <f t="shared" si="3"/>
        <v>0</v>
      </c>
      <c r="Q9" s="19">
        <f t="shared" si="3"/>
        <v>0</v>
      </c>
      <c r="R9" s="19">
        <f t="shared" si="3"/>
        <v>0</v>
      </c>
      <c r="S9" s="19">
        <f t="shared" si="3"/>
        <v>0</v>
      </c>
      <c r="T9" s="19">
        <f t="shared" si="3"/>
        <v>0</v>
      </c>
      <c r="U9" s="19">
        <f t="shared" si="3"/>
        <v>0</v>
      </c>
      <c r="V9" s="19">
        <f t="shared" si="3"/>
        <v>0</v>
      </c>
      <c r="W9" s="19">
        <f t="shared" si="3"/>
        <v>0</v>
      </c>
      <c r="X9" s="19">
        <f t="shared" si="3"/>
        <v>0</v>
      </c>
      <c r="Y9" s="19">
        <f t="shared" si="3"/>
        <v>0</v>
      </c>
      <c r="Z9" s="19">
        <f t="shared" si="3"/>
        <v>0</v>
      </c>
      <c r="AA9" s="19">
        <f t="shared" si="3"/>
        <v>0</v>
      </c>
      <c r="AB9" s="19">
        <f t="shared" si="3"/>
        <v>0</v>
      </c>
      <c r="AC9" s="19">
        <f t="shared" si="3"/>
        <v>0</v>
      </c>
      <c r="AD9" s="19">
        <f t="shared" si="3"/>
        <v>0</v>
      </c>
      <c r="AE9" s="19">
        <f t="shared" si="3"/>
        <v>0</v>
      </c>
      <c r="AF9" s="19">
        <f t="shared" si="3"/>
        <v>0</v>
      </c>
      <c r="AG9" s="19">
        <f t="shared" si="3"/>
        <v>0</v>
      </c>
      <c r="AH9" s="19">
        <f t="shared" si="3"/>
        <v>0</v>
      </c>
      <c r="AI9" s="19">
        <f t="shared" si="3"/>
        <v>0</v>
      </c>
    </row>
    <row r="10" spans="1:35" x14ac:dyDescent="0.25">
      <c r="A10" s="11">
        <v>5931</v>
      </c>
      <c r="B10" s="60" t="s">
        <v>1376</v>
      </c>
      <c r="C10" s="19"/>
      <c r="D10" s="19">
        <f>+D152+D159+D160</f>
        <v>36711</v>
      </c>
      <c r="E10" s="19">
        <f t="shared" ref="E10:AI10" si="4">+E152+E159+E160</f>
        <v>36678</v>
      </c>
      <c r="F10" s="19">
        <f t="shared" si="4"/>
        <v>36642</v>
      </c>
      <c r="G10" s="19">
        <f t="shared" si="4"/>
        <v>36606</v>
      </c>
      <c r="H10" s="19">
        <f t="shared" si="4"/>
        <v>36571</v>
      </c>
      <c r="I10" s="19">
        <f t="shared" si="4"/>
        <v>36533</v>
      </c>
      <c r="J10" s="19">
        <f t="shared" si="4"/>
        <v>36454</v>
      </c>
      <c r="K10" s="19">
        <f t="shared" si="4"/>
        <v>36455</v>
      </c>
      <c r="L10" s="19">
        <f t="shared" si="4"/>
        <v>36415</v>
      </c>
      <c r="M10" s="19">
        <f t="shared" si="4"/>
        <v>36374</v>
      </c>
      <c r="N10" s="19">
        <f t="shared" si="4"/>
        <v>36331</v>
      </c>
      <c r="O10" s="19">
        <f t="shared" si="4"/>
        <v>36288</v>
      </c>
      <c r="P10" s="19">
        <f t="shared" si="4"/>
        <v>36243</v>
      </c>
      <c r="Q10" s="19">
        <f t="shared" si="4"/>
        <v>36199</v>
      </c>
      <c r="R10" s="19">
        <f t="shared" si="4"/>
        <v>36151</v>
      </c>
      <c r="S10" s="19">
        <f t="shared" si="4"/>
        <v>36105</v>
      </c>
      <c r="T10" s="19">
        <f t="shared" si="4"/>
        <v>36055</v>
      </c>
      <c r="U10" s="19">
        <f t="shared" si="4"/>
        <v>36006</v>
      </c>
      <c r="V10" s="19">
        <f t="shared" si="4"/>
        <v>35954</v>
      </c>
      <c r="W10" s="19">
        <f t="shared" si="4"/>
        <v>35901</v>
      </c>
      <c r="X10" s="19">
        <f t="shared" si="4"/>
        <v>0</v>
      </c>
      <c r="Y10" s="19">
        <f t="shared" si="4"/>
        <v>0</v>
      </c>
      <c r="Z10" s="19">
        <f t="shared" si="4"/>
        <v>0</v>
      </c>
      <c r="AA10" s="19">
        <f t="shared" si="4"/>
        <v>0</v>
      </c>
      <c r="AB10" s="19">
        <f t="shared" si="4"/>
        <v>0</v>
      </c>
      <c r="AC10" s="19">
        <f t="shared" si="4"/>
        <v>0</v>
      </c>
      <c r="AD10" s="19">
        <f t="shared" si="4"/>
        <v>0</v>
      </c>
      <c r="AE10" s="19">
        <f t="shared" si="4"/>
        <v>0</v>
      </c>
      <c r="AF10" s="19">
        <f t="shared" si="4"/>
        <v>0</v>
      </c>
      <c r="AG10" s="19">
        <f t="shared" si="4"/>
        <v>0</v>
      </c>
      <c r="AH10" s="19">
        <f t="shared" si="4"/>
        <v>0</v>
      </c>
      <c r="AI10" s="19">
        <f t="shared" si="4"/>
        <v>0</v>
      </c>
    </row>
    <row r="11" spans="1:35" x14ac:dyDescent="0.25">
      <c r="A11" s="11">
        <v>5932</v>
      </c>
      <c r="B11" s="60" t="s">
        <v>1377</v>
      </c>
      <c r="C11" s="19"/>
      <c r="D11" s="19">
        <f>+D153+D161</f>
        <v>22304</v>
      </c>
      <c r="E11" s="19">
        <f t="shared" ref="E11:AI11" si="5">+E153+E161</f>
        <v>22303</v>
      </c>
      <c r="F11" s="19">
        <f t="shared" si="5"/>
        <v>22303</v>
      </c>
      <c r="G11" s="19">
        <f t="shared" si="5"/>
        <v>22303</v>
      </c>
      <c r="H11" s="19">
        <f t="shared" si="5"/>
        <v>22303</v>
      </c>
      <c r="I11" s="19">
        <f t="shared" si="5"/>
        <v>22303</v>
      </c>
      <c r="J11" s="19">
        <f t="shared" si="5"/>
        <v>22304</v>
      </c>
      <c r="K11" s="19">
        <f t="shared" si="5"/>
        <v>22303</v>
      </c>
      <c r="L11" s="19">
        <f t="shared" si="5"/>
        <v>22303</v>
      </c>
      <c r="M11" s="19">
        <f t="shared" si="5"/>
        <v>22304</v>
      </c>
      <c r="N11" s="19">
        <f t="shared" si="5"/>
        <v>22303</v>
      </c>
      <c r="O11" s="19">
        <f t="shared" si="5"/>
        <v>22304</v>
      </c>
      <c r="P11" s="19">
        <f t="shared" si="5"/>
        <v>22303</v>
      </c>
      <c r="Q11" s="19">
        <f t="shared" si="5"/>
        <v>22303</v>
      </c>
      <c r="R11" s="19">
        <f t="shared" si="5"/>
        <v>22303</v>
      </c>
      <c r="S11" s="19">
        <f t="shared" si="5"/>
        <v>22303</v>
      </c>
      <c r="T11" s="19">
        <f t="shared" si="5"/>
        <v>22304</v>
      </c>
      <c r="U11" s="19">
        <f t="shared" si="5"/>
        <v>22303</v>
      </c>
      <c r="V11" s="19">
        <f t="shared" si="5"/>
        <v>22303</v>
      </c>
      <c r="W11" s="19">
        <f t="shared" si="5"/>
        <v>22303</v>
      </c>
      <c r="X11" s="19">
        <f t="shared" si="5"/>
        <v>22303</v>
      </c>
      <c r="Y11" s="19">
        <f t="shared" si="5"/>
        <v>22303</v>
      </c>
      <c r="Z11" s="19">
        <f t="shared" si="5"/>
        <v>22303</v>
      </c>
      <c r="AA11" s="19">
        <f t="shared" si="5"/>
        <v>22303</v>
      </c>
      <c r="AB11" s="19">
        <f t="shared" si="5"/>
        <v>22303</v>
      </c>
      <c r="AC11" s="19">
        <f t="shared" si="5"/>
        <v>22303</v>
      </c>
      <c r="AD11" s="19">
        <f t="shared" si="5"/>
        <v>22303</v>
      </c>
      <c r="AE11" s="19">
        <f t="shared" si="5"/>
        <v>22234</v>
      </c>
      <c r="AF11" s="19">
        <f t="shared" si="5"/>
        <v>0</v>
      </c>
      <c r="AG11" s="19">
        <f t="shared" si="5"/>
        <v>0</v>
      </c>
      <c r="AH11" s="19">
        <f t="shared" si="5"/>
        <v>0</v>
      </c>
      <c r="AI11" s="19">
        <f t="shared" si="5"/>
        <v>0</v>
      </c>
    </row>
    <row r="12" spans="1:35" x14ac:dyDescent="0.25">
      <c r="A12" s="11">
        <v>5933</v>
      </c>
      <c r="B12" s="60" t="s">
        <v>1378</v>
      </c>
      <c r="C12" s="19"/>
      <c r="D12" s="19">
        <f>+D154+D162</f>
        <v>20620</v>
      </c>
      <c r="E12" s="19">
        <f t="shared" ref="E12:AI12" si="6">+E154+E162</f>
        <v>20620</v>
      </c>
      <c r="F12" s="19">
        <f t="shared" si="6"/>
        <v>20621</v>
      </c>
      <c r="G12" s="19">
        <f t="shared" si="6"/>
        <v>20620</v>
      </c>
      <c r="H12" s="19">
        <f t="shared" si="6"/>
        <v>20621</v>
      </c>
      <c r="I12" s="19">
        <f t="shared" si="6"/>
        <v>20620</v>
      </c>
      <c r="J12" s="19">
        <f t="shared" si="6"/>
        <v>20620</v>
      </c>
      <c r="K12" s="19">
        <f t="shared" si="6"/>
        <v>20620</v>
      </c>
      <c r="L12" s="19">
        <f t="shared" si="6"/>
        <v>20620</v>
      </c>
      <c r="M12" s="19">
        <f t="shared" si="6"/>
        <v>20621</v>
      </c>
      <c r="N12" s="19">
        <f t="shared" si="6"/>
        <v>20621</v>
      </c>
      <c r="O12" s="19">
        <f t="shared" si="6"/>
        <v>20621</v>
      </c>
      <c r="P12" s="19">
        <f t="shared" si="6"/>
        <v>20621</v>
      </c>
      <c r="Q12" s="19">
        <f t="shared" si="6"/>
        <v>20620</v>
      </c>
      <c r="R12" s="19">
        <f t="shared" si="6"/>
        <v>20620</v>
      </c>
      <c r="S12" s="19">
        <f t="shared" si="6"/>
        <v>20620</v>
      </c>
      <c r="T12" s="19">
        <f t="shared" si="6"/>
        <v>20620</v>
      </c>
      <c r="U12" s="19">
        <f t="shared" si="6"/>
        <v>20620</v>
      </c>
      <c r="V12" s="19">
        <f t="shared" si="6"/>
        <v>20620</v>
      </c>
      <c r="W12" s="19">
        <f t="shared" si="6"/>
        <v>20620</v>
      </c>
      <c r="X12" s="19">
        <f t="shared" si="6"/>
        <v>20620</v>
      </c>
      <c r="Y12" s="19">
        <f t="shared" si="6"/>
        <v>20620</v>
      </c>
      <c r="Z12" s="19">
        <f t="shared" si="6"/>
        <v>20621</v>
      </c>
      <c r="AA12" s="19">
        <f t="shared" si="6"/>
        <v>20620</v>
      </c>
      <c r="AB12" s="19">
        <f t="shared" si="6"/>
        <v>20621</v>
      </c>
      <c r="AC12" s="19">
        <f t="shared" si="6"/>
        <v>20620</v>
      </c>
      <c r="AD12" s="19">
        <f t="shared" si="6"/>
        <v>20620</v>
      </c>
      <c r="AE12" s="19">
        <f t="shared" si="6"/>
        <v>20620</v>
      </c>
      <c r="AF12" s="19">
        <f t="shared" si="6"/>
        <v>20621</v>
      </c>
      <c r="AG12" s="19">
        <f t="shared" si="6"/>
        <v>20497</v>
      </c>
      <c r="AH12" s="19">
        <f t="shared" si="6"/>
        <v>0</v>
      </c>
      <c r="AI12" s="19">
        <f t="shared" si="6"/>
        <v>0</v>
      </c>
    </row>
    <row r="13" spans="1:35" x14ac:dyDescent="0.25">
      <c r="A13" s="11">
        <v>5934</v>
      </c>
      <c r="B13" s="12" t="s">
        <v>1379</v>
      </c>
      <c r="C13" s="19"/>
      <c r="D13" s="19">
        <f t="shared" ref="D13:AI13" si="7">+D57+D78</f>
        <v>6975</v>
      </c>
      <c r="E13" s="19">
        <f t="shared" si="7"/>
        <v>6775</v>
      </c>
      <c r="F13" s="19">
        <f t="shared" si="7"/>
        <v>6575</v>
      </c>
      <c r="G13" s="19">
        <f t="shared" si="7"/>
        <v>6375</v>
      </c>
      <c r="H13" s="19">
        <f t="shared" si="7"/>
        <v>6175</v>
      </c>
      <c r="I13" s="19">
        <f t="shared" si="7"/>
        <v>5975</v>
      </c>
      <c r="J13" s="19">
        <f t="shared" si="7"/>
        <v>5775</v>
      </c>
      <c r="K13" s="19">
        <f t="shared" si="7"/>
        <v>5563</v>
      </c>
      <c r="L13" s="19">
        <f t="shared" si="7"/>
        <v>5338</v>
      </c>
      <c r="M13" s="19">
        <f t="shared" si="7"/>
        <v>5113</v>
      </c>
      <c r="N13" s="19">
        <f t="shared" si="7"/>
        <v>0</v>
      </c>
      <c r="O13" s="19">
        <f t="shared" si="7"/>
        <v>0</v>
      </c>
      <c r="P13" s="19">
        <f t="shared" si="7"/>
        <v>0</v>
      </c>
      <c r="Q13" s="19">
        <f t="shared" si="7"/>
        <v>0</v>
      </c>
      <c r="R13" s="19">
        <f t="shared" si="7"/>
        <v>0</v>
      </c>
      <c r="S13" s="19">
        <f t="shared" si="7"/>
        <v>0</v>
      </c>
      <c r="T13" s="19">
        <f t="shared" si="7"/>
        <v>0</v>
      </c>
      <c r="U13" s="19">
        <f t="shared" si="7"/>
        <v>0</v>
      </c>
      <c r="V13" s="19">
        <f t="shared" si="7"/>
        <v>0</v>
      </c>
      <c r="W13" s="19">
        <f t="shared" si="7"/>
        <v>0</v>
      </c>
      <c r="X13" s="19">
        <f t="shared" si="7"/>
        <v>0</v>
      </c>
      <c r="Y13" s="19">
        <f t="shared" si="7"/>
        <v>0</v>
      </c>
      <c r="Z13" s="19">
        <f t="shared" si="7"/>
        <v>0</v>
      </c>
      <c r="AA13" s="19">
        <f t="shared" si="7"/>
        <v>0</v>
      </c>
      <c r="AB13" s="19">
        <f t="shared" si="7"/>
        <v>0</v>
      </c>
      <c r="AC13" s="19">
        <f t="shared" si="7"/>
        <v>0</v>
      </c>
      <c r="AD13" s="19">
        <f t="shared" si="7"/>
        <v>0</v>
      </c>
      <c r="AE13" s="19">
        <f t="shared" si="7"/>
        <v>0</v>
      </c>
      <c r="AF13" s="19">
        <f t="shared" si="7"/>
        <v>0</v>
      </c>
      <c r="AG13" s="19">
        <f t="shared" si="7"/>
        <v>0</v>
      </c>
      <c r="AH13" s="19">
        <f t="shared" si="7"/>
        <v>0</v>
      </c>
      <c r="AI13" s="19">
        <f t="shared" si="7"/>
        <v>0</v>
      </c>
    </row>
    <row r="14" spans="1:35" x14ac:dyDescent="0.25">
      <c r="A14" s="11">
        <v>5936</v>
      </c>
      <c r="B14" s="12" t="s">
        <v>1381</v>
      </c>
      <c r="C14" s="19"/>
      <c r="D14" s="19">
        <f t="shared" ref="D14:AI14" si="8">+D58+D79</f>
        <v>8263</v>
      </c>
      <c r="E14" s="19">
        <f t="shared" si="8"/>
        <v>8263</v>
      </c>
      <c r="F14" s="19">
        <f t="shared" si="8"/>
        <v>8263</v>
      </c>
      <c r="G14" s="19">
        <f t="shared" si="8"/>
        <v>8263</v>
      </c>
      <c r="H14" s="19">
        <f t="shared" si="8"/>
        <v>8263</v>
      </c>
      <c r="I14" s="19">
        <f t="shared" si="8"/>
        <v>8263</v>
      </c>
      <c r="J14" s="19">
        <f t="shared" si="8"/>
        <v>8263</v>
      </c>
      <c r="K14" s="19">
        <f t="shared" si="8"/>
        <v>8264</v>
      </c>
      <c r="L14" s="19">
        <f t="shared" si="8"/>
        <v>8263</v>
      </c>
      <c r="M14" s="19">
        <f t="shared" si="8"/>
        <v>8263</v>
      </c>
      <c r="N14" s="19">
        <f t="shared" si="8"/>
        <v>8263</v>
      </c>
      <c r="O14" s="19">
        <f t="shared" si="8"/>
        <v>8263</v>
      </c>
      <c r="P14" s="19">
        <f t="shared" si="8"/>
        <v>8263</v>
      </c>
      <c r="Q14" s="19">
        <f t="shared" si="8"/>
        <v>8264</v>
      </c>
      <c r="R14" s="19">
        <f t="shared" si="8"/>
        <v>8263</v>
      </c>
      <c r="S14" s="19">
        <f t="shared" si="8"/>
        <v>0</v>
      </c>
      <c r="T14" s="19">
        <f t="shared" si="8"/>
        <v>0</v>
      </c>
      <c r="U14" s="19">
        <f t="shared" si="8"/>
        <v>0</v>
      </c>
      <c r="V14" s="19">
        <f t="shared" si="8"/>
        <v>0</v>
      </c>
      <c r="W14" s="19">
        <f t="shared" si="8"/>
        <v>0</v>
      </c>
      <c r="X14" s="19">
        <f t="shared" si="8"/>
        <v>0</v>
      </c>
      <c r="Y14" s="19">
        <f t="shared" si="8"/>
        <v>0</v>
      </c>
      <c r="Z14" s="19">
        <f t="shared" si="8"/>
        <v>0</v>
      </c>
      <c r="AA14" s="19">
        <f t="shared" si="8"/>
        <v>0</v>
      </c>
      <c r="AB14" s="19">
        <f t="shared" si="8"/>
        <v>0</v>
      </c>
      <c r="AC14" s="19">
        <f t="shared" si="8"/>
        <v>0</v>
      </c>
      <c r="AD14" s="19">
        <f t="shared" si="8"/>
        <v>0</v>
      </c>
      <c r="AE14" s="19">
        <f t="shared" si="8"/>
        <v>0</v>
      </c>
      <c r="AF14" s="19">
        <f t="shared" si="8"/>
        <v>0</v>
      </c>
      <c r="AG14" s="19">
        <f t="shared" si="8"/>
        <v>0</v>
      </c>
      <c r="AH14" s="19">
        <f t="shared" si="8"/>
        <v>0</v>
      </c>
      <c r="AI14" s="19">
        <f t="shared" si="8"/>
        <v>0</v>
      </c>
    </row>
    <row r="15" spans="1:35" x14ac:dyDescent="0.25">
      <c r="A15" s="26">
        <v>5937</v>
      </c>
      <c r="B15" s="12" t="s">
        <v>1382</v>
      </c>
      <c r="C15" s="19"/>
      <c r="D15" s="19">
        <f t="shared" ref="D15:AI15" si="9">+D59+D80</f>
        <v>7825</v>
      </c>
      <c r="E15" s="19">
        <f t="shared" si="9"/>
        <v>7675</v>
      </c>
      <c r="F15" s="19">
        <f t="shared" si="9"/>
        <v>7525</v>
      </c>
      <c r="G15" s="19">
        <f t="shared" si="9"/>
        <v>7375</v>
      </c>
      <c r="H15" s="19">
        <f t="shared" si="9"/>
        <v>7225</v>
      </c>
      <c r="I15" s="19">
        <f t="shared" si="9"/>
        <v>7075</v>
      </c>
      <c r="J15" s="19">
        <f t="shared" si="9"/>
        <v>6925</v>
      </c>
      <c r="K15" s="19">
        <f t="shared" si="9"/>
        <v>6738</v>
      </c>
      <c r="L15" s="19">
        <f t="shared" si="9"/>
        <v>6550</v>
      </c>
      <c r="M15" s="19">
        <f t="shared" si="9"/>
        <v>6363</v>
      </c>
      <c r="N15" s="19">
        <f t="shared" si="9"/>
        <v>6175</v>
      </c>
      <c r="O15" s="19">
        <f t="shared" si="9"/>
        <v>5988</v>
      </c>
      <c r="P15" s="19">
        <f t="shared" si="9"/>
        <v>5800</v>
      </c>
      <c r="Q15" s="19">
        <f t="shared" si="9"/>
        <v>5600</v>
      </c>
      <c r="R15" s="19">
        <f t="shared" si="9"/>
        <v>5400</v>
      </c>
      <c r="S15" s="19">
        <f t="shared" si="9"/>
        <v>5200</v>
      </c>
      <c r="T15" s="19">
        <f t="shared" si="9"/>
        <v>0</v>
      </c>
      <c r="U15" s="19">
        <f t="shared" si="9"/>
        <v>0</v>
      </c>
      <c r="V15" s="19">
        <f t="shared" si="9"/>
        <v>0</v>
      </c>
      <c r="W15" s="19">
        <f t="shared" si="9"/>
        <v>0</v>
      </c>
      <c r="X15" s="19">
        <f t="shared" si="9"/>
        <v>0</v>
      </c>
      <c r="Y15" s="19">
        <f t="shared" si="9"/>
        <v>0</v>
      </c>
      <c r="Z15" s="19">
        <f t="shared" si="9"/>
        <v>0</v>
      </c>
      <c r="AA15" s="19">
        <f t="shared" si="9"/>
        <v>0</v>
      </c>
      <c r="AB15" s="19">
        <f t="shared" si="9"/>
        <v>0</v>
      </c>
      <c r="AC15" s="19">
        <f t="shared" si="9"/>
        <v>0</v>
      </c>
      <c r="AD15" s="19">
        <f t="shared" si="9"/>
        <v>0</v>
      </c>
      <c r="AE15" s="19">
        <f t="shared" si="9"/>
        <v>0</v>
      </c>
      <c r="AF15" s="19">
        <f t="shared" si="9"/>
        <v>0</v>
      </c>
      <c r="AG15" s="19">
        <f t="shared" si="9"/>
        <v>0</v>
      </c>
      <c r="AH15" s="19">
        <f t="shared" si="9"/>
        <v>0</v>
      </c>
      <c r="AI15" s="19">
        <f t="shared" si="9"/>
        <v>0</v>
      </c>
    </row>
    <row r="16" spans="1:35" x14ac:dyDescent="0.25">
      <c r="A16" s="26">
        <v>5938</v>
      </c>
      <c r="B16" s="12" t="s">
        <v>1383</v>
      </c>
      <c r="C16" s="19"/>
      <c r="D16" s="19">
        <f t="shared" ref="D16:AI16" si="10">+D60+D81</f>
        <v>10645</v>
      </c>
      <c r="E16" s="19">
        <f t="shared" si="10"/>
        <v>10430</v>
      </c>
      <c r="F16" s="19">
        <f t="shared" si="10"/>
        <v>10215</v>
      </c>
      <c r="G16" s="19">
        <f t="shared" si="10"/>
        <v>0</v>
      </c>
      <c r="H16" s="19">
        <f t="shared" si="10"/>
        <v>0</v>
      </c>
      <c r="I16" s="19">
        <f t="shared" si="10"/>
        <v>0</v>
      </c>
      <c r="J16" s="19">
        <f t="shared" si="10"/>
        <v>0</v>
      </c>
      <c r="K16" s="19">
        <f t="shared" si="10"/>
        <v>0</v>
      </c>
      <c r="L16" s="19">
        <f t="shared" si="10"/>
        <v>0</v>
      </c>
      <c r="M16" s="19">
        <f t="shared" si="10"/>
        <v>0</v>
      </c>
      <c r="N16" s="19">
        <f t="shared" si="10"/>
        <v>0</v>
      </c>
      <c r="O16" s="19">
        <f t="shared" si="10"/>
        <v>0</v>
      </c>
      <c r="P16" s="19">
        <f t="shared" si="10"/>
        <v>0</v>
      </c>
      <c r="Q16" s="19">
        <f t="shared" si="10"/>
        <v>0</v>
      </c>
      <c r="R16" s="19">
        <f t="shared" si="10"/>
        <v>0</v>
      </c>
      <c r="S16" s="19">
        <f t="shared" si="10"/>
        <v>0</v>
      </c>
      <c r="T16" s="19">
        <f t="shared" si="10"/>
        <v>0</v>
      </c>
      <c r="U16" s="19">
        <f t="shared" si="10"/>
        <v>0</v>
      </c>
      <c r="V16" s="19">
        <f t="shared" si="10"/>
        <v>0</v>
      </c>
      <c r="W16" s="19">
        <f t="shared" si="10"/>
        <v>0</v>
      </c>
      <c r="X16" s="19">
        <f t="shared" si="10"/>
        <v>0</v>
      </c>
      <c r="Y16" s="19">
        <f t="shared" si="10"/>
        <v>0</v>
      </c>
      <c r="Z16" s="19">
        <f t="shared" si="10"/>
        <v>0</v>
      </c>
      <c r="AA16" s="19">
        <f t="shared" si="10"/>
        <v>0</v>
      </c>
      <c r="AB16" s="19">
        <f t="shared" si="10"/>
        <v>0</v>
      </c>
      <c r="AC16" s="19">
        <f t="shared" si="10"/>
        <v>0</v>
      </c>
      <c r="AD16" s="19">
        <f t="shared" si="10"/>
        <v>0</v>
      </c>
      <c r="AE16" s="19">
        <f t="shared" si="10"/>
        <v>0</v>
      </c>
      <c r="AF16" s="19">
        <f t="shared" si="10"/>
        <v>0</v>
      </c>
      <c r="AG16" s="19">
        <f t="shared" si="10"/>
        <v>0</v>
      </c>
      <c r="AH16" s="19">
        <f t="shared" si="10"/>
        <v>0</v>
      </c>
      <c r="AI16" s="19">
        <f t="shared" si="10"/>
        <v>0</v>
      </c>
    </row>
    <row r="17" spans="1:35" x14ac:dyDescent="0.25">
      <c r="A17" s="26">
        <v>5939</v>
      </c>
      <c r="B17" s="12" t="s">
        <v>1384</v>
      </c>
      <c r="C17" s="19"/>
      <c r="D17" s="19">
        <f t="shared" ref="D17:AI17" si="11">+D61+D82</f>
        <v>10645</v>
      </c>
      <c r="E17" s="19">
        <f t="shared" si="11"/>
        <v>10430</v>
      </c>
      <c r="F17" s="19">
        <f t="shared" si="11"/>
        <v>10215</v>
      </c>
      <c r="G17" s="19">
        <f t="shared" si="11"/>
        <v>0</v>
      </c>
      <c r="H17" s="19">
        <f t="shared" si="11"/>
        <v>0</v>
      </c>
      <c r="I17" s="19">
        <f t="shared" si="11"/>
        <v>0</v>
      </c>
      <c r="J17" s="19">
        <f t="shared" si="11"/>
        <v>0</v>
      </c>
      <c r="K17" s="19">
        <f t="shared" si="11"/>
        <v>0</v>
      </c>
      <c r="L17" s="19">
        <f t="shared" si="11"/>
        <v>0</v>
      </c>
      <c r="M17" s="19">
        <f t="shared" si="11"/>
        <v>0</v>
      </c>
      <c r="N17" s="19">
        <f t="shared" si="11"/>
        <v>0</v>
      </c>
      <c r="O17" s="19">
        <f t="shared" si="11"/>
        <v>0</v>
      </c>
      <c r="P17" s="19">
        <f t="shared" si="11"/>
        <v>0</v>
      </c>
      <c r="Q17" s="19">
        <f t="shared" si="11"/>
        <v>0</v>
      </c>
      <c r="R17" s="19">
        <f t="shared" si="11"/>
        <v>0</v>
      </c>
      <c r="S17" s="19">
        <f t="shared" si="11"/>
        <v>0</v>
      </c>
      <c r="T17" s="19">
        <f t="shared" si="11"/>
        <v>0</v>
      </c>
      <c r="U17" s="19">
        <f t="shared" si="11"/>
        <v>0</v>
      </c>
      <c r="V17" s="19">
        <f t="shared" si="11"/>
        <v>0</v>
      </c>
      <c r="W17" s="19">
        <f t="shared" si="11"/>
        <v>0</v>
      </c>
      <c r="X17" s="19">
        <f t="shared" si="11"/>
        <v>0</v>
      </c>
      <c r="Y17" s="19">
        <f t="shared" si="11"/>
        <v>0</v>
      </c>
      <c r="Z17" s="19">
        <f t="shared" si="11"/>
        <v>0</v>
      </c>
      <c r="AA17" s="19">
        <f t="shared" si="11"/>
        <v>0</v>
      </c>
      <c r="AB17" s="19">
        <f t="shared" si="11"/>
        <v>0</v>
      </c>
      <c r="AC17" s="19">
        <f t="shared" si="11"/>
        <v>0</v>
      </c>
      <c r="AD17" s="19">
        <f t="shared" si="11"/>
        <v>0</v>
      </c>
      <c r="AE17" s="19">
        <f t="shared" si="11"/>
        <v>0</v>
      </c>
      <c r="AF17" s="19">
        <f t="shared" si="11"/>
        <v>0</v>
      </c>
      <c r="AG17" s="19">
        <f t="shared" si="11"/>
        <v>0</v>
      </c>
      <c r="AH17" s="19">
        <f t="shared" si="11"/>
        <v>0</v>
      </c>
      <c r="AI17" s="19">
        <f t="shared" si="11"/>
        <v>0</v>
      </c>
    </row>
    <row r="18" spans="1:35" x14ac:dyDescent="0.25">
      <c r="A18" s="26">
        <v>5944</v>
      </c>
      <c r="B18" s="12" t="s">
        <v>1385</v>
      </c>
      <c r="C18" s="19"/>
      <c r="D18" s="19">
        <f t="shared" ref="D18:AI18" si="12">+D62+D83</f>
        <v>0</v>
      </c>
      <c r="E18" s="19">
        <f t="shared" si="12"/>
        <v>0</v>
      </c>
      <c r="F18" s="19">
        <f t="shared" si="12"/>
        <v>0</v>
      </c>
      <c r="G18" s="19">
        <f t="shared" si="12"/>
        <v>0</v>
      </c>
      <c r="H18" s="19">
        <f t="shared" si="12"/>
        <v>0</v>
      </c>
      <c r="I18" s="19">
        <f t="shared" si="12"/>
        <v>0</v>
      </c>
      <c r="J18" s="19">
        <f t="shared" si="12"/>
        <v>0</v>
      </c>
      <c r="K18" s="19">
        <f t="shared" si="12"/>
        <v>0</v>
      </c>
      <c r="L18" s="19">
        <f t="shared" si="12"/>
        <v>0</v>
      </c>
      <c r="M18" s="19">
        <f t="shared" si="12"/>
        <v>0</v>
      </c>
      <c r="N18" s="19">
        <f t="shared" si="12"/>
        <v>0</v>
      </c>
      <c r="O18" s="19">
        <f t="shared" si="12"/>
        <v>0</v>
      </c>
      <c r="P18" s="19">
        <f t="shared" si="12"/>
        <v>0</v>
      </c>
      <c r="Q18" s="19">
        <f t="shared" si="12"/>
        <v>0</v>
      </c>
      <c r="R18" s="19">
        <f t="shared" si="12"/>
        <v>0</v>
      </c>
      <c r="S18" s="19">
        <f t="shared" si="12"/>
        <v>0</v>
      </c>
      <c r="T18" s="19">
        <f t="shared" si="12"/>
        <v>0</v>
      </c>
      <c r="U18" s="19">
        <f t="shared" si="12"/>
        <v>0</v>
      </c>
      <c r="V18" s="19">
        <f t="shared" si="12"/>
        <v>0</v>
      </c>
      <c r="W18" s="19">
        <f t="shared" si="12"/>
        <v>0</v>
      </c>
      <c r="X18" s="19">
        <f t="shared" si="12"/>
        <v>0</v>
      </c>
      <c r="Y18" s="19">
        <f t="shared" si="12"/>
        <v>0</v>
      </c>
      <c r="Z18" s="19">
        <f t="shared" si="12"/>
        <v>0</v>
      </c>
      <c r="AA18" s="19">
        <f t="shared" si="12"/>
        <v>0</v>
      </c>
      <c r="AB18" s="19">
        <f t="shared" si="12"/>
        <v>0</v>
      </c>
      <c r="AC18" s="19">
        <f t="shared" si="12"/>
        <v>0</v>
      </c>
      <c r="AD18" s="19">
        <f t="shared" si="12"/>
        <v>0</v>
      </c>
      <c r="AE18" s="19">
        <f t="shared" si="12"/>
        <v>0</v>
      </c>
      <c r="AF18" s="19">
        <f t="shared" si="12"/>
        <v>0</v>
      </c>
      <c r="AG18" s="19">
        <f t="shared" si="12"/>
        <v>0</v>
      </c>
      <c r="AH18" s="19">
        <f t="shared" si="12"/>
        <v>0</v>
      </c>
      <c r="AI18" s="19">
        <f t="shared" si="12"/>
        <v>0</v>
      </c>
    </row>
    <row r="19" spans="1:35" x14ac:dyDescent="0.25">
      <c r="A19" s="26">
        <v>5947</v>
      </c>
      <c r="B19" s="12" t="s">
        <v>1386</v>
      </c>
      <c r="C19" s="19"/>
      <c r="D19" s="19">
        <f t="shared" ref="D19:AI19" si="13">+D63+D83</f>
        <v>3100</v>
      </c>
      <c r="E19" s="19">
        <f t="shared" si="13"/>
        <v>0</v>
      </c>
      <c r="F19" s="19">
        <f t="shared" si="13"/>
        <v>0</v>
      </c>
      <c r="G19" s="19">
        <f t="shared" si="13"/>
        <v>0</v>
      </c>
      <c r="H19" s="19">
        <f t="shared" si="13"/>
        <v>0</v>
      </c>
      <c r="I19" s="19">
        <f t="shared" si="13"/>
        <v>0</v>
      </c>
      <c r="J19" s="19">
        <f t="shared" si="13"/>
        <v>0</v>
      </c>
      <c r="K19" s="19">
        <f t="shared" si="13"/>
        <v>0</v>
      </c>
      <c r="L19" s="19">
        <f t="shared" si="13"/>
        <v>0</v>
      </c>
      <c r="M19" s="19">
        <f t="shared" si="13"/>
        <v>0</v>
      </c>
      <c r="N19" s="19">
        <f t="shared" si="13"/>
        <v>0</v>
      </c>
      <c r="O19" s="19">
        <f t="shared" si="13"/>
        <v>0</v>
      </c>
      <c r="P19" s="19">
        <f t="shared" si="13"/>
        <v>0</v>
      </c>
      <c r="Q19" s="19">
        <f t="shared" si="13"/>
        <v>0</v>
      </c>
      <c r="R19" s="19">
        <f t="shared" si="13"/>
        <v>0</v>
      </c>
      <c r="S19" s="19">
        <f t="shared" si="13"/>
        <v>0</v>
      </c>
      <c r="T19" s="19">
        <f t="shared" si="13"/>
        <v>0</v>
      </c>
      <c r="U19" s="19">
        <f t="shared" si="13"/>
        <v>0</v>
      </c>
      <c r="V19" s="19">
        <f t="shared" si="13"/>
        <v>0</v>
      </c>
      <c r="W19" s="19">
        <f t="shared" si="13"/>
        <v>0</v>
      </c>
      <c r="X19" s="19">
        <f t="shared" si="13"/>
        <v>0</v>
      </c>
      <c r="Y19" s="19">
        <f t="shared" si="13"/>
        <v>0</v>
      </c>
      <c r="Z19" s="19">
        <f t="shared" si="13"/>
        <v>0</v>
      </c>
      <c r="AA19" s="19">
        <f t="shared" si="13"/>
        <v>0</v>
      </c>
      <c r="AB19" s="19">
        <f t="shared" si="13"/>
        <v>0</v>
      </c>
      <c r="AC19" s="19">
        <f t="shared" si="13"/>
        <v>0</v>
      </c>
      <c r="AD19" s="19">
        <f t="shared" si="13"/>
        <v>0</v>
      </c>
      <c r="AE19" s="19">
        <f t="shared" si="13"/>
        <v>0</v>
      </c>
      <c r="AF19" s="19">
        <f t="shared" si="13"/>
        <v>0</v>
      </c>
      <c r="AG19" s="19">
        <f t="shared" si="13"/>
        <v>0</v>
      </c>
      <c r="AH19" s="19">
        <f t="shared" si="13"/>
        <v>0</v>
      </c>
      <c r="AI19" s="19">
        <f t="shared" si="13"/>
        <v>0</v>
      </c>
    </row>
    <row r="20" spans="1:35" x14ac:dyDescent="0.25">
      <c r="A20" s="26"/>
      <c r="B20" s="27"/>
      <c r="C20" s="19"/>
      <c r="D20" s="19">
        <f>+D64+D84</f>
        <v>0</v>
      </c>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1:35" x14ac:dyDescent="0.25">
      <c r="A21" s="26"/>
      <c r="B21" s="27" t="s">
        <v>1746</v>
      </c>
      <c r="C21" s="19"/>
      <c r="D21" s="19">
        <f>+D65+D86</f>
        <v>132560</v>
      </c>
      <c r="E21" s="19">
        <f t="shared" ref="E21:AI21" si="14">+E65+E86</f>
        <v>128312</v>
      </c>
      <c r="F21" s="19">
        <f t="shared" si="14"/>
        <v>124016</v>
      </c>
      <c r="G21" s="19">
        <f t="shared" si="14"/>
        <v>119719</v>
      </c>
      <c r="H21" s="19">
        <f t="shared" si="14"/>
        <v>115325</v>
      </c>
      <c r="I21" s="19">
        <f t="shared" si="14"/>
        <v>110930</v>
      </c>
      <c r="J21" s="19">
        <f t="shared" si="14"/>
        <v>106536</v>
      </c>
      <c r="K21" s="19">
        <f t="shared" si="14"/>
        <v>102142</v>
      </c>
      <c r="L21" s="19">
        <f t="shared" si="14"/>
        <v>0</v>
      </c>
      <c r="M21" s="19">
        <f t="shared" si="14"/>
        <v>0</v>
      </c>
      <c r="N21" s="19">
        <f t="shared" si="14"/>
        <v>0</v>
      </c>
      <c r="O21" s="19">
        <f t="shared" si="14"/>
        <v>0</v>
      </c>
      <c r="P21" s="19">
        <f t="shared" si="14"/>
        <v>0</v>
      </c>
      <c r="Q21" s="19">
        <f t="shared" si="14"/>
        <v>0</v>
      </c>
      <c r="R21" s="19">
        <f t="shared" si="14"/>
        <v>0</v>
      </c>
      <c r="S21" s="19">
        <f t="shared" si="14"/>
        <v>0</v>
      </c>
      <c r="T21" s="19">
        <f t="shared" si="14"/>
        <v>0</v>
      </c>
      <c r="U21" s="19">
        <f t="shared" si="14"/>
        <v>0</v>
      </c>
      <c r="V21" s="19">
        <f t="shared" si="14"/>
        <v>0</v>
      </c>
      <c r="W21" s="19">
        <f t="shared" si="14"/>
        <v>0</v>
      </c>
      <c r="X21" s="19">
        <f t="shared" si="14"/>
        <v>0</v>
      </c>
      <c r="Y21" s="19">
        <f t="shared" si="14"/>
        <v>0</v>
      </c>
      <c r="Z21" s="19">
        <f t="shared" si="14"/>
        <v>0</v>
      </c>
      <c r="AA21" s="19">
        <f t="shared" si="14"/>
        <v>0</v>
      </c>
      <c r="AB21" s="19">
        <f t="shared" si="14"/>
        <v>0</v>
      </c>
      <c r="AC21" s="19">
        <f t="shared" si="14"/>
        <v>0</v>
      </c>
      <c r="AD21" s="19">
        <f t="shared" si="14"/>
        <v>0</v>
      </c>
      <c r="AE21" s="19">
        <f t="shared" si="14"/>
        <v>0</v>
      </c>
      <c r="AF21" s="19">
        <f t="shared" si="14"/>
        <v>0</v>
      </c>
      <c r="AG21" s="19">
        <f t="shared" si="14"/>
        <v>0</v>
      </c>
      <c r="AH21" s="19">
        <f t="shared" si="14"/>
        <v>0</v>
      </c>
      <c r="AI21" s="19">
        <f t="shared" si="14"/>
        <v>0</v>
      </c>
    </row>
    <row r="22" spans="1:35" x14ac:dyDescent="0.25">
      <c r="A22" s="26"/>
      <c r="B22" s="27" t="s">
        <v>1747</v>
      </c>
      <c r="C22" s="19"/>
      <c r="D22" s="19">
        <f>+D66+D87</f>
        <v>66552</v>
      </c>
      <c r="E22" s="19">
        <f t="shared" ref="E22:AI22" si="15">+E66+E87</f>
        <v>64914</v>
      </c>
      <c r="F22" s="19">
        <f t="shared" si="15"/>
        <v>63276</v>
      </c>
      <c r="G22" s="19">
        <f t="shared" si="15"/>
        <v>61638</v>
      </c>
      <c r="H22" s="19">
        <f t="shared" si="15"/>
        <v>0</v>
      </c>
      <c r="I22" s="19">
        <f t="shared" si="15"/>
        <v>0</v>
      </c>
      <c r="J22" s="19">
        <f t="shared" si="15"/>
        <v>0</v>
      </c>
      <c r="K22" s="19">
        <f t="shared" si="15"/>
        <v>0</v>
      </c>
      <c r="L22" s="19">
        <f t="shared" si="15"/>
        <v>0</v>
      </c>
      <c r="M22" s="19">
        <f t="shared" si="15"/>
        <v>0</v>
      </c>
      <c r="N22" s="19">
        <f t="shared" si="15"/>
        <v>0</v>
      </c>
      <c r="O22" s="19">
        <f t="shared" si="15"/>
        <v>0</v>
      </c>
      <c r="P22" s="19">
        <f t="shared" si="15"/>
        <v>0</v>
      </c>
      <c r="Q22" s="19">
        <f t="shared" si="15"/>
        <v>0</v>
      </c>
      <c r="R22" s="19">
        <f t="shared" si="15"/>
        <v>0</v>
      </c>
      <c r="S22" s="19">
        <f t="shared" si="15"/>
        <v>0</v>
      </c>
      <c r="T22" s="19">
        <f t="shared" si="15"/>
        <v>0</v>
      </c>
      <c r="U22" s="19">
        <f t="shared" si="15"/>
        <v>0</v>
      </c>
      <c r="V22" s="19">
        <f t="shared" si="15"/>
        <v>0</v>
      </c>
      <c r="W22" s="19">
        <f t="shared" si="15"/>
        <v>0</v>
      </c>
      <c r="X22" s="19">
        <f t="shared" si="15"/>
        <v>0</v>
      </c>
      <c r="Y22" s="19">
        <f t="shared" si="15"/>
        <v>0</v>
      </c>
      <c r="Z22" s="19">
        <f t="shared" si="15"/>
        <v>0</v>
      </c>
      <c r="AA22" s="19">
        <f t="shared" si="15"/>
        <v>0</v>
      </c>
      <c r="AB22" s="19">
        <f t="shared" si="15"/>
        <v>0</v>
      </c>
      <c r="AC22" s="19">
        <f t="shared" si="15"/>
        <v>0</v>
      </c>
      <c r="AD22" s="19">
        <f t="shared" si="15"/>
        <v>0</v>
      </c>
      <c r="AE22" s="19">
        <f t="shared" si="15"/>
        <v>0</v>
      </c>
      <c r="AF22" s="19">
        <f t="shared" si="15"/>
        <v>0</v>
      </c>
      <c r="AG22" s="19">
        <f t="shared" si="15"/>
        <v>0</v>
      </c>
      <c r="AH22" s="19">
        <f t="shared" si="15"/>
        <v>0</v>
      </c>
      <c r="AI22" s="19">
        <f t="shared" si="15"/>
        <v>0</v>
      </c>
    </row>
    <row r="23" spans="1:35" ht="13.8" thickBot="1" x14ac:dyDescent="0.3">
      <c r="A23" s="26"/>
      <c r="B23" s="27"/>
      <c r="C23" s="1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row>
    <row r="24" spans="1:35" ht="13.8" thickBot="1" x14ac:dyDescent="0.3">
      <c r="A24" s="26"/>
      <c r="B24" s="27" t="s">
        <v>1748</v>
      </c>
      <c r="C24" s="19"/>
      <c r="D24" s="467">
        <f t="shared" ref="D24:AI24" si="16">SUM(D6:D23)</f>
        <v>808886</v>
      </c>
      <c r="E24" s="467">
        <f t="shared" si="16"/>
        <v>795496</v>
      </c>
      <c r="F24" s="467">
        <f t="shared" si="16"/>
        <v>751060</v>
      </c>
      <c r="G24" s="467">
        <f t="shared" si="16"/>
        <v>721554</v>
      </c>
      <c r="H24" s="467">
        <f t="shared" si="16"/>
        <v>657205</v>
      </c>
      <c r="I24" s="467">
        <f t="shared" si="16"/>
        <v>653889</v>
      </c>
      <c r="J24" s="467">
        <f t="shared" si="16"/>
        <v>649934</v>
      </c>
      <c r="K24" s="467">
        <f t="shared" si="16"/>
        <v>644510</v>
      </c>
      <c r="L24" s="467">
        <f t="shared" si="16"/>
        <v>539903</v>
      </c>
      <c r="M24" s="467">
        <f t="shared" si="16"/>
        <v>513151</v>
      </c>
      <c r="N24" s="467">
        <f t="shared" si="16"/>
        <v>93693</v>
      </c>
      <c r="O24" s="467">
        <f t="shared" si="16"/>
        <v>93464</v>
      </c>
      <c r="P24" s="467">
        <f t="shared" si="16"/>
        <v>93230</v>
      </c>
      <c r="Q24" s="467">
        <f t="shared" si="16"/>
        <v>92986</v>
      </c>
      <c r="R24" s="467">
        <f t="shared" si="16"/>
        <v>92737</v>
      </c>
      <c r="S24" s="467">
        <f t="shared" si="16"/>
        <v>84228</v>
      </c>
      <c r="T24" s="467">
        <f t="shared" si="16"/>
        <v>78979</v>
      </c>
      <c r="U24" s="467">
        <f t="shared" si="16"/>
        <v>78929</v>
      </c>
      <c r="V24" s="467">
        <f t="shared" si="16"/>
        <v>78877</v>
      </c>
      <c r="W24" s="467">
        <f t="shared" si="16"/>
        <v>78824</v>
      </c>
      <c r="X24" s="467">
        <f t="shared" si="16"/>
        <v>42923</v>
      </c>
      <c r="Y24" s="467">
        <f t="shared" si="16"/>
        <v>42923</v>
      </c>
      <c r="Z24" s="467">
        <f t="shared" si="16"/>
        <v>42924</v>
      </c>
      <c r="AA24" s="467">
        <f t="shared" si="16"/>
        <v>42923</v>
      </c>
      <c r="AB24" s="467">
        <f t="shared" si="16"/>
        <v>42924</v>
      </c>
      <c r="AC24" s="467">
        <f t="shared" si="16"/>
        <v>42923</v>
      </c>
      <c r="AD24" s="467">
        <f t="shared" si="16"/>
        <v>42923</v>
      </c>
      <c r="AE24" s="467">
        <f t="shared" si="16"/>
        <v>42854</v>
      </c>
      <c r="AF24" s="467">
        <f t="shared" si="16"/>
        <v>20621</v>
      </c>
      <c r="AG24" s="467">
        <f t="shared" si="16"/>
        <v>20497</v>
      </c>
      <c r="AH24" s="467">
        <f t="shared" si="16"/>
        <v>0</v>
      </c>
      <c r="AI24" s="467">
        <f t="shared" si="16"/>
        <v>0</v>
      </c>
    </row>
    <row r="25" spans="1:35" x14ac:dyDescent="0.25">
      <c r="A25" s="26"/>
      <c r="B25" s="2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1:35" x14ac:dyDescent="0.25">
      <c r="B26" s="466" t="s">
        <v>1749</v>
      </c>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row>
    <row r="27" spans="1:35" x14ac:dyDescent="0.25">
      <c r="A27" s="26"/>
      <c r="B27" s="27"/>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row>
    <row r="28" spans="1:35" x14ac:dyDescent="0.25">
      <c r="A28" s="11" t="s">
        <v>1536</v>
      </c>
      <c r="B28" s="12" t="s">
        <v>1537</v>
      </c>
      <c r="C28" s="19"/>
      <c r="D28" s="19">
        <f t="shared" ref="D28:AI28" si="17">+D92+D109</f>
        <v>36675</v>
      </c>
      <c r="E28" s="19">
        <f t="shared" si="17"/>
        <v>35250</v>
      </c>
      <c r="F28" s="19">
        <f t="shared" si="17"/>
        <v>28750</v>
      </c>
      <c r="G28" s="19">
        <f t="shared" si="17"/>
        <v>27500</v>
      </c>
      <c r="H28" s="19">
        <f t="shared" si="17"/>
        <v>26250</v>
      </c>
      <c r="I28" s="19">
        <f t="shared" si="17"/>
        <v>0</v>
      </c>
      <c r="J28" s="19">
        <f t="shared" si="17"/>
        <v>0</v>
      </c>
      <c r="K28" s="19">
        <f t="shared" si="17"/>
        <v>0</v>
      </c>
      <c r="L28" s="19">
        <f t="shared" si="17"/>
        <v>0</v>
      </c>
      <c r="M28" s="19">
        <f t="shared" si="17"/>
        <v>0</v>
      </c>
      <c r="N28" s="19">
        <f t="shared" si="17"/>
        <v>0</v>
      </c>
      <c r="O28" s="19">
        <f t="shared" si="17"/>
        <v>0</v>
      </c>
      <c r="P28" s="19">
        <f t="shared" si="17"/>
        <v>0</v>
      </c>
      <c r="Q28" s="19">
        <f t="shared" si="17"/>
        <v>0</v>
      </c>
      <c r="R28" s="19">
        <f t="shared" si="17"/>
        <v>0</v>
      </c>
      <c r="S28" s="19">
        <f t="shared" si="17"/>
        <v>0</v>
      </c>
      <c r="T28" s="19">
        <f t="shared" si="17"/>
        <v>0</v>
      </c>
      <c r="U28" s="19">
        <f t="shared" si="17"/>
        <v>0</v>
      </c>
      <c r="V28" s="19">
        <f t="shared" si="17"/>
        <v>0</v>
      </c>
      <c r="W28" s="19">
        <f t="shared" si="17"/>
        <v>0</v>
      </c>
      <c r="X28" s="19">
        <f t="shared" si="17"/>
        <v>0</v>
      </c>
      <c r="Y28" s="19">
        <f t="shared" si="17"/>
        <v>0</v>
      </c>
      <c r="Z28" s="19">
        <f t="shared" si="17"/>
        <v>0</v>
      </c>
      <c r="AA28" s="19">
        <f t="shared" si="17"/>
        <v>0</v>
      </c>
      <c r="AB28" s="19">
        <f t="shared" si="17"/>
        <v>0</v>
      </c>
      <c r="AC28" s="19">
        <f t="shared" si="17"/>
        <v>0</v>
      </c>
      <c r="AD28" s="19">
        <f t="shared" si="17"/>
        <v>0</v>
      </c>
      <c r="AE28" s="19">
        <f t="shared" si="17"/>
        <v>0</v>
      </c>
      <c r="AF28" s="19">
        <f t="shared" si="17"/>
        <v>0</v>
      </c>
      <c r="AG28" s="19">
        <f t="shared" si="17"/>
        <v>0</v>
      </c>
      <c r="AH28" s="19">
        <f t="shared" si="17"/>
        <v>0</v>
      </c>
      <c r="AI28" s="19">
        <f t="shared" si="17"/>
        <v>0</v>
      </c>
    </row>
    <row r="29" spans="1:35" x14ac:dyDescent="0.25">
      <c r="A29" s="11" t="s">
        <v>1538</v>
      </c>
      <c r="B29" s="12" t="s">
        <v>1539</v>
      </c>
      <c r="C29" s="19"/>
      <c r="D29" s="19">
        <f t="shared" ref="D29:AI29" si="18">+D93+D110</f>
        <v>5988</v>
      </c>
      <c r="E29" s="19">
        <f t="shared" si="18"/>
        <v>5750</v>
      </c>
      <c r="F29" s="19">
        <f t="shared" si="18"/>
        <v>5500</v>
      </c>
      <c r="G29" s="19">
        <f t="shared" si="18"/>
        <v>5250</v>
      </c>
      <c r="H29" s="19">
        <f t="shared" si="18"/>
        <v>0</v>
      </c>
      <c r="I29" s="19">
        <f t="shared" si="18"/>
        <v>0</v>
      </c>
      <c r="J29" s="19">
        <f t="shared" si="18"/>
        <v>0</v>
      </c>
      <c r="K29" s="19">
        <f t="shared" si="18"/>
        <v>0</v>
      </c>
      <c r="L29" s="19">
        <f t="shared" si="18"/>
        <v>0</v>
      </c>
      <c r="M29" s="19">
        <f t="shared" si="18"/>
        <v>0</v>
      </c>
      <c r="N29" s="19">
        <f t="shared" si="18"/>
        <v>0</v>
      </c>
      <c r="O29" s="19">
        <f t="shared" si="18"/>
        <v>0</v>
      </c>
      <c r="P29" s="19">
        <f t="shared" si="18"/>
        <v>0</v>
      </c>
      <c r="Q29" s="19">
        <f t="shared" si="18"/>
        <v>0</v>
      </c>
      <c r="R29" s="19">
        <f t="shared" si="18"/>
        <v>0</v>
      </c>
      <c r="S29" s="19">
        <f t="shared" si="18"/>
        <v>0</v>
      </c>
      <c r="T29" s="19">
        <f t="shared" si="18"/>
        <v>0</v>
      </c>
      <c r="U29" s="19">
        <f t="shared" si="18"/>
        <v>0</v>
      </c>
      <c r="V29" s="19">
        <f t="shared" si="18"/>
        <v>0</v>
      </c>
      <c r="W29" s="19">
        <f t="shared" si="18"/>
        <v>0</v>
      </c>
      <c r="X29" s="19">
        <f t="shared" si="18"/>
        <v>0</v>
      </c>
      <c r="Y29" s="19">
        <f t="shared" si="18"/>
        <v>0</v>
      </c>
      <c r="Z29" s="19">
        <f t="shared" si="18"/>
        <v>0</v>
      </c>
      <c r="AA29" s="19">
        <f t="shared" si="18"/>
        <v>0</v>
      </c>
      <c r="AB29" s="19">
        <f t="shared" si="18"/>
        <v>0</v>
      </c>
      <c r="AC29" s="19">
        <f t="shared" si="18"/>
        <v>0</v>
      </c>
      <c r="AD29" s="19">
        <f t="shared" si="18"/>
        <v>0</v>
      </c>
      <c r="AE29" s="19">
        <f t="shared" si="18"/>
        <v>0</v>
      </c>
      <c r="AF29" s="19">
        <f t="shared" si="18"/>
        <v>0</v>
      </c>
      <c r="AG29" s="19">
        <f t="shared" si="18"/>
        <v>0</v>
      </c>
      <c r="AH29" s="19">
        <f t="shared" si="18"/>
        <v>0</v>
      </c>
      <c r="AI29" s="19">
        <f t="shared" si="18"/>
        <v>0</v>
      </c>
    </row>
    <row r="30" spans="1:35" x14ac:dyDescent="0.25">
      <c r="A30" s="11" t="s">
        <v>1542</v>
      </c>
      <c r="B30" s="12" t="s">
        <v>1543</v>
      </c>
      <c r="C30" s="19"/>
      <c r="D30" s="19">
        <f>+D95+D113</f>
        <v>18900</v>
      </c>
      <c r="E30" s="19">
        <f t="shared" ref="E30:AI30" si="19">+E95+E112</f>
        <v>15000</v>
      </c>
      <c r="F30" s="19">
        <f t="shared" si="19"/>
        <v>15000</v>
      </c>
      <c r="G30" s="19">
        <f t="shared" si="19"/>
        <v>10000</v>
      </c>
      <c r="H30" s="19">
        <f t="shared" si="19"/>
        <v>10000</v>
      </c>
      <c r="I30" s="19">
        <f t="shared" si="19"/>
        <v>10000</v>
      </c>
      <c r="J30" s="19">
        <f t="shared" si="19"/>
        <v>10000</v>
      </c>
      <c r="K30" s="19">
        <f t="shared" si="19"/>
        <v>10000</v>
      </c>
      <c r="L30" s="19">
        <f t="shared" si="19"/>
        <v>10000</v>
      </c>
      <c r="M30" s="19">
        <f t="shared" si="19"/>
        <v>0</v>
      </c>
      <c r="N30" s="19">
        <f t="shared" si="19"/>
        <v>0</v>
      </c>
      <c r="O30" s="19">
        <f t="shared" si="19"/>
        <v>0</v>
      </c>
      <c r="P30" s="19">
        <f t="shared" si="19"/>
        <v>0</v>
      </c>
      <c r="Q30" s="19">
        <f t="shared" si="19"/>
        <v>0</v>
      </c>
      <c r="R30" s="19">
        <f t="shared" si="19"/>
        <v>0</v>
      </c>
      <c r="S30" s="19">
        <f t="shared" si="19"/>
        <v>0</v>
      </c>
      <c r="T30" s="19">
        <f t="shared" si="19"/>
        <v>0</v>
      </c>
      <c r="U30" s="19">
        <f t="shared" si="19"/>
        <v>0</v>
      </c>
      <c r="V30" s="19">
        <f t="shared" si="19"/>
        <v>0</v>
      </c>
      <c r="W30" s="19">
        <f t="shared" si="19"/>
        <v>0</v>
      </c>
      <c r="X30" s="19">
        <f t="shared" si="19"/>
        <v>0</v>
      </c>
      <c r="Y30" s="19">
        <f t="shared" si="19"/>
        <v>0</v>
      </c>
      <c r="Z30" s="19">
        <f t="shared" si="19"/>
        <v>0</v>
      </c>
      <c r="AA30" s="19">
        <f t="shared" si="19"/>
        <v>0</v>
      </c>
      <c r="AB30" s="19">
        <f t="shared" si="19"/>
        <v>0</v>
      </c>
      <c r="AC30" s="19">
        <f t="shared" si="19"/>
        <v>0</v>
      </c>
      <c r="AD30" s="19">
        <f t="shared" si="19"/>
        <v>0</v>
      </c>
      <c r="AE30" s="19">
        <f t="shared" si="19"/>
        <v>0</v>
      </c>
      <c r="AF30" s="19">
        <f t="shared" si="19"/>
        <v>0</v>
      </c>
      <c r="AG30" s="19">
        <f t="shared" si="19"/>
        <v>0</v>
      </c>
      <c r="AH30" s="19">
        <f t="shared" si="19"/>
        <v>0</v>
      </c>
      <c r="AI30" s="19">
        <f t="shared" si="19"/>
        <v>0</v>
      </c>
    </row>
    <row r="31" spans="1:35" x14ac:dyDescent="0.25">
      <c r="A31" s="11" t="s">
        <v>1544</v>
      </c>
      <c r="B31" s="60" t="s">
        <v>1375</v>
      </c>
      <c r="C31" s="19"/>
      <c r="D31" s="19">
        <f>+D96+D114+D115</f>
        <v>35318</v>
      </c>
      <c r="E31" s="19">
        <f t="shared" ref="E31:AI31" si="20">+E96+E114+E115</f>
        <v>35273</v>
      </c>
      <c r="F31" s="19">
        <f t="shared" si="20"/>
        <v>35715</v>
      </c>
      <c r="G31" s="19">
        <f t="shared" si="20"/>
        <v>35182</v>
      </c>
      <c r="H31" s="19">
        <f t="shared" si="20"/>
        <v>35136</v>
      </c>
      <c r="I31" s="19">
        <f t="shared" si="20"/>
        <v>35086</v>
      </c>
      <c r="J31" s="19">
        <f t="shared" si="20"/>
        <v>35037</v>
      </c>
      <c r="K31" s="19">
        <f t="shared" si="20"/>
        <v>34985</v>
      </c>
      <c r="L31" s="19">
        <f t="shared" si="20"/>
        <v>35175</v>
      </c>
      <c r="M31" s="19">
        <f t="shared" si="20"/>
        <v>0</v>
      </c>
      <c r="N31" s="19">
        <f t="shared" si="20"/>
        <v>0</v>
      </c>
      <c r="O31" s="19">
        <f t="shared" si="20"/>
        <v>0</v>
      </c>
      <c r="P31" s="19">
        <f t="shared" si="20"/>
        <v>0</v>
      </c>
      <c r="Q31" s="19">
        <f t="shared" si="20"/>
        <v>0</v>
      </c>
      <c r="R31" s="19">
        <f t="shared" si="20"/>
        <v>0</v>
      </c>
      <c r="S31" s="19">
        <f t="shared" si="20"/>
        <v>0</v>
      </c>
      <c r="T31" s="19">
        <f t="shared" si="20"/>
        <v>0</v>
      </c>
      <c r="U31" s="19">
        <f t="shared" si="20"/>
        <v>0</v>
      </c>
      <c r="V31" s="19">
        <f t="shared" si="20"/>
        <v>0</v>
      </c>
      <c r="W31" s="19">
        <f t="shared" si="20"/>
        <v>0</v>
      </c>
      <c r="X31" s="19">
        <f t="shared" si="20"/>
        <v>0</v>
      </c>
      <c r="Y31" s="19">
        <f t="shared" si="20"/>
        <v>0</v>
      </c>
      <c r="Z31" s="19">
        <f t="shared" si="20"/>
        <v>0</v>
      </c>
      <c r="AA31" s="19">
        <f t="shared" si="20"/>
        <v>0</v>
      </c>
      <c r="AB31" s="19">
        <f t="shared" si="20"/>
        <v>0</v>
      </c>
      <c r="AC31" s="19">
        <f t="shared" si="20"/>
        <v>0</v>
      </c>
      <c r="AD31" s="19">
        <f t="shared" si="20"/>
        <v>0</v>
      </c>
      <c r="AE31" s="19">
        <f t="shared" si="20"/>
        <v>0</v>
      </c>
      <c r="AF31" s="19">
        <f t="shared" si="20"/>
        <v>0</v>
      </c>
      <c r="AG31" s="19">
        <f t="shared" si="20"/>
        <v>0</v>
      </c>
      <c r="AH31" s="19">
        <f t="shared" si="20"/>
        <v>0</v>
      </c>
      <c r="AI31" s="19">
        <f t="shared" si="20"/>
        <v>0</v>
      </c>
    </row>
    <row r="32" spans="1:35" x14ac:dyDescent="0.25">
      <c r="A32" s="11" t="s">
        <v>1545</v>
      </c>
      <c r="B32" s="60" t="s">
        <v>1376</v>
      </c>
      <c r="C32" s="19"/>
      <c r="D32" s="19">
        <f>+D168+D175+D176</f>
        <v>55068</v>
      </c>
      <c r="E32" s="19">
        <f t="shared" ref="E32:AI32" si="21">+E168+E175+E176</f>
        <v>55016</v>
      </c>
      <c r="F32" s="19">
        <f t="shared" si="21"/>
        <v>54964</v>
      </c>
      <c r="G32" s="19">
        <f t="shared" si="21"/>
        <v>54911</v>
      </c>
      <c r="H32" s="19">
        <f t="shared" si="21"/>
        <v>54855</v>
      </c>
      <c r="I32" s="19">
        <f t="shared" si="21"/>
        <v>54799</v>
      </c>
      <c r="J32" s="19">
        <f t="shared" si="21"/>
        <v>54682</v>
      </c>
      <c r="K32" s="19">
        <f t="shared" si="21"/>
        <v>54683</v>
      </c>
      <c r="L32" s="19">
        <f t="shared" si="21"/>
        <v>54622</v>
      </c>
      <c r="M32" s="19">
        <f t="shared" si="21"/>
        <v>54560</v>
      </c>
      <c r="N32" s="19">
        <f t="shared" si="21"/>
        <v>54497</v>
      </c>
      <c r="O32" s="19">
        <f t="shared" si="21"/>
        <v>54432</v>
      </c>
      <c r="P32" s="19">
        <f t="shared" si="21"/>
        <v>54366</v>
      </c>
      <c r="Q32" s="19">
        <f t="shared" si="21"/>
        <v>54297</v>
      </c>
      <c r="R32" s="19">
        <f t="shared" si="21"/>
        <v>54228</v>
      </c>
      <c r="S32" s="19">
        <f t="shared" si="21"/>
        <v>54155</v>
      </c>
      <c r="T32" s="19">
        <f t="shared" si="21"/>
        <v>54083</v>
      </c>
      <c r="U32" s="19">
        <f t="shared" si="21"/>
        <v>54007</v>
      </c>
      <c r="V32" s="19">
        <f t="shared" si="21"/>
        <v>53930</v>
      </c>
      <c r="W32" s="19">
        <f t="shared" si="21"/>
        <v>53852</v>
      </c>
      <c r="X32" s="19">
        <f t="shared" si="21"/>
        <v>0</v>
      </c>
      <c r="Y32" s="19">
        <f t="shared" si="21"/>
        <v>0</v>
      </c>
      <c r="Z32" s="19">
        <f t="shared" si="21"/>
        <v>0</v>
      </c>
      <c r="AA32" s="19">
        <f t="shared" si="21"/>
        <v>0</v>
      </c>
      <c r="AB32" s="19">
        <f t="shared" si="21"/>
        <v>0</v>
      </c>
      <c r="AC32" s="19">
        <f t="shared" si="21"/>
        <v>0</v>
      </c>
      <c r="AD32" s="19">
        <f t="shared" si="21"/>
        <v>0</v>
      </c>
      <c r="AE32" s="19">
        <f t="shared" si="21"/>
        <v>0</v>
      </c>
      <c r="AF32" s="19">
        <f t="shared" si="21"/>
        <v>0</v>
      </c>
      <c r="AG32" s="19">
        <f t="shared" si="21"/>
        <v>0</v>
      </c>
      <c r="AH32" s="19">
        <f t="shared" si="21"/>
        <v>0</v>
      </c>
      <c r="AI32" s="19">
        <f t="shared" si="21"/>
        <v>0</v>
      </c>
    </row>
    <row r="33" spans="1:35" x14ac:dyDescent="0.25">
      <c r="A33" s="11" t="s">
        <v>1546</v>
      </c>
      <c r="B33" s="60" t="s">
        <v>1377</v>
      </c>
      <c r="C33" s="19"/>
      <c r="D33" s="19">
        <f>+D169+D177</f>
        <v>33454</v>
      </c>
      <c r="E33" s="19">
        <f t="shared" ref="E33:AI33" si="22">+E169+E177</f>
        <v>33455</v>
      </c>
      <c r="F33" s="19">
        <f t="shared" si="22"/>
        <v>33455</v>
      </c>
      <c r="G33" s="19">
        <f t="shared" si="22"/>
        <v>33454</v>
      </c>
      <c r="H33" s="19">
        <f t="shared" si="22"/>
        <v>33455</v>
      </c>
      <c r="I33" s="19">
        <f t="shared" si="22"/>
        <v>33455</v>
      </c>
      <c r="J33" s="19">
        <f t="shared" si="22"/>
        <v>33454</v>
      </c>
      <c r="K33" s="19">
        <f t="shared" si="22"/>
        <v>33455</v>
      </c>
      <c r="L33" s="19">
        <f t="shared" si="22"/>
        <v>33455</v>
      </c>
      <c r="M33" s="19">
        <f t="shared" si="22"/>
        <v>33454</v>
      </c>
      <c r="N33" s="19">
        <f t="shared" si="22"/>
        <v>33455</v>
      </c>
      <c r="O33" s="19">
        <f t="shared" si="22"/>
        <v>33454</v>
      </c>
      <c r="P33" s="19">
        <f t="shared" si="22"/>
        <v>33454</v>
      </c>
      <c r="Q33" s="19">
        <f t="shared" si="22"/>
        <v>33455</v>
      </c>
      <c r="R33" s="19">
        <f t="shared" si="22"/>
        <v>33455</v>
      </c>
      <c r="S33" s="19">
        <f t="shared" si="22"/>
        <v>33455</v>
      </c>
      <c r="T33" s="19">
        <f t="shared" si="22"/>
        <v>33454</v>
      </c>
      <c r="U33" s="19">
        <f t="shared" si="22"/>
        <v>33455</v>
      </c>
      <c r="V33" s="19">
        <f t="shared" si="22"/>
        <v>33455</v>
      </c>
      <c r="W33" s="19">
        <f t="shared" si="22"/>
        <v>33455</v>
      </c>
      <c r="X33" s="19">
        <f t="shared" si="22"/>
        <v>33455</v>
      </c>
      <c r="Y33" s="19">
        <f t="shared" si="22"/>
        <v>33455</v>
      </c>
      <c r="Z33" s="19">
        <f t="shared" si="22"/>
        <v>33455</v>
      </c>
      <c r="AA33" s="19">
        <f t="shared" si="22"/>
        <v>33455</v>
      </c>
      <c r="AB33" s="19">
        <f t="shared" si="22"/>
        <v>33455</v>
      </c>
      <c r="AC33" s="19">
        <f t="shared" si="22"/>
        <v>33455</v>
      </c>
      <c r="AD33" s="19">
        <f t="shared" si="22"/>
        <v>33455</v>
      </c>
      <c r="AE33" s="19">
        <f t="shared" si="22"/>
        <v>33351</v>
      </c>
      <c r="AF33" s="19">
        <f t="shared" si="22"/>
        <v>0</v>
      </c>
      <c r="AG33" s="19">
        <f t="shared" si="22"/>
        <v>0</v>
      </c>
      <c r="AH33" s="19">
        <f t="shared" si="22"/>
        <v>0</v>
      </c>
      <c r="AI33" s="19">
        <f t="shared" si="22"/>
        <v>0</v>
      </c>
    </row>
    <row r="34" spans="1:35" x14ac:dyDescent="0.25">
      <c r="A34" s="11" t="s">
        <v>1547</v>
      </c>
      <c r="B34" s="60" t="s">
        <v>1378</v>
      </c>
      <c r="C34" s="19"/>
      <c r="D34" s="19">
        <f>+D99+D119</f>
        <v>30931</v>
      </c>
      <c r="E34" s="19">
        <f t="shared" ref="E34:AI34" si="23">+E162+E178</f>
        <v>35583</v>
      </c>
      <c r="F34" s="19">
        <f t="shared" si="23"/>
        <v>34924</v>
      </c>
      <c r="G34" s="19">
        <f t="shared" si="23"/>
        <v>34238</v>
      </c>
      <c r="H34" s="19">
        <f t="shared" si="23"/>
        <v>33524</v>
      </c>
      <c r="I34" s="19">
        <f t="shared" si="23"/>
        <v>32781</v>
      </c>
      <c r="J34" s="19">
        <f t="shared" si="23"/>
        <v>32006</v>
      </c>
      <c r="K34" s="19">
        <f t="shared" si="23"/>
        <v>31200</v>
      </c>
      <c r="L34" s="19">
        <f t="shared" si="23"/>
        <v>30361</v>
      </c>
      <c r="M34" s="19">
        <f t="shared" si="23"/>
        <v>29487</v>
      </c>
      <c r="N34" s="19">
        <f t="shared" si="23"/>
        <v>28577</v>
      </c>
      <c r="O34" s="19">
        <f t="shared" si="23"/>
        <v>27629</v>
      </c>
      <c r="P34" s="19">
        <f t="shared" si="23"/>
        <v>26642</v>
      </c>
      <c r="Q34" s="19">
        <f t="shared" si="23"/>
        <v>25615</v>
      </c>
      <c r="R34" s="19">
        <f t="shared" si="23"/>
        <v>24545</v>
      </c>
      <c r="S34" s="19">
        <f t="shared" si="23"/>
        <v>23431</v>
      </c>
      <c r="T34" s="19">
        <f t="shared" si="23"/>
        <v>22271</v>
      </c>
      <c r="U34" s="19">
        <f t="shared" si="23"/>
        <v>21063</v>
      </c>
      <c r="V34" s="19">
        <f t="shared" si="23"/>
        <v>19805</v>
      </c>
      <c r="W34" s="19">
        <f t="shared" si="23"/>
        <v>18496</v>
      </c>
      <c r="X34" s="19">
        <f t="shared" si="23"/>
        <v>17133</v>
      </c>
      <c r="Y34" s="19">
        <f t="shared" si="23"/>
        <v>15713</v>
      </c>
      <c r="Z34" s="19">
        <f t="shared" si="23"/>
        <v>14234</v>
      </c>
      <c r="AA34" s="19">
        <f t="shared" si="23"/>
        <v>12695</v>
      </c>
      <c r="AB34" s="19">
        <f t="shared" si="23"/>
        <v>11092</v>
      </c>
      <c r="AC34" s="19">
        <f t="shared" si="23"/>
        <v>9423</v>
      </c>
      <c r="AD34" s="19">
        <f t="shared" si="23"/>
        <v>7686</v>
      </c>
      <c r="AE34" s="19">
        <f t="shared" si="23"/>
        <v>5876</v>
      </c>
      <c r="AF34" s="19">
        <f t="shared" si="23"/>
        <v>3992</v>
      </c>
      <c r="AG34" s="19">
        <f t="shared" si="23"/>
        <v>2030</v>
      </c>
      <c r="AH34" s="19">
        <f t="shared" si="23"/>
        <v>0</v>
      </c>
      <c r="AI34" s="19">
        <f t="shared" si="23"/>
        <v>0</v>
      </c>
    </row>
    <row r="35" spans="1:35" x14ac:dyDescent="0.25">
      <c r="A35" s="11" t="s">
        <v>1548</v>
      </c>
      <c r="B35" s="12" t="s">
        <v>1549</v>
      </c>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row>
    <row r="36" spans="1:35" x14ac:dyDescent="0.25">
      <c r="A36" s="11" t="s">
        <v>1550</v>
      </c>
      <c r="B36" s="12" t="s">
        <v>1551</v>
      </c>
      <c r="C36" s="19"/>
      <c r="D36" s="19">
        <f>+D101+D122</f>
        <v>107300</v>
      </c>
      <c r="E36" s="19">
        <f t="shared" ref="E36:AI36" si="24">+E101+E122</f>
        <v>110500</v>
      </c>
      <c r="F36" s="19">
        <f t="shared" si="24"/>
        <v>108550</v>
      </c>
      <c r="G36" s="19">
        <f t="shared" si="24"/>
        <v>111600</v>
      </c>
      <c r="H36" s="19">
        <f t="shared" si="24"/>
        <v>109500</v>
      </c>
      <c r="I36" s="19">
        <f t="shared" si="24"/>
        <v>112400</v>
      </c>
      <c r="J36" s="19">
        <f t="shared" si="24"/>
        <v>110150</v>
      </c>
      <c r="K36" s="19">
        <f t="shared" si="24"/>
        <v>112338</v>
      </c>
      <c r="L36" s="19">
        <f t="shared" si="24"/>
        <v>109338</v>
      </c>
      <c r="M36" s="19">
        <f t="shared" si="24"/>
        <v>111338</v>
      </c>
      <c r="N36" s="19">
        <f t="shared" si="24"/>
        <v>113150</v>
      </c>
      <c r="O36" s="19">
        <f t="shared" si="24"/>
        <v>109775</v>
      </c>
      <c r="P36" s="19">
        <f t="shared" si="24"/>
        <v>111400</v>
      </c>
      <c r="Q36" s="19">
        <f t="shared" si="24"/>
        <v>112600</v>
      </c>
      <c r="R36" s="19">
        <f t="shared" si="24"/>
        <v>113600</v>
      </c>
      <c r="S36" s="19">
        <f t="shared" si="24"/>
        <v>114400</v>
      </c>
      <c r="T36" s="19">
        <f t="shared" si="24"/>
        <v>0</v>
      </c>
      <c r="U36" s="19">
        <f t="shared" si="24"/>
        <v>0</v>
      </c>
      <c r="V36" s="19">
        <f t="shared" si="24"/>
        <v>0</v>
      </c>
      <c r="W36" s="19">
        <f t="shared" si="24"/>
        <v>0</v>
      </c>
      <c r="X36" s="19">
        <f t="shared" si="24"/>
        <v>0</v>
      </c>
      <c r="Y36" s="19">
        <f t="shared" si="24"/>
        <v>0</v>
      </c>
      <c r="Z36" s="19">
        <f t="shared" si="24"/>
        <v>0</v>
      </c>
      <c r="AA36" s="19">
        <f t="shared" si="24"/>
        <v>0</v>
      </c>
      <c r="AB36" s="19">
        <f t="shared" si="24"/>
        <v>0</v>
      </c>
      <c r="AC36" s="19">
        <f t="shared" si="24"/>
        <v>0</v>
      </c>
      <c r="AD36" s="19">
        <f t="shared" si="24"/>
        <v>0</v>
      </c>
      <c r="AE36" s="19">
        <f t="shared" si="24"/>
        <v>0</v>
      </c>
      <c r="AF36" s="19">
        <f t="shared" si="24"/>
        <v>0</v>
      </c>
      <c r="AG36" s="19">
        <f t="shared" si="24"/>
        <v>0</v>
      </c>
      <c r="AH36" s="19">
        <f t="shared" si="24"/>
        <v>0</v>
      </c>
      <c r="AI36" s="19">
        <f t="shared" si="24"/>
        <v>0</v>
      </c>
    </row>
    <row r="37" spans="1:35" x14ac:dyDescent="0.25">
      <c r="A37" s="11" t="s">
        <v>1552</v>
      </c>
      <c r="B37" s="12" t="s">
        <v>1750</v>
      </c>
      <c r="C37" s="19"/>
      <c r="D37" s="19">
        <f>+D102+D123+D124</f>
        <v>101503</v>
      </c>
      <c r="E37" s="19">
        <f t="shared" ref="E37:AI37" si="25">+E102+E123+E124</f>
        <v>98088</v>
      </c>
      <c r="F37" s="19">
        <f t="shared" si="25"/>
        <v>98103</v>
      </c>
      <c r="G37" s="19">
        <f t="shared" si="25"/>
        <v>98118</v>
      </c>
      <c r="H37" s="19">
        <f t="shared" si="25"/>
        <v>98134</v>
      </c>
      <c r="I37" s="19">
        <f t="shared" si="25"/>
        <v>98150</v>
      </c>
      <c r="J37" s="19">
        <f t="shared" si="25"/>
        <v>98166</v>
      </c>
      <c r="K37" s="19">
        <f t="shared" si="25"/>
        <v>98184</v>
      </c>
      <c r="L37" s="19">
        <f t="shared" si="25"/>
        <v>98201</v>
      </c>
      <c r="M37" s="19">
        <f t="shared" si="25"/>
        <v>98218</v>
      </c>
      <c r="N37" s="19">
        <f t="shared" si="25"/>
        <v>98237</v>
      </c>
      <c r="O37" s="19">
        <f t="shared" si="25"/>
        <v>25256</v>
      </c>
      <c r="P37" s="19">
        <f t="shared" si="25"/>
        <v>98275</v>
      </c>
      <c r="Q37" s="19">
        <f t="shared" si="25"/>
        <v>98294</v>
      </c>
      <c r="R37" s="19">
        <f t="shared" si="25"/>
        <v>98314</v>
      </c>
      <c r="S37" s="19">
        <f t="shared" si="25"/>
        <v>98334</v>
      </c>
      <c r="T37" s="19">
        <f t="shared" si="25"/>
        <v>98354.32</v>
      </c>
      <c r="U37" s="19">
        <f t="shared" si="25"/>
        <v>98376</v>
      </c>
      <c r="V37" s="19">
        <f t="shared" si="25"/>
        <v>96777</v>
      </c>
      <c r="W37" s="19">
        <f t="shared" si="25"/>
        <v>98298.94</v>
      </c>
      <c r="X37" s="19">
        <f t="shared" si="25"/>
        <v>0</v>
      </c>
      <c r="Y37" s="19">
        <f t="shared" si="25"/>
        <v>0</v>
      </c>
      <c r="Z37" s="19">
        <f t="shared" si="25"/>
        <v>0</v>
      </c>
      <c r="AA37" s="19">
        <f t="shared" si="25"/>
        <v>0</v>
      </c>
      <c r="AB37" s="19">
        <f t="shared" si="25"/>
        <v>0</v>
      </c>
      <c r="AC37" s="19">
        <f t="shared" si="25"/>
        <v>0</v>
      </c>
      <c r="AD37" s="19">
        <f t="shared" si="25"/>
        <v>0</v>
      </c>
      <c r="AE37" s="19">
        <f t="shared" si="25"/>
        <v>0</v>
      </c>
      <c r="AF37" s="19">
        <f t="shared" si="25"/>
        <v>0</v>
      </c>
      <c r="AG37" s="19">
        <f t="shared" si="25"/>
        <v>0</v>
      </c>
      <c r="AH37" s="19">
        <f t="shared" si="25"/>
        <v>0</v>
      </c>
      <c r="AI37" s="19">
        <f t="shared" si="25"/>
        <v>0</v>
      </c>
    </row>
    <row r="38" spans="1:35" x14ac:dyDescent="0.25">
      <c r="A38" s="11" t="s">
        <v>1554</v>
      </c>
      <c r="B38" s="12" t="s">
        <v>1555</v>
      </c>
      <c r="C38" s="19"/>
      <c r="D38" s="19">
        <f>+D103+D125</f>
        <v>0</v>
      </c>
      <c r="E38" s="19">
        <f t="shared" ref="E38:AI38" si="26">+E103+E125</f>
        <v>0</v>
      </c>
      <c r="F38" s="19">
        <f t="shared" si="26"/>
        <v>0</v>
      </c>
      <c r="G38" s="19">
        <f t="shared" si="26"/>
        <v>0</v>
      </c>
      <c r="H38" s="19">
        <f t="shared" si="26"/>
        <v>0</v>
      </c>
      <c r="I38" s="19">
        <f t="shared" si="26"/>
        <v>0</v>
      </c>
      <c r="J38" s="19">
        <f t="shared" si="26"/>
        <v>0</v>
      </c>
      <c r="K38" s="19">
        <f t="shared" si="26"/>
        <v>0</v>
      </c>
      <c r="L38" s="19">
        <f t="shared" si="26"/>
        <v>0</v>
      </c>
      <c r="M38" s="19">
        <f t="shared" si="26"/>
        <v>0</v>
      </c>
      <c r="N38" s="19">
        <f t="shared" si="26"/>
        <v>0</v>
      </c>
      <c r="O38" s="19">
        <f t="shared" si="26"/>
        <v>0</v>
      </c>
      <c r="P38" s="19">
        <f t="shared" si="26"/>
        <v>0</v>
      </c>
      <c r="Q38" s="19">
        <f t="shared" si="26"/>
        <v>0</v>
      </c>
      <c r="R38" s="19">
        <f t="shared" si="26"/>
        <v>0</v>
      </c>
      <c r="S38" s="19">
        <f t="shared" si="26"/>
        <v>0</v>
      </c>
      <c r="T38" s="19">
        <f t="shared" si="26"/>
        <v>0</v>
      </c>
      <c r="U38" s="19">
        <f t="shared" si="26"/>
        <v>0</v>
      </c>
      <c r="V38" s="19">
        <f t="shared" si="26"/>
        <v>0</v>
      </c>
      <c r="W38" s="19">
        <f t="shared" si="26"/>
        <v>0</v>
      </c>
      <c r="X38" s="19">
        <f t="shared" si="26"/>
        <v>0</v>
      </c>
      <c r="Y38" s="19">
        <f t="shared" si="26"/>
        <v>0</v>
      </c>
      <c r="Z38" s="19">
        <f t="shared" si="26"/>
        <v>0</v>
      </c>
      <c r="AA38" s="19">
        <f t="shared" si="26"/>
        <v>0</v>
      </c>
      <c r="AB38" s="19">
        <f t="shared" si="26"/>
        <v>0</v>
      </c>
      <c r="AC38" s="19">
        <f t="shared" si="26"/>
        <v>0</v>
      </c>
      <c r="AD38" s="19">
        <f t="shared" si="26"/>
        <v>0</v>
      </c>
      <c r="AE38" s="19">
        <f t="shared" si="26"/>
        <v>0</v>
      </c>
      <c r="AF38" s="19">
        <f t="shared" si="26"/>
        <v>0</v>
      </c>
      <c r="AG38" s="19">
        <f t="shared" si="26"/>
        <v>0</v>
      </c>
      <c r="AH38" s="19">
        <f t="shared" si="26"/>
        <v>0</v>
      </c>
      <c r="AI38" s="19">
        <f t="shared" si="26"/>
        <v>0</v>
      </c>
    </row>
    <row r="39" spans="1:35" x14ac:dyDescent="0.25">
      <c r="A39" s="11" t="s">
        <v>1556</v>
      </c>
      <c r="B39" s="12" t="s">
        <v>1751</v>
      </c>
      <c r="C39" s="19"/>
      <c r="D39" s="19">
        <f>+D104+D126</f>
        <v>0</v>
      </c>
      <c r="E39" s="19">
        <f t="shared" ref="E39:AI39" si="27">+E104+E126</f>
        <v>0</v>
      </c>
      <c r="F39" s="19">
        <f t="shared" si="27"/>
        <v>0</v>
      </c>
      <c r="G39" s="19">
        <f t="shared" si="27"/>
        <v>0</v>
      </c>
      <c r="H39" s="19">
        <f t="shared" si="27"/>
        <v>0</v>
      </c>
      <c r="I39" s="19">
        <f t="shared" si="27"/>
        <v>0</v>
      </c>
      <c r="J39" s="19">
        <f t="shared" si="27"/>
        <v>0</v>
      </c>
      <c r="K39" s="19">
        <f t="shared" si="27"/>
        <v>0</v>
      </c>
      <c r="L39" s="19">
        <f t="shared" si="27"/>
        <v>0</v>
      </c>
      <c r="M39" s="19">
        <f t="shared" si="27"/>
        <v>0</v>
      </c>
      <c r="N39" s="19">
        <f t="shared" si="27"/>
        <v>0</v>
      </c>
      <c r="O39" s="19">
        <f t="shared" si="27"/>
        <v>0</v>
      </c>
      <c r="P39" s="19">
        <f t="shared" si="27"/>
        <v>0</v>
      </c>
      <c r="Q39" s="19">
        <f t="shared" si="27"/>
        <v>0</v>
      </c>
      <c r="R39" s="19">
        <f t="shared" si="27"/>
        <v>0</v>
      </c>
      <c r="S39" s="19">
        <f t="shared" si="27"/>
        <v>0</v>
      </c>
      <c r="T39" s="19">
        <f t="shared" si="27"/>
        <v>0</v>
      </c>
      <c r="U39" s="19">
        <f t="shared" si="27"/>
        <v>0</v>
      </c>
      <c r="V39" s="19">
        <f t="shared" si="27"/>
        <v>0</v>
      </c>
      <c r="W39" s="19">
        <f t="shared" si="27"/>
        <v>0</v>
      </c>
      <c r="X39" s="19">
        <f t="shared" si="27"/>
        <v>0</v>
      </c>
      <c r="Y39" s="19">
        <f t="shared" si="27"/>
        <v>0</v>
      </c>
      <c r="Z39" s="19">
        <f t="shared" si="27"/>
        <v>0</v>
      </c>
      <c r="AA39" s="19">
        <f t="shared" si="27"/>
        <v>0</v>
      </c>
      <c r="AB39" s="19">
        <f t="shared" si="27"/>
        <v>0</v>
      </c>
      <c r="AC39" s="19">
        <f t="shared" si="27"/>
        <v>0</v>
      </c>
      <c r="AD39" s="19">
        <f t="shared" si="27"/>
        <v>0</v>
      </c>
      <c r="AE39" s="19">
        <f t="shared" si="27"/>
        <v>0</v>
      </c>
      <c r="AF39" s="19">
        <f t="shared" si="27"/>
        <v>0</v>
      </c>
      <c r="AG39" s="19">
        <f t="shared" si="27"/>
        <v>0</v>
      </c>
      <c r="AH39" s="19">
        <f t="shared" si="27"/>
        <v>0</v>
      </c>
      <c r="AI39" s="19">
        <f t="shared" si="27"/>
        <v>0</v>
      </c>
    </row>
    <row r="40" spans="1:35" x14ac:dyDescent="0.25">
      <c r="A40" s="11" t="s">
        <v>1558</v>
      </c>
      <c r="B40" s="12" t="s">
        <v>1559</v>
      </c>
      <c r="C40" s="19"/>
      <c r="D40" s="19">
        <f>+D105+D127</f>
        <v>0</v>
      </c>
      <c r="E40" s="19">
        <f t="shared" ref="E40:AI40" si="28">+E105+E127</f>
        <v>0</v>
      </c>
      <c r="F40" s="19">
        <f t="shared" si="28"/>
        <v>0</v>
      </c>
      <c r="G40" s="19">
        <f t="shared" si="28"/>
        <v>0</v>
      </c>
      <c r="H40" s="19">
        <f t="shared" si="28"/>
        <v>0</v>
      </c>
      <c r="I40" s="19">
        <f t="shared" si="28"/>
        <v>0</v>
      </c>
      <c r="J40" s="19">
        <f t="shared" si="28"/>
        <v>0</v>
      </c>
      <c r="K40" s="19">
        <f t="shared" si="28"/>
        <v>0</v>
      </c>
      <c r="L40" s="19">
        <f t="shared" si="28"/>
        <v>0</v>
      </c>
      <c r="M40" s="19">
        <f t="shared" si="28"/>
        <v>0</v>
      </c>
      <c r="N40" s="19">
        <f t="shared" si="28"/>
        <v>0</v>
      </c>
      <c r="O40" s="19">
        <f t="shared" si="28"/>
        <v>0</v>
      </c>
      <c r="P40" s="19">
        <f t="shared" si="28"/>
        <v>0</v>
      </c>
      <c r="Q40" s="19">
        <f t="shared" si="28"/>
        <v>0</v>
      </c>
      <c r="R40" s="19">
        <f t="shared" si="28"/>
        <v>0</v>
      </c>
      <c r="S40" s="19">
        <f t="shared" si="28"/>
        <v>0</v>
      </c>
      <c r="T40" s="19">
        <f t="shared" si="28"/>
        <v>0</v>
      </c>
      <c r="U40" s="19">
        <f t="shared" si="28"/>
        <v>0</v>
      </c>
      <c r="V40" s="19">
        <f t="shared" si="28"/>
        <v>0</v>
      </c>
      <c r="W40" s="19">
        <f t="shared" si="28"/>
        <v>0</v>
      </c>
      <c r="X40" s="19">
        <f t="shared" si="28"/>
        <v>0</v>
      </c>
      <c r="Y40" s="19">
        <f t="shared" si="28"/>
        <v>0</v>
      </c>
      <c r="Z40" s="19">
        <f t="shared" si="28"/>
        <v>0</v>
      </c>
      <c r="AA40" s="19">
        <f t="shared" si="28"/>
        <v>0</v>
      </c>
      <c r="AB40" s="19">
        <f t="shared" si="28"/>
        <v>0</v>
      </c>
      <c r="AC40" s="19">
        <f t="shared" si="28"/>
        <v>0</v>
      </c>
      <c r="AD40" s="19">
        <f t="shared" si="28"/>
        <v>0</v>
      </c>
      <c r="AE40" s="19">
        <f t="shared" si="28"/>
        <v>0</v>
      </c>
      <c r="AF40" s="19">
        <f t="shared" si="28"/>
        <v>0</v>
      </c>
      <c r="AG40" s="19">
        <f t="shared" si="28"/>
        <v>0</v>
      </c>
      <c r="AH40" s="19">
        <f t="shared" si="28"/>
        <v>0</v>
      </c>
      <c r="AI40" s="19">
        <f t="shared" si="28"/>
        <v>0</v>
      </c>
    </row>
    <row r="41" spans="1:35" x14ac:dyDescent="0.25">
      <c r="A41" s="11" t="s">
        <v>1560</v>
      </c>
      <c r="B41" s="12" t="s">
        <v>1752</v>
      </c>
      <c r="C41" s="19"/>
      <c r="D41" s="19">
        <f>+D106+D128</f>
        <v>5000</v>
      </c>
      <c r="E41" s="19">
        <f t="shared" ref="E41:AI41" si="29">+E106+E128</f>
        <v>0</v>
      </c>
      <c r="F41" s="19">
        <f t="shared" si="29"/>
        <v>0</v>
      </c>
      <c r="G41" s="19">
        <f t="shared" si="29"/>
        <v>0</v>
      </c>
      <c r="H41" s="19">
        <f t="shared" si="29"/>
        <v>0</v>
      </c>
      <c r="I41" s="19">
        <f t="shared" si="29"/>
        <v>0</v>
      </c>
      <c r="J41" s="19">
        <f t="shared" si="29"/>
        <v>0</v>
      </c>
      <c r="K41" s="19">
        <f t="shared" si="29"/>
        <v>0</v>
      </c>
      <c r="L41" s="19">
        <f t="shared" si="29"/>
        <v>0</v>
      </c>
      <c r="M41" s="19">
        <f t="shared" si="29"/>
        <v>0</v>
      </c>
      <c r="N41" s="19">
        <f t="shared" si="29"/>
        <v>0</v>
      </c>
      <c r="O41" s="19">
        <f t="shared" si="29"/>
        <v>0</v>
      </c>
      <c r="P41" s="19">
        <f t="shared" si="29"/>
        <v>0</v>
      </c>
      <c r="Q41" s="19">
        <f t="shared" si="29"/>
        <v>0</v>
      </c>
      <c r="R41" s="19">
        <f t="shared" si="29"/>
        <v>0</v>
      </c>
      <c r="S41" s="19">
        <f t="shared" si="29"/>
        <v>0</v>
      </c>
      <c r="T41" s="19">
        <f t="shared" si="29"/>
        <v>0</v>
      </c>
      <c r="U41" s="19">
        <f t="shared" si="29"/>
        <v>0</v>
      </c>
      <c r="V41" s="19">
        <f t="shared" si="29"/>
        <v>0</v>
      </c>
      <c r="W41" s="19">
        <f t="shared" si="29"/>
        <v>0</v>
      </c>
      <c r="X41" s="19">
        <f t="shared" si="29"/>
        <v>0</v>
      </c>
      <c r="Y41" s="19">
        <f t="shared" si="29"/>
        <v>0</v>
      </c>
      <c r="Z41" s="19">
        <f t="shared" si="29"/>
        <v>0</v>
      </c>
      <c r="AA41" s="19">
        <f t="shared" si="29"/>
        <v>0</v>
      </c>
      <c r="AB41" s="19">
        <f t="shared" si="29"/>
        <v>0</v>
      </c>
      <c r="AC41" s="19">
        <f t="shared" si="29"/>
        <v>0</v>
      </c>
      <c r="AD41" s="19">
        <f t="shared" si="29"/>
        <v>0</v>
      </c>
      <c r="AE41" s="19">
        <f t="shared" si="29"/>
        <v>0</v>
      </c>
      <c r="AF41" s="19">
        <f t="shared" si="29"/>
        <v>0</v>
      </c>
      <c r="AG41" s="19">
        <f t="shared" si="29"/>
        <v>0</v>
      </c>
      <c r="AH41" s="19">
        <f t="shared" si="29"/>
        <v>0</v>
      </c>
      <c r="AI41" s="19">
        <f t="shared" si="29"/>
        <v>0</v>
      </c>
    </row>
    <row r="42" spans="1:35" ht="13.8" thickBot="1" x14ac:dyDescent="0.3">
      <c r="A42" s="26"/>
      <c r="B42" s="27"/>
      <c r="C42" s="1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row>
    <row r="43" spans="1:35" ht="13.8" thickBot="1" x14ac:dyDescent="0.3">
      <c r="A43" s="26"/>
      <c r="B43" s="27" t="s">
        <v>1753</v>
      </c>
      <c r="C43" s="19"/>
      <c r="D43" s="467">
        <f t="shared" ref="D43:AI43" si="30">SUM(D28:D42)</f>
        <v>430137</v>
      </c>
      <c r="E43" s="467">
        <f t="shared" si="30"/>
        <v>423915</v>
      </c>
      <c r="F43" s="467">
        <f t="shared" si="30"/>
        <v>414961</v>
      </c>
      <c r="G43" s="467">
        <f t="shared" si="30"/>
        <v>410253</v>
      </c>
      <c r="H43" s="467">
        <f t="shared" si="30"/>
        <v>400854</v>
      </c>
      <c r="I43" s="467">
        <f t="shared" si="30"/>
        <v>376671</v>
      </c>
      <c r="J43" s="467">
        <f t="shared" si="30"/>
        <v>373495</v>
      </c>
      <c r="K43" s="467">
        <f t="shared" si="30"/>
        <v>374845</v>
      </c>
      <c r="L43" s="467">
        <f t="shared" si="30"/>
        <v>371152</v>
      </c>
      <c r="M43" s="467">
        <f t="shared" si="30"/>
        <v>327057</v>
      </c>
      <c r="N43" s="467">
        <f t="shared" si="30"/>
        <v>327916</v>
      </c>
      <c r="O43" s="467">
        <f t="shared" si="30"/>
        <v>250546</v>
      </c>
      <c r="P43" s="467">
        <f t="shared" si="30"/>
        <v>324137</v>
      </c>
      <c r="Q43" s="467">
        <f t="shared" si="30"/>
        <v>324261</v>
      </c>
      <c r="R43" s="467">
        <f t="shared" si="30"/>
        <v>324142</v>
      </c>
      <c r="S43" s="467">
        <f t="shared" si="30"/>
        <v>323775</v>
      </c>
      <c r="T43" s="467">
        <f t="shared" si="30"/>
        <v>208162.32</v>
      </c>
      <c r="U43" s="467">
        <f t="shared" si="30"/>
        <v>206901</v>
      </c>
      <c r="V43" s="467">
        <f t="shared" si="30"/>
        <v>203967</v>
      </c>
      <c r="W43" s="467">
        <f t="shared" si="30"/>
        <v>204101.94</v>
      </c>
      <c r="X43" s="467">
        <f t="shared" si="30"/>
        <v>50588</v>
      </c>
      <c r="Y43" s="467">
        <f t="shared" si="30"/>
        <v>49168</v>
      </c>
      <c r="Z43" s="467">
        <f t="shared" si="30"/>
        <v>47689</v>
      </c>
      <c r="AA43" s="467">
        <f t="shared" si="30"/>
        <v>46150</v>
      </c>
      <c r="AB43" s="467">
        <f t="shared" si="30"/>
        <v>44547</v>
      </c>
      <c r="AC43" s="467">
        <f t="shared" si="30"/>
        <v>42878</v>
      </c>
      <c r="AD43" s="467">
        <f t="shared" si="30"/>
        <v>41141</v>
      </c>
      <c r="AE43" s="467">
        <f t="shared" si="30"/>
        <v>39227</v>
      </c>
      <c r="AF43" s="467">
        <f t="shared" si="30"/>
        <v>3992</v>
      </c>
      <c r="AG43" s="467">
        <f t="shared" si="30"/>
        <v>2030</v>
      </c>
      <c r="AH43" s="467">
        <f t="shared" si="30"/>
        <v>0</v>
      </c>
      <c r="AI43" s="467">
        <f t="shared" si="30"/>
        <v>0</v>
      </c>
    </row>
    <row r="44" spans="1:35" ht="13.8" thickBot="1" x14ac:dyDescent="0.3">
      <c r="A44" s="26"/>
      <c r="B44" s="27"/>
      <c r="C44" s="19"/>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row>
    <row r="45" spans="1:35" ht="14.4" thickTop="1" thickBot="1" x14ac:dyDescent="0.3">
      <c r="A45" s="26"/>
      <c r="B45" s="27" t="s">
        <v>1754</v>
      </c>
      <c r="C45" s="19"/>
      <c r="D45" s="470">
        <f>+D43+D24</f>
        <v>1239023</v>
      </c>
      <c r="E45" s="470">
        <f t="shared" ref="E45:AI45" si="31">+E43+E24</f>
        <v>1219411</v>
      </c>
      <c r="F45" s="470">
        <f t="shared" si="31"/>
        <v>1166021</v>
      </c>
      <c r="G45" s="470">
        <f t="shared" si="31"/>
        <v>1131807</v>
      </c>
      <c r="H45" s="470">
        <f t="shared" si="31"/>
        <v>1058059</v>
      </c>
      <c r="I45" s="470">
        <f t="shared" si="31"/>
        <v>1030560</v>
      </c>
      <c r="J45" s="470">
        <f t="shared" si="31"/>
        <v>1023429</v>
      </c>
      <c r="K45" s="470">
        <f t="shared" si="31"/>
        <v>1019355</v>
      </c>
      <c r="L45" s="470">
        <f t="shared" si="31"/>
        <v>911055</v>
      </c>
      <c r="M45" s="470">
        <f t="shared" si="31"/>
        <v>840208</v>
      </c>
      <c r="N45" s="470">
        <f t="shared" si="31"/>
        <v>421609</v>
      </c>
      <c r="O45" s="470">
        <f t="shared" si="31"/>
        <v>344010</v>
      </c>
      <c r="P45" s="470">
        <f t="shared" si="31"/>
        <v>417367</v>
      </c>
      <c r="Q45" s="470">
        <f t="shared" si="31"/>
        <v>417247</v>
      </c>
      <c r="R45" s="470">
        <f t="shared" si="31"/>
        <v>416879</v>
      </c>
      <c r="S45" s="470">
        <f t="shared" si="31"/>
        <v>408003</v>
      </c>
      <c r="T45" s="470">
        <f t="shared" si="31"/>
        <v>287141.32</v>
      </c>
      <c r="U45" s="470">
        <f t="shared" si="31"/>
        <v>285830</v>
      </c>
      <c r="V45" s="470">
        <f t="shared" si="31"/>
        <v>282844</v>
      </c>
      <c r="W45" s="470">
        <f t="shared" si="31"/>
        <v>282925.94</v>
      </c>
      <c r="X45" s="470">
        <f t="shared" si="31"/>
        <v>93511</v>
      </c>
      <c r="Y45" s="470">
        <f t="shared" si="31"/>
        <v>92091</v>
      </c>
      <c r="Z45" s="470">
        <f t="shared" si="31"/>
        <v>90613</v>
      </c>
      <c r="AA45" s="470">
        <f t="shared" si="31"/>
        <v>89073</v>
      </c>
      <c r="AB45" s="470">
        <f t="shared" si="31"/>
        <v>87471</v>
      </c>
      <c r="AC45" s="470">
        <f t="shared" si="31"/>
        <v>85801</v>
      </c>
      <c r="AD45" s="470">
        <f t="shared" si="31"/>
        <v>84064</v>
      </c>
      <c r="AE45" s="470">
        <f t="shared" si="31"/>
        <v>82081</v>
      </c>
      <c r="AF45" s="470">
        <f t="shared" si="31"/>
        <v>24613</v>
      </c>
      <c r="AG45" s="470">
        <f t="shared" si="31"/>
        <v>22527</v>
      </c>
      <c r="AH45" s="470">
        <f t="shared" si="31"/>
        <v>0</v>
      </c>
      <c r="AI45" s="470">
        <f t="shared" si="31"/>
        <v>0</v>
      </c>
    </row>
    <row r="46" spans="1:35" ht="13.8" thickTop="1" x14ac:dyDescent="0.25">
      <c r="A46" s="26"/>
      <c r="B46" s="27"/>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row>
    <row r="47" spans="1:35" x14ac:dyDescent="0.25">
      <c r="A47" s="463"/>
      <c r="B47" s="464"/>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c r="AG47" s="465"/>
      <c r="AH47" s="465"/>
      <c r="AI47" s="465"/>
    </row>
    <row r="48" spans="1:35" x14ac:dyDescent="0.25">
      <c r="A48" s="26"/>
      <c r="B48" s="27"/>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row>
    <row r="49" spans="1:35" x14ac:dyDescent="0.25">
      <c r="A49" s="26"/>
      <c r="B49" s="27" t="s">
        <v>1755</v>
      </c>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row>
    <row r="50" spans="1:35" x14ac:dyDescent="0.25">
      <c r="A50" s="11">
        <v>5910</v>
      </c>
      <c r="B50" s="12" t="s">
        <v>1372</v>
      </c>
      <c r="C50" s="36">
        <v>35000</v>
      </c>
      <c r="D50" s="36">
        <v>35000</v>
      </c>
      <c r="E50" s="36">
        <v>35000</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1:35" x14ac:dyDescent="0.25">
      <c r="A51" s="11">
        <v>5916</v>
      </c>
      <c r="B51" s="12" t="s">
        <v>1373</v>
      </c>
      <c r="C51" s="14">
        <f>15000+10000</f>
        <v>25000</v>
      </c>
      <c r="D51" s="14">
        <f>10000+10000</f>
        <v>20000</v>
      </c>
      <c r="E51" s="14">
        <f>10000+10000</f>
        <v>20000</v>
      </c>
      <c r="F51" s="14">
        <f t="shared" ref="F51:L51" si="32">5000+10000</f>
        <v>15000</v>
      </c>
      <c r="G51" s="14">
        <f t="shared" si="32"/>
        <v>15000</v>
      </c>
      <c r="H51" s="14">
        <f t="shared" si="32"/>
        <v>15000</v>
      </c>
      <c r="I51" s="14">
        <f t="shared" si="32"/>
        <v>15000</v>
      </c>
      <c r="J51" s="14">
        <f t="shared" si="32"/>
        <v>15000</v>
      </c>
      <c r="K51" s="14">
        <f t="shared" si="32"/>
        <v>15000</v>
      </c>
      <c r="L51" s="14">
        <f t="shared" si="32"/>
        <v>15000</v>
      </c>
      <c r="M51" s="14"/>
      <c r="N51" s="14"/>
      <c r="O51" s="14"/>
      <c r="P51" s="14"/>
      <c r="Q51" s="14"/>
      <c r="R51" s="14"/>
      <c r="S51" s="14"/>
      <c r="T51" s="14"/>
      <c r="U51" s="14"/>
      <c r="V51" s="14"/>
      <c r="W51" s="14"/>
      <c r="X51" s="14"/>
      <c r="Y51" s="14"/>
      <c r="Z51" s="14"/>
      <c r="AA51" s="14"/>
      <c r="AB51" s="14"/>
      <c r="AC51" s="14"/>
      <c r="AD51" s="14"/>
      <c r="AE51" s="14"/>
      <c r="AF51" s="14"/>
      <c r="AG51" s="14"/>
      <c r="AH51" s="14"/>
      <c r="AI51" s="14"/>
    </row>
    <row r="52" spans="1:35" x14ac:dyDescent="0.25">
      <c r="A52" s="11">
        <v>5920</v>
      </c>
      <c r="B52" s="12" t="s">
        <v>1374</v>
      </c>
      <c r="C52" s="14">
        <v>255000</v>
      </c>
      <c r="D52" s="14">
        <v>265000</v>
      </c>
      <c r="E52" s="14">
        <v>275000</v>
      </c>
      <c r="F52" s="14">
        <v>290000</v>
      </c>
      <c r="G52" s="14">
        <v>300000</v>
      </c>
      <c r="H52" s="14">
        <v>315000</v>
      </c>
      <c r="I52" s="14">
        <v>330000</v>
      </c>
      <c r="J52" s="14">
        <v>345000</v>
      </c>
      <c r="K52" s="14">
        <v>360000</v>
      </c>
      <c r="L52" s="14">
        <v>375000</v>
      </c>
      <c r="M52" s="14">
        <v>405000</v>
      </c>
      <c r="N52" s="14"/>
      <c r="O52" s="14"/>
      <c r="P52" s="14"/>
      <c r="Q52" s="14"/>
      <c r="R52" s="14"/>
      <c r="S52" s="14"/>
      <c r="T52" s="14"/>
      <c r="U52" s="14"/>
      <c r="V52" s="14"/>
      <c r="W52" s="14"/>
      <c r="X52" s="14"/>
      <c r="Y52" s="14"/>
      <c r="Z52" s="14"/>
      <c r="AA52" s="14"/>
      <c r="AB52" s="14"/>
      <c r="AC52" s="14"/>
      <c r="AD52" s="14"/>
      <c r="AE52" s="14"/>
      <c r="AF52" s="14"/>
      <c r="AG52" s="14"/>
      <c r="AH52" s="14"/>
      <c r="AI52" s="14"/>
    </row>
    <row r="53" spans="1:35" x14ac:dyDescent="0.25">
      <c r="A53" s="11">
        <v>5930</v>
      </c>
      <c r="B53" s="101" t="s">
        <v>1375</v>
      </c>
      <c r="C53" s="14">
        <f>+C151</f>
        <v>19246</v>
      </c>
      <c r="D53" s="14">
        <f t="shared" ref="D53:AI56" si="33">+D151</f>
        <v>19635</v>
      </c>
      <c r="E53" s="14">
        <f t="shared" si="33"/>
        <v>20032</v>
      </c>
      <c r="F53" s="14">
        <f t="shared" si="33"/>
        <v>20760</v>
      </c>
      <c r="G53" s="14">
        <f t="shared" si="33"/>
        <v>20849</v>
      </c>
      <c r="H53" s="14">
        <f t="shared" si="33"/>
        <v>21270</v>
      </c>
      <c r="I53" s="14">
        <f t="shared" si="33"/>
        <v>21700</v>
      </c>
      <c r="J53" s="14">
        <f t="shared" si="33"/>
        <v>22138</v>
      </c>
      <c r="K53" s="14">
        <f t="shared" si="33"/>
        <v>22586</v>
      </c>
      <c r="L53" s="14">
        <f t="shared" si="33"/>
        <v>23042</v>
      </c>
      <c r="M53" s="14">
        <f t="shared" si="33"/>
        <v>0</v>
      </c>
      <c r="N53" s="14">
        <f t="shared" si="33"/>
        <v>0</v>
      </c>
      <c r="O53" s="14">
        <f t="shared" si="33"/>
        <v>0</v>
      </c>
      <c r="P53" s="14">
        <f t="shared" si="33"/>
        <v>0</v>
      </c>
      <c r="Q53" s="14">
        <f t="shared" si="33"/>
        <v>0</v>
      </c>
      <c r="R53" s="14">
        <f t="shared" si="33"/>
        <v>0</v>
      </c>
      <c r="S53" s="14">
        <f t="shared" si="33"/>
        <v>0</v>
      </c>
      <c r="T53" s="14">
        <f t="shared" si="33"/>
        <v>0</v>
      </c>
      <c r="U53" s="14">
        <f t="shared" si="33"/>
        <v>0</v>
      </c>
      <c r="V53" s="14">
        <f t="shared" si="33"/>
        <v>0</v>
      </c>
      <c r="W53" s="14">
        <f t="shared" si="33"/>
        <v>0</v>
      </c>
      <c r="X53" s="14">
        <f t="shared" si="33"/>
        <v>0</v>
      </c>
      <c r="Y53" s="14">
        <f t="shared" si="33"/>
        <v>0</v>
      </c>
      <c r="Z53" s="14">
        <f t="shared" si="33"/>
        <v>0</v>
      </c>
      <c r="AA53" s="14">
        <f t="shared" si="33"/>
        <v>0</v>
      </c>
      <c r="AB53" s="14">
        <f t="shared" si="33"/>
        <v>0</v>
      </c>
      <c r="AC53" s="14">
        <f t="shared" si="33"/>
        <v>0</v>
      </c>
      <c r="AD53" s="14">
        <f t="shared" si="33"/>
        <v>0</v>
      </c>
      <c r="AE53" s="14">
        <f t="shared" si="33"/>
        <v>0</v>
      </c>
      <c r="AF53" s="14">
        <f t="shared" si="33"/>
        <v>0</v>
      </c>
      <c r="AG53" s="14">
        <f t="shared" si="33"/>
        <v>0</v>
      </c>
      <c r="AH53" s="14">
        <f t="shared" si="33"/>
        <v>0</v>
      </c>
      <c r="AI53" s="14">
        <f t="shared" si="33"/>
        <v>0</v>
      </c>
    </row>
    <row r="54" spans="1:35" x14ac:dyDescent="0.25">
      <c r="A54" s="11">
        <v>5931</v>
      </c>
      <c r="B54" s="60" t="s">
        <v>1376</v>
      </c>
      <c r="C54" s="14">
        <f>+C152</f>
        <v>21872</v>
      </c>
      <c r="D54" s="14">
        <f t="shared" ref="D54:R54" si="34">+D152</f>
        <v>22406</v>
      </c>
      <c r="E54" s="14">
        <f t="shared" si="34"/>
        <v>22954</v>
      </c>
      <c r="F54" s="14">
        <f t="shared" si="34"/>
        <v>23514</v>
      </c>
      <c r="G54" s="14">
        <f t="shared" si="34"/>
        <v>24089</v>
      </c>
      <c r="H54" s="14">
        <f t="shared" si="34"/>
        <v>24678</v>
      </c>
      <c r="I54" s="14">
        <f t="shared" si="34"/>
        <v>25281</v>
      </c>
      <c r="J54" s="14">
        <f t="shared" si="34"/>
        <v>25898</v>
      </c>
      <c r="K54" s="14">
        <f t="shared" si="34"/>
        <v>26531</v>
      </c>
      <c r="L54" s="14">
        <f t="shared" si="34"/>
        <v>27180</v>
      </c>
      <c r="M54" s="14">
        <f t="shared" si="34"/>
        <v>27844</v>
      </c>
      <c r="N54" s="14">
        <f t="shared" si="34"/>
        <v>28524</v>
      </c>
      <c r="O54" s="14">
        <f t="shared" si="34"/>
        <v>29221</v>
      </c>
      <c r="P54" s="14">
        <f t="shared" si="34"/>
        <v>29935</v>
      </c>
      <c r="Q54" s="14">
        <f t="shared" si="34"/>
        <v>30667</v>
      </c>
      <c r="R54" s="14">
        <f t="shared" si="34"/>
        <v>31416</v>
      </c>
      <c r="S54" s="14">
        <f t="shared" si="33"/>
        <v>32184</v>
      </c>
      <c r="T54" s="14">
        <f t="shared" si="33"/>
        <v>32970</v>
      </c>
      <c r="U54" s="14">
        <f t="shared" si="33"/>
        <v>33776</v>
      </c>
      <c r="V54" s="14">
        <f t="shared" si="33"/>
        <v>34601</v>
      </c>
      <c r="W54" s="14">
        <f t="shared" si="33"/>
        <v>35446</v>
      </c>
      <c r="X54" s="14">
        <f t="shared" si="33"/>
        <v>0</v>
      </c>
      <c r="Y54" s="14">
        <f t="shared" si="33"/>
        <v>0</v>
      </c>
      <c r="Z54" s="14">
        <f t="shared" si="33"/>
        <v>0</v>
      </c>
      <c r="AA54" s="14">
        <f t="shared" si="33"/>
        <v>0</v>
      </c>
      <c r="AB54" s="14">
        <f t="shared" si="33"/>
        <v>0</v>
      </c>
      <c r="AC54" s="14">
        <f t="shared" si="33"/>
        <v>0</v>
      </c>
      <c r="AD54" s="14">
        <f t="shared" si="33"/>
        <v>0</v>
      </c>
      <c r="AE54" s="14">
        <f t="shared" si="33"/>
        <v>0</v>
      </c>
      <c r="AF54" s="14">
        <f t="shared" si="33"/>
        <v>0</v>
      </c>
      <c r="AG54" s="14">
        <f t="shared" si="33"/>
        <v>0</v>
      </c>
      <c r="AH54" s="14">
        <f t="shared" si="33"/>
        <v>0</v>
      </c>
      <c r="AI54" s="14">
        <f t="shared" si="33"/>
        <v>0</v>
      </c>
    </row>
    <row r="55" spans="1:35" x14ac:dyDescent="0.25">
      <c r="A55" s="11">
        <v>5932</v>
      </c>
      <c r="B55" s="60" t="s">
        <v>1377</v>
      </c>
      <c r="C55" s="14">
        <f>+C153</f>
        <v>6444</v>
      </c>
      <c r="D55" s="14">
        <f t="shared" si="33"/>
        <v>6726</v>
      </c>
      <c r="E55" s="14">
        <f t="shared" si="33"/>
        <v>7020</v>
      </c>
      <c r="F55" s="14">
        <f t="shared" si="33"/>
        <v>7327</v>
      </c>
      <c r="G55" s="14">
        <f t="shared" si="33"/>
        <v>7647</v>
      </c>
      <c r="H55" s="14">
        <f t="shared" si="33"/>
        <v>7982</v>
      </c>
      <c r="I55" s="14">
        <f t="shared" si="33"/>
        <v>8331</v>
      </c>
      <c r="J55" s="14">
        <f t="shared" si="33"/>
        <v>8696</v>
      </c>
      <c r="K55" s="14">
        <f t="shared" si="33"/>
        <v>9076</v>
      </c>
      <c r="L55" s="14">
        <f t="shared" si="33"/>
        <v>9473</v>
      </c>
      <c r="M55" s="14">
        <f t="shared" si="33"/>
        <v>9888</v>
      </c>
      <c r="N55" s="14">
        <f t="shared" si="33"/>
        <v>10320</v>
      </c>
      <c r="O55" s="14">
        <f t="shared" si="33"/>
        <v>10772</v>
      </c>
      <c r="P55" s="14">
        <f t="shared" si="33"/>
        <v>11243</v>
      </c>
      <c r="Q55" s="14">
        <f t="shared" si="33"/>
        <v>11735</v>
      </c>
      <c r="R55" s="14">
        <f t="shared" si="33"/>
        <v>12248</v>
      </c>
      <c r="S55" s="14">
        <f t="shared" si="33"/>
        <v>12784</v>
      </c>
      <c r="T55" s="14">
        <f t="shared" si="33"/>
        <v>13344</v>
      </c>
      <c r="U55" s="14">
        <f t="shared" si="33"/>
        <v>13927</v>
      </c>
      <c r="V55" s="14">
        <f t="shared" si="33"/>
        <v>14536</v>
      </c>
      <c r="W55" s="14">
        <f t="shared" si="33"/>
        <v>15172</v>
      </c>
      <c r="X55" s="14">
        <f t="shared" si="33"/>
        <v>15836</v>
      </c>
      <c r="Y55" s="14">
        <f t="shared" si="33"/>
        <v>16529</v>
      </c>
      <c r="Z55" s="14">
        <f t="shared" si="33"/>
        <v>17252</v>
      </c>
      <c r="AA55" s="14">
        <f t="shared" si="33"/>
        <v>18007</v>
      </c>
      <c r="AB55" s="14">
        <f t="shared" si="33"/>
        <v>18795</v>
      </c>
      <c r="AC55" s="14">
        <f t="shared" si="33"/>
        <v>19617</v>
      </c>
      <c r="AD55" s="14">
        <f t="shared" si="33"/>
        <v>20475</v>
      </c>
      <c r="AE55" s="14">
        <f t="shared" si="33"/>
        <v>21302</v>
      </c>
      <c r="AF55" s="14">
        <f t="shared" si="33"/>
        <v>0</v>
      </c>
      <c r="AG55" s="14">
        <f t="shared" si="33"/>
        <v>0</v>
      </c>
      <c r="AH55" s="14">
        <f t="shared" si="33"/>
        <v>0</v>
      </c>
      <c r="AI55" s="14">
        <f t="shared" si="33"/>
        <v>0</v>
      </c>
    </row>
    <row r="56" spans="1:35" x14ac:dyDescent="0.25">
      <c r="A56" s="11">
        <v>5933</v>
      </c>
      <c r="B56" s="60" t="s">
        <v>1378</v>
      </c>
      <c r="C56" s="14">
        <f>+C154</f>
        <v>5891</v>
      </c>
      <c r="D56" s="14">
        <f t="shared" si="33"/>
        <v>6134</v>
      </c>
      <c r="E56" s="14">
        <f t="shared" si="33"/>
        <v>6387</v>
      </c>
      <c r="F56" s="14">
        <f t="shared" si="33"/>
        <v>6651</v>
      </c>
      <c r="G56" s="14">
        <f t="shared" si="33"/>
        <v>6925</v>
      </c>
      <c r="H56" s="14">
        <f t="shared" si="33"/>
        <v>7211</v>
      </c>
      <c r="I56" s="14">
        <f t="shared" si="33"/>
        <v>7508</v>
      </c>
      <c r="J56" s="14">
        <f t="shared" si="33"/>
        <v>7818</v>
      </c>
      <c r="K56" s="14">
        <f t="shared" si="33"/>
        <v>8140</v>
      </c>
      <c r="L56" s="14">
        <f t="shared" si="33"/>
        <v>8476</v>
      </c>
      <c r="M56" s="14">
        <f t="shared" si="33"/>
        <v>8826</v>
      </c>
      <c r="N56" s="14">
        <f t="shared" si="33"/>
        <v>9190</v>
      </c>
      <c r="O56" s="14">
        <f t="shared" si="33"/>
        <v>9569</v>
      </c>
      <c r="P56" s="14">
        <f t="shared" si="33"/>
        <v>9964</v>
      </c>
      <c r="Q56" s="14">
        <f t="shared" si="33"/>
        <v>10374</v>
      </c>
      <c r="R56" s="14">
        <f t="shared" si="33"/>
        <v>10802</v>
      </c>
      <c r="S56" s="14">
        <f t="shared" si="33"/>
        <v>11248</v>
      </c>
      <c r="T56" s="14">
        <f t="shared" si="33"/>
        <v>11712</v>
      </c>
      <c r="U56" s="14">
        <f t="shared" si="33"/>
        <v>12195</v>
      </c>
      <c r="V56" s="14">
        <f t="shared" si="33"/>
        <v>12698</v>
      </c>
      <c r="W56" s="14">
        <f t="shared" si="33"/>
        <v>13222</v>
      </c>
      <c r="X56" s="14">
        <f t="shared" si="33"/>
        <v>13767</v>
      </c>
      <c r="Y56" s="14">
        <f t="shared" si="33"/>
        <v>14335</v>
      </c>
      <c r="Z56" s="14">
        <f t="shared" si="33"/>
        <v>14927</v>
      </c>
      <c r="AA56" s="14">
        <f t="shared" si="33"/>
        <v>15542</v>
      </c>
      <c r="AB56" s="14">
        <f t="shared" si="33"/>
        <v>16184</v>
      </c>
      <c r="AC56" s="14">
        <f t="shared" si="33"/>
        <v>16851</v>
      </c>
      <c r="AD56" s="14">
        <f t="shared" si="33"/>
        <v>17546</v>
      </c>
      <c r="AE56" s="14">
        <f t="shared" si="33"/>
        <v>18270</v>
      </c>
      <c r="AF56" s="14">
        <f t="shared" si="33"/>
        <v>19024</v>
      </c>
      <c r="AG56" s="14">
        <f t="shared" si="33"/>
        <v>19685</v>
      </c>
      <c r="AH56" s="14">
        <f t="shared" si="33"/>
        <v>0</v>
      </c>
      <c r="AI56" s="14">
        <f t="shared" si="33"/>
        <v>0</v>
      </c>
    </row>
    <row r="57" spans="1:35" x14ac:dyDescent="0.25">
      <c r="A57" s="11">
        <v>5934</v>
      </c>
      <c r="B57" s="12" t="s">
        <v>1379</v>
      </c>
      <c r="C57" s="36">
        <v>5000</v>
      </c>
      <c r="D57" s="36">
        <v>5000</v>
      </c>
      <c r="E57" s="36">
        <v>5000</v>
      </c>
      <c r="F57" s="36">
        <v>5000</v>
      </c>
      <c r="G57" s="36">
        <v>5000</v>
      </c>
      <c r="H57" s="36">
        <v>5000</v>
      </c>
      <c r="I57" s="36">
        <v>5000</v>
      </c>
      <c r="J57" s="36">
        <v>5000</v>
      </c>
      <c r="K57" s="36">
        <v>5000</v>
      </c>
      <c r="L57" s="36">
        <v>5000</v>
      </c>
      <c r="M57" s="36">
        <v>5000</v>
      </c>
      <c r="N57" s="36"/>
      <c r="O57" s="36"/>
      <c r="P57" s="36"/>
      <c r="Q57" s="36"/>
      <c r="R57" s="36"/>
      <c r="S57" s="36"/>
      <c r="T57" s="36"/>
      <c r="U57" s="36"/>
      <c r="V57" s="36"/>
      <c r="W57" s="36"/>
      <c r="X57" s="36"/>
      <c r="Y57" s="36"/>
      <c r="Z57" s="36"/>
      <c r="AA57" s="36"/>
      <c r="AB57" s="36"/>
      <c r="AC57" s="36"/>
      <c r="AD57" s="36"/>
      <c r="AE57" s="36"/>
      <c r="AF57" s="36"/>
      <c r="AG57" s="36"/>
      <c r="AH57" s="36"/>
      <c r="AI57" s="36"/>
    </row>
    <row r="58" spans="1:35" x14ac:dyDescent="0.25">
      <c r="A58" s="11">
        <v>5936</v>
      </c>
      <c r="B58" s="12" t="s">
        <v>1381</v>
      </c>
      <c r="C58" s="36">
        <v>5618</v>
      </c>
      <c r="D58" s="36">
        <v>5758</v>
      </c>
      <c r="E58" s="36">
        <v>5902</v>
      </c>
      <c r="F58" s="36">
        <v>6050</v>
      </c>
      <c r="G58" s="36">
        <v>6201</v>
      </c>
      <c r="H58" s="36">
        <v>6356</v>
      </c>
      <c r="I58" s="36">
        <v>6515</v>
      </c>
      <c r="J58" s="36">
        <v>6678</v>
      </c>
      <c r="K58" s="36">
        <v>6845</v>
      </c>
      <c r="L58" s="36">
        <v>7016</v>
      </c>
      <c r="M58" s="36">
        <v>7191</v>
      </c>
      <c r="N58" s="36">
        <v>7371</v>
      </c>
      <c r="O58" s="36">
        <v>7555</v>
      </c>
      <c r="P58" s="36">
        <v>7744</v>
      </c>
      <c r="Q58" s="36">
        <v>7938</v>
      </c>
      <c r="R58" s="36">
        <v>8136</v>
      </c>
      <c r="S58" s="36"/>
      <c r="T58" s="36"/>
      <c r="U58" s="36"/>
      <c r="V58" s="36"/>
      <c r="W58" s="36"/>
      <c r="X58" s="36"/>
      <c r="Y58" s="36"/>
      <c r="Z58" s="36"/>
      <c r="AA58" s="36"/>
      <c r="AB58" s="36"/>
      <c r="AC58" s="36"/>
      <c r="AD58" s="36"/>
      <c r="AE58" s="36"/>
      <c r="AF58" s="36"/>
      <c r="AG58" s="36"/>
      <c r="AH58" s="36"/>
      <c r="AI58" s="36"/>
    </row>
    <row r="59" spans="1:35" x14ac:dyDescent="0.25">
      <c r="A59" s="26">
        <v>5937</v>
      </c>
      <c r="B59" s="12" t="s">
        <v>1382</v>
      </c>
      <c r="C59" s="36">
        <v>5000</v>
      </c>
      <c r="D59" s="36">
        <v>5000</v>
      </c>
      <c r="E59" s="36">
        <v>5000</v>
      </c>
      <c r="F59" s="36">
        <v>5000</v>
      </c>
      <c r="G59" s="36">
        <v>5000</v>
      </c>
      <c r="H59" s="36">
        <v>5000</v>
      </c>
      <c r="I59" s="36">
        <v>5000</v>
      </c>
      <c r="J59" s="36">
        <v>5000</v>
      </c>
      <c r="K59" s="36">
        <v>5000</v>
      </c>
      <c r="L59" s="36">
        <v>5000</v>
      </c>
      <c r="M59" s="36">
        <v>5000</v>
      </c>
      <c r="N59" s="36">
        <v>5000</v>
      </c>
      <c r="O59" s="36">
        <v>5000</v>
      </c>
      <c r="P59" s="36">
        <v>5000</v>
      </c>
      <c r="Q59" s="36">
        <v>5000</v>
      </c>
      <c r="R59" s="36">
        <v>5000</v>
      </c>
      <c r="S59" s="36">
        <v>5000</v>
      </c>
      <c r="T59" s="36"/>
      <c r="U59" s="36"/>
      <c r="V59" s="36"/>
      <c r="W59" s="36"/>
      <c r="X59" s="36"/>
      <c r="Y59" s="36"/>
      <c r="Z59" s="36"/>
      <c r="AA59" s="36"/>
      <c r="AB59" s="36"/>
      <c r="AC59" s="36"/>
      <c r="AD59" s="36"/>
      <c r="AE59" s="36"/>
      <c r="AF59" s="36"/>
      <c r="AG59" s="36"/>
      <c r="AH59" s="36"/>
      <c r="AI59" s="36"/>
    </row>
    <row r="60" spans="1:35" x14ac:dyDescent="0.25">
      <c r="A60" s="26">
        <v>5938</v>
      </c>
      <c r="B60" s="12" t="s">
        <v>1383</v>
      </c>
      <c r="C60" s="36"/>
      <c r="D60" s="36">
        <v>10000</v>
      </c>
      <c r="E60" s="36">
        <v>10000</v>
      </c>
      <c r="F60" s="36">
        <v>10000</v>
      </c>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1:35" x14ac:dyDescent="0.25">
      <c r="A61" s="26">
        <v>5939</v>
      </c>
      <c r="B61" s="12" t="s">
        <v>1384</v>
      </c>
      <c r="C61" s="36"/>
      <c r="D61" s="36">
        <v>10000</v>
      </c>
      <c r="E61" s="36">
        <v>10000</v>
      </c>
      <c r="F61" s="36">
        <v>10000</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1:35" x14ac:dyDescent="0.25">
      <c r="A62" s="26">
        <v>5944</v>
      </c>
      <c r="B62" s="12" t="s">
        <v>1385</v>
      </c>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1:35" x14ac:dyDescent="0.25">
      <c r="A63" s="26">
        <v>5947</v>
      </c>
      <c r="B63" s="12" t="s">
        <v>1386</v>
      </c>
      <c r="C63" s="36"/>
      <c r="D63" s="36">
        <v>3100</v>
      </c>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1:35" ht="13.8" thickBot="1" x14ac:dyDescent="0.3">
      <c r="A64" s="11"/>
      <c r="B64" s="12"/>
      <c r="C64" s="16"/>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row>
    <row r="65" spans="1:35" x14ac:dyDescent="0.25">
      <c r="A65" s="11"/>
      <c r="B65" s="12" t="s">
        <v>1756</v>
      </c>
      <c r="C65" s="19"/>
      <c r="D65" s="14">
        <f>ROUND((105000*0.93),0)</f>
        <v>97650</v>
      </c>
      <c r="E65" s="14">
        <f t="shared" ref="E65:K65" si="35">ROUND((105000*0.93),0)</f>
        <v>97650</v>
      </c>
      <c r="F65" s="14">
        <f t="shared" si="35"/>
        <v>97650</v>
      </c>
      <c r="G65" s="14">
        <f t="shared" si="35"/>
        <v>97650</v>
      </c>
      <c r="H65" s="14">
        <f t="shared" si="35"/>
        <v>97650</v>
      </c>
      <c r="I65" s="14">
        <f t="shared" si="35"/>
        <v>97650</v>
      </c>
      <c r="J65" s="14">
        <f t="shared" si="35"/>
        <v>97650</v>
      </c>
      <c r="K65" s="14">
        <f t="shared" si="35"/>
        <v>97650</v>
      </c>
      <c r="L65" s="14"/>
      <c r="M65" s="14"/>
      <c r="N65" s="14"/>
      <c r="O65" s="14"/>
      <c r="P65" s="14"/>
      <c r="Q65" s="14"/>
      <c r="R65" s="14"/>
      <c r="S65" s="14"/>
      <c r="T65" s="14"/>
      <c r="U65" s="14"/>
      <c r="V65" s="14"/>
      <c r="W65" s="14"/>
      <c r="X65" s="14"/>
      <c r="Y65" s="14"/>
      <c r="Z65" s="14"/>
      <c r="AA65" s="14"/>
      <c r="AB65" s="14"/>
      <c r="AC65" s="14"/>
      <c r="AD65" s="14"/>
      <c r="AE65" s="14"/>
      <c r="AF65" s="14"/>
      <c r="AG65" s="14"/>
      <c r="AH65" s="14"/>
      <c r="AI65" s="14"/>
    </row>
    <row r="66" spans="1:35" x14ac:dyDescent="0.25">
      <c r="A66" s="11"/>
      <c r="B66" s="12" t="s">
        <v>1757</v>
      </c>
      <c r="C66" s="19"/>
      <c r="D66" s="19">
        <v>60000</v>
      </c>
      <c r="E66" s="19">
        <v>60000</v>
      </c>
      <c r="F66" s="19">
        <v>60000</v>
      </c>
      <c r="G66" s="19">
        <v>60000</v>
      </c>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row>
    <row r="67" spans="1:35" x14ac:dyDescent="0.25">
      <c r="A67" s="11"/>
      <c r="B67" s="12"/>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row>
    <row r="68" spans="1:35" x14ac:dyDescent="0.25">
      <c r="A68" s="11"/>
      <c r="B68" s="12" t="s">
        <v>1758</v>
      </c>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row>
    <row r="69" spans="1:35" x14ac:dyDescent="0.25">
      <c r="A69" s="11">
        <v>5910</v>
      </c>
      <c r="B69" s="12" t="s">
        <v>1372</v>
      </c>
      <c r="C69" s="36">
        <f>2923+1960</f>
        <v>4883</v>
      </c>
      <c r="D69" s="36">
        <f>1960+980</f>
        <v>2940</v>
      </c>
      <c r="E69" s="36">
        <v>980</v>
      </c>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row>
    <row r="70" spans="1:35" x14ac:dyDescent="0.25">
      <c r="A70" s="11">
        <v>5916</v>
      </c>
      <c r="B70" s="12" t="s">
        <v>1373</v>
      </c>
      <c r="C70" s="14">
        <f>1400+1100+2000+1800</f>
        <v>6300</v>
      </c>
      <c r="D70" s="14">
        <f>1100+900+1800+1600</f>
        <v>5400</v>
      </c>
      <c r="E70" s="14">
        <f>900+700+1600+1400</f>
        <v>4600</v>
      </c>
      <c r="F70" s="14">
        <f>700+600+1400+1200</f>
        <v>3900</v>
      </c>
      <c r="G70" s="14">
        <f>600+500+1200+1000</f>
        <v>3300</v>
      </c>
      <c r="H70" s="14">
        <f>500+400+1000+800</f>
        <v>2700</v>
      </c>
      <c r="I70" s="14">
        <f>400+300+800+600</f>
        <v>2100</v>
      </c>
      <c r="J70" s="14">
        <f>300+200+600+400</f>
        <v>1500</v>
      </c>
      <c r="K70" s="14">
        <f>200+100+400+200</f>
        <v>900</v>
      </c>
      <c r="L70" s="14">
        <f>100+200</f>
        <v>300</v>
      </c>
      <c r="M70" s="14"/>
      <c r="N70" s="14"/>
      <c r="O70" s="14"/>
      <c r="P70" s="14"/>
      <c r="Q70" s="14"/>
      <c r="R70" s="14"/>
      <c r="S70" s="14"/>
      <c r="T70" s="14"/>
      <c r="U70" s="14"/>
      <c r="V70" s="14"/>
      <c r="W70" s="14"/>
      <c r="X70" s="14"/>
      <c r="Y70" s="14"/>
      <c r="Z70" s="14"/>
      <c r="AA70" s="14"/>
      <c r="AB70" s="14"/>
      <c r="AC70" s="14"/>
      <c r="AD70" s="14"/>
      <c r="AE70" s="14"/>
      <c r="AF70" s="14"/>
      <c r="AG70" s="14"/>
      <c r="AH70" s="14"/>
      <c r="AI70" s="14"/>
    </row>
    <row r="71" spans="1:35" x14ac:dyDescent="0.25">
      <c r="A71" s="11">
        <v>5920</v>
      </c>
      <c r="B71" s="12" t="s">
        <v>1374</v>
      </c>
      <c r="C71" s="14">
        <f>73150+68050</f>
        <v>141200</v>
      </c>
      <c r="D71" s="14">
        <f>68050+62750</f>
        <v>130800</v>
      </c>
      <c r="E71" s="14">
        <f>62750+57250</f>
        <v>120000</v>
      </c>
      <c r="F71" s="14">
        <f>57250+51450</f>
        <v>108700</v>
      </c>
      <c r="G71" s="14">
        <f>51450+45450</f>
        <v>96900</v>
      </c>
      <c r="H71" s="14">
        <f>45450+39150</f>
        <v>84600</v>
      </c>
      <c r="I71" s="14">
        <f>39150+32550</f>
        <v>71700</v>
      </c>
      <c r="J71" s="14">
        <f>32550+25650</f>
        <v>58200</v>
      </c>
      <c r="K71" s="14">
        <f>25650+17550</f>
        <v>43200</v>
      </c>
      <c r="L71" s="14">
        <f>17550+9113</f>
        <v>26663</v>
      </c>
      <c r="M71" s="14">
        <v>9113</v>
      </c>
      <c r="N71" s="14"/>
      <c r="O71" s="14"/>
      <c r="P71" s="14"/>
      <c r="Q71" s="14"/>
      <c r="R71" s="14"/>
      <c r="S71" s="14"/>
      <c r="T71" s="14"/>
      <c r="U71" s="14"/>
      <c r="V71" s="14"/>
      <c r="W71" s="14"/>
      <c r="X71" s="14"/>
      <c r="Y71" s="14"/>
      <c r="Z71" s="14"/>
      <c r="AA71" s="14"/>
      <c r="AB71" s="14"/>
      <c r="AC71" s="14"/>
      <c r="AD71" s="14"/>
      <c r="AE71" s="14"/>
      <c r="AF71" s="14"/>
      <c r="AG71" s="14"/>
      <c r="AH71" s="14"/>
      <c r="AI71" s="14"/>
    </row>
    <row r="72" spans="1:35" x14ac:dyDescent="0.25">
      <c r="A72" s="11">
        <v>5930</v>
      </c>
      <c r="B72" s="60" t="s">
        <v>1375</v>
      </c>
      <c r="C72" s="14">
        <f t="shared" ref="C72:C77" si="36">+C157</f>
        <v>4266</v>
      </c>
      <c r="D72" s="14">
        <f t="shared" ref="D72:AI72" si="37">+D157</f>
        <v>3638</v>
      </c>
      <c r="E72" s="14">
        <f t="shared" si="37"/>
        <v>3241</v>
      </c>
      <c r="F72" s="14">
        <f t="shared" si="37"/>
        <v>2836</v>
      </c>
      <c r="G72" s="14">
        <f t="shared" si="37"/>
        <v>2424</v>
      </c>
      <c r="H72" s="14">
        <f t="shared" si="37"/>
        <v>2002</v>
      </c>
      <c r="I72" s="14">
        <f t="shared" si="37"/>
        <v>1572</v>
      </c>
      <c r="J72" s="14">
        <f t="shared" si="37"/>
        <v>1134</v>
      </c>
      <c r="K72" s="14">
        <f t="shared" si="37"/>
        <v>687</v>
      </c>
      <c r="L72" s="14">
        <f t="shared" si="37"/>
        <v>231</v>
      </c>
      <c r="M72" s="14">
        <f t="shared" si="37"/>
        <v>0</v>
      </c>
      <c r="N72" s="14">
        <f t="shared" si="37"/>
        <v>0</v>
      </c>
      <c r="O72" s="14">
        <f t="shared" si="37"/>
        <v>0</v>
      </c>
      <c r="P72" s="14">
        <f t="shared" si="37"/>
        <v>0</v>
      </c>
      <c r="Q72" s="14">
        <f t="shared" si="37"/>
        <v>0</v>
      </c>
      <c r="R72" s="14">
        <f t="shared" si="37"/>
        <v>0</v>
      </c>
      <c r="S72" s="14">
        <f t="shared" si="37"/>
        <v>0</v>
      </c>
      <c r="T72" s="14">
        <f t="shared" si="37"/>
        <v>0</v>
      </c>
      <c r="U72" s="14">
        <f t="shared" si="37"/>
        <v>0</v>
      </c>
      <c r="V72" s="14">
        <f t="shared" si="37"/>
        <v>0</v>
      </c>
      <c r="W72" s="14">
        <f t="shared" si="37"/>
        <v>0</v>
      </c>
      <c r="X72" s="14">
        <f t="shared" si="37"/>
        <v>0</v>
      </c>
      <c r="Y72" s="14">
        <f t="shared" si="37"/>
        <v>0</v>
      </c>
      <c r="Z72" s="14">
        <f t="shared" si="37"/>
        <v>0</v>
      </c>
      <c r="AA72" s="14">
        <f t="shared" si="37"/>
        <v>0</v>
      </c>
      <c r="AB72" s="14">
        <f t="shared" si="37"/>
        <v>0</v>
      </c>
      <c r="AC72" s="14">
        <f t="shared" si="37"/>
        <v>0</v>
      </c>
      <c r="AD72" s="14">
        <f t="shared" si="37"/>
        <v>0</v>
      </c>
      <c r="AE72" s="14">
        <f t="shared" si="37"/>
        <v>0</v>
      </c>
      <c r="AF72" s="14">
        <f t="shared" si="37"/>
        <v>0</v>
      </c>
      <c r="AG72" s="14">
        <f t="shared" si="37"/>
        <v>0</v>
      </c>
      <c r="AH72" s="14">
        <f t="shared" si="37"/>
        <v>0</v>
      </c>
      <c r="AI72" s="14">
        <f t="shared" si="37"/>
        <v>0</v>
      </c>
    </row>
    <row r="73" spans="1:35" x14ac:dyDescent="0.25">
      <c r="A73" s="11" t="s">
        <v>1396</v>
      </c>
      <c r="B73" s="60" t="s">
        <v>1397</v>
      </c>
      <c r="C73" s="14">
        <f t="shared" si="36"/>
        <v>302</v>
      </c>
      <c r="D73" s="14">
        <f t="shared" ref="D73:AI73" si="38">+D158</f>
        <v>273</v>
      </c>
      <c r="E73" s="14">
        <f t="shared" si="38"/>
        <v>243</v>
      </c>
      <c r="F73" s="14">
        <f t="shared" si="38"/>
        <v>213</v>
      </c>
      <c r="G73" s="14">
        <f t="shared" si="38"/>
        <v>182</v>
      </c>
      <c r="H73" s="14">
        <f t="shared" si="38"/>
        <v>150</v>
      </c>
      <c r="I73" s="14">
        <f t="shared" si="38"/>
        <v>118</v>
      </c>
      <c r="J73" s="14">
        <f t="shared" si="38"/>
        <v>85</v>
      </c>
      <c r="K73" s="14">
        <f t="shared" si="38"/>
        <v>52</v>
      </c>
      <c r="L73" s="14">
        <f t="shared" si="38"/>
        <v>178</v>
      </c>
      <c r="M73" s="14">
        <f t="shared" si="38"/>
        <v>0</v>
      </c>
      <c r="N73" s="14">
        <f t="shared" si="38"/>
        <v>0</v>
      </c>
      <c r="O73" s="14">
        <f t="shared" si="38"/>
        <v>0</v>
      </c>
      <c r="P73" s="14">
        <f t="shared" si="38"/>
        <v>0</v>
      </c>
      <c r="Q73" s="14">
        <f t="shared" si="38"/>
        <v>0</v>
      </c>
      <c r="R73" s="14">
        <f t="shared" si="38"/>
        <v>0</v>
      </c>
      <c r="S73" s="14">
        <f t="shared" si="38"/>
        <v>0</v>
      </c>
      <c r="T73" s="14">
        <f t="shared" si="38"/>
        <v>0</v>
      </c>
      <c r="U73" s="14">
        <f t="shared" si="38"/>
        <v>0</v>
      </c>
      <c r="V73" s="14">
        <f t="shared" si="38"/>
        <v>0</v>
      </c>
      <c r="W73" s="14">
        <f t="shared" si="38"/>
        <v>0</v>
      </c>
      <c r="X73" s="14">
        <f t="shared" si="38"/>
        <v>0</v>
      </c>
      <c r="Y73" s="14">
        <f t="shared" si="38"/>
        <v>0</v>
      </c>
      <c r="Z73" s="14">
        <f t="shared" si="38"/>
        <v>0</v>
      </c>
      <c r="AA73" s="14">
        <f t="shared" si="38"/>
        <v>0</v>
      </c>
      <c r="AB73" s="14">
        <f t="shared" si="38"/>
        <v>0</v>
      </c>
      <c r="AC73" s="14">
        <f t="shared" si="38"/>
        <v>0</v>
      </c>
      <c r="AD73" s="14">
        <f t="shared" si="38"/>
        <v>0</v>
      </c>
      <c r="AE73" s="14">
        <f t="shared" si="38"/>
        <v>0</v>
      </c>
      <c r="AF73" s="14">
        <f t="shared" si="38"/>
        <v>0</v>
      </c>
      <c r="AG73" s="14">
        <f t="shared" si="38"/>
        <v>0</v>
      </c>
      <c r="AH73" s="14">
        <f t="shared" si="38"/>
        <v>0</v>
      </c>
      <c r="AI73" s="14">
        <f t="shared" si="38"/>
        <v>0</v>
      </c>
    </row>
    <row r="74" spans="1:35" x14ac:dyDescent="0.25">
      <c r="A74" s="11">
        <v>5931</v>
      </c>
      <c r="B74" s="60" t="s">
        <v>1376</v>
      </c>
      <c r="C74" s="14">
        <f t="shared" si="36"/>
        <v>14054</v>
      </c>
      <c r="D74" s="14">
        <f t="shared" ref="D74:AI74" si="39">+D159</f>
        <v>13468</v>
      </c>
      <c r="E74" s="14">
        <f t="shared" si="39"/>
        <v>12921</v>
      </c>
      <c r="F74" s="14">
        <f t="shared" si="39"/>
        <v>12360</v>
      </c>
      <c r="G74" s="14">
        <f t="shared" si="39"/>
        <v>11785</v>
      </c>
      <c r="H74" s="14">
        <f t="shared" si="39"/>
        <v>11197</v>
      </c>
      <c r="I74" s="14">
        <f t="shared" si="39"/>
        <v>10594</v>
      </c>
      <c r="J74" s="14">
        <f t="shared" si="39"/>
        <v>9976</v>
      </c>
      <c r="K74" s="14">
        <f t="shared" si="39"/>
        <v>9343</v>
      </c>
      <c r="L74" s="14">
        <f t="shared" si="39"/>
        <v>8695</v>
      </c>
      <c r="M74" s="14">
        <f t="shared" si="39"/>
        <v>8031</v>
      </c>
      <c r="N74" s="14">
        <f t="shared" si="39"/>
        <v>7350</v>
      </c>
      <c r="O74" s="14">
        <f t="shared" si="39"/>
        <v>6653</v>
      </c>
      <c r="P74" s="14">
        <f t="shared" si="39"/>
        <v>5939</v>
      </c>
      <c r="Q74" s="14">
        <f t="shared" si="39"/>
        <v>5208</v>
      </c>
      <c r="R74" s="14">
        <f t="shared" si="39"/>
        <v>4458</v>
      </c>
      <c r="S74" s="14">
        <f t="shared" si="39"/>
        <v>3691</v>
      </c>
      <c r="T74" s="14">
        <f t="shared" si="39"/>
        <v>2904</v>
      </c>
      <c r="U74" s="14">
        <f t="shared" si="39"/>
        <v>2099</v>
      </c>
      <c r="V74" s="14">
        <f t="shared" si="39"/>
        <v>1274</v>
      </c>
      <c r="W74" s="14">
        <f t="shared" si="39"/>
        <v>428</v>
      </c>
      <c r="X74" s="14">
        <f t="shared" si="39"/>
        <v>0</v>
      </c>
      <c r="Y74" s="14">
        <f t="shared" si="39"/>
        <v>0</v>
      </c>
      <c r="Z74" s="14">
        <f t="shared" si="39"/>
        <v>0</v>
      </c>
      <c r="AA74" s="14">
        <f t="shared" si="39"/>
        <v>0</v>
      </c>
      <c r="AB74" s="14">
        <f t="shared" si="39"/>
        <v>0</v>
      </c>
      <c r="AC74" s="14">
        <f t="shared" si="39"/>
        <v>0</v>
      </c>
      <c r="AD74" s="14">
        <f t="shared" si="39"/>
        <v>0</v>
      </c>
      <c r="AE74" s="14">
        <f t="shared" si="39"/>
        <v>0</v>
      </c>
      <c r="AF74" s="14">
        <f t="shared" si="39"/>
        <v>0</v>
      </c>
      <c r="AG74" s="14">
        <f t="shared" si="39"/>
        <v>0</v>
      </c>
      <c r="AH74" s="14">
        <f t="shared" si="39"/>
        <v>0</v>
      </c>
      <c r="AI74" s="14">
        <f t="shared" si="39"/>
        <v>0</v>
      </c>
    </row>
    <row r="75" spans="1:35" x14ac:dyDescent="0.25">
      <c r="A75" s="11" t="s">
        <v>1398</v>
      </c>
      <c r="B75" s="60" t="s">
        <v>1399</v>
      </c>
      <c r="C75" s="14">
        <f t="shared" si="36"/>
        <v>870</v>
      </c>
      <c r="D75" s="14">
        <f t="shared" ref="D75:AI75" si="40">+D160</f>
        <v>837</v>
      </c>
      <c r="E75" s="14">
        <f t="shared" si="40"/>
        <v>803</v>
      </c>
      <c r="F75" s="14">
        <f t="shared" si="40"/>
        <v>768</v>
      </c>
      <c r="G75" s="14">
        <f t="shared" si="40"/>
        <v>732</v>
      </c>
      <c r="H75" s="14">
        <f t="shared" si="40"/>
        <v>696</v>
      </c>
      <c r="I75" s="14">
        <f t="shared" si="40"/>
        <v>658</v>
      </c>
      <c r="J75" s="14">
        <f t="shared" si="40"/>
        <v>580</v>
      </c>
      <c r="K75" s="14">
        <f t="shared" si="40"/>
        <v>581</v>
      </c>
      <c r="L75" s="14">
        <f t="shared" si="40"/>
        <v>540</v>
      </c>
      <c r="M75" s="14">
        <f t="shared" si="40"/>
        <v>499</v>
      </c>
      <c r="N75" s="14">
        <f t="shared" si="40"/>
        <v>457</v>
      </c>
      <c r="O75" s="14">
        <f t="shared" si="40"/>
        <v>414</v>
      </c>
      <c r="P75" s="14">
        <f t="shared" si="40"/>
        <v>369</v>
      </c>
      <c r="Q75" s="14">
        <f t="shared" si="40"/>
        <v>324</v>
      </c>
      <c r="R75" s="14">
        <f t="shared" si="40"/>
        <v>277</v>
      </c>
      <c r="S75" s="14">
        <f t="shared" si="40"/>
        <v>230</v>
      </c>
      <c r="T75" s="14">
        <f t="shared" si="40"/>
        <v>181</v>
      </c>
      <c r="U75" s="14">
        <f t="shared" si="40"/>
        <v>131</v>
      </c>
      <c r="V75" s="14">
        <f t="shared" si="40"/>
        <v>79</v>
      </c>
      <c r="W75" s="14">
        <f t="shared" si="40"/>
        <v>27</v>
      </c>
      <c r="X75" s="14">
        <f t="shared" si="40"/>
        <v>0</v>
      </c>
      <c r="Y75" s="14">
        <f t="shared" si="40"/>
        <v>0</v>
      </c>
      <c r="Z75" s="14">
        <f t="shared" si="40"/>
        <v>0</v>
      </c>
      <c r="AA75" s="14">
        <f t="shared" si="40"/>
        <v>0</v>
      </c>
      <c r="AB75" s="14">
        <f t="shared" si="40"/>
        <v>0</v>
      </c>
      <c r="AC75" s="14">
        <f t="shared" si="40"/>
        <v>0</v>
      </c>
      <c r="AD75" s="14">
        <f t="shared" si="40"/>
        <v>0</v>
      </c>
      <c r="AE75" s="14">
        <f t="shared" si="40"/>
        <v>0</v>
      </c>
      <c r="AF75" s="14">
        <f t="shared" si="40"/>
        <v>0</v>
      </c>
      <c r="AG75" s="14">
        <f t="shared" si="40"/>
        <v>0</v>
      </c>
      <c r="AH75" s="14">
        <f t="shared" si="40"/>
        <v>0</v>
      </c>
      <c r="AI75" s="14">
        <f t="shared" si="40"/>
        <v>0</v>
      </c>
    </row>
    <row r="76" spans="1:35" x14ac:dyDescent="0.25">
      <c r="A76" s="11">
        <v>5932</v>
      </c>
      <c r="B76" s="60" t="s">
        <v>1377</v>
      </c>
      <c r="C76" s="14">
        <f t="shared" si="36"/>
        <v>15860</v>
      </c>
      <c r="D76" s="14">
        <f t="shared" ref="D76:AI76" si="41">+D161</f>
        <v>15578</v>
      </c>
      <c r="E76" s="14">
        <f t="shared" si="41"/>
        <v>15283</v>
      </c>
      <c r="F76" s="14">
        <f t="shared" si="41"/>
        <v>14976</v>
      </c>
      <c r="G76" s="14">
        <f t="shared" si="41"/>
        <v>14656</v>
      </c>
      <c r="H76" s="14">
        <f t="shared" si="41"/>
        <v>14321</v>
      </c>
      <c r="I76" s="14">
        <f t="shared" si="41"/>
        <v>13972</v>
      </c>
      <c r="J76" s="14">
        <f t="shared" si="41"/>
        <v>13608</v>
      </c>
      <c r="K76" s="14">
        <f t="shared" si="41"/>
        <v>13227</v>
      </c>
      <c r="L76" s="14">
        <f t="shared" si="41"/>
        <v>12830</v>
      </c>
      <c r="M76" s="14">
        <f t="shared" si="41"/>
        <v>12416</v>
      </c>
      <c r="N76" s="14">
        <f t="shared" si="41"/>
        <v>11983</v>
      </c>
      <c r="O76" s="14">
        <f t="shared" si="41"/>
        <v>11532</v>
      </c>
      <c r="P76" s="14">
        <f t="shared" si="41"/>
        <v>11060</v>
      </c>
      <c r="Q76" s="14">
        <f t="shared" si="41"/>
        <v>10568</v>
      </c>
      <c r="R76" s="14">
        <f t="shared" si="41"/>
        <v>10055</v>
      </c>
      <c r="S76" s="14">
        <f t="shared" si="41"/>
        <v>9519</v>
      </c>
      <c r="T76" s="14">
        <f t="shared" si="41"/>
        <v>8960</v>
      </c>
      <c r="U76" s="14">
        <f t="shared" si="41"/>
        <v>8376</v>
      </c>
      <c r="V76" s="14">
        <f t="shared" si="41"/>
        <v>7767</v>
      </c>
      <c r="W76" s="14">
        <f t="shared" si="41"/>
        <v>7131</v>
      </c>
      <c r="X76" s="14">
        <f t="shared" si="41"/>
        <v>6467</v>
      </c>
      <c r="Y76" s="14">
        <f t="shared" si="41"/>
        <v>5774</v>
      </c>
      <c r="Z76" s="14">
        <f t="shared" si="41"/>
        <v>5051</v>
      </c>
      <c r="AA76" s="14">
        <f t="shared" si="41"/>
        <v>4296</v>
      </c>
      <c r="AB76" s="14">
        <f t="shared" si="41"/>
        <v>3508</v>
      </c>
      <c r="AC76" s="14">
        <f t="shared" si="41"/>
        <v>2686</v>
      </c>
      <c r="AD76" s="14">
        <f t="shared" si="41"/>
        <v>1828</v>
      </c>
      <c r="AE76" s="14">
        <f t="shared" si="41"/>
        <v>932</v>
      </c>
      <c r="AF76" s="14">
        <f t="shared" si="41"/>
        <v>0</v>
      </c>
      <c r="AG76" s="14">
        <f t="shared" si="41"/>
        <v>0</v>
      </c>
      <c r="AH76" s="14">
        <f t="shared" si="41"/>
        <v>0</v>
      </c>
      <c r="AI76" s="14">
        <f t="shared" si="41"/>
        <v>0</v>
      </c>
    </row>
    <row r="77" spans="1:35" x14ac:dyDescent="0.25">
      <c r="A77" s="11">
        <v>5933</v>
      </c>
      <c r="B77" s="60" t="s">
        <v>1378</v>
      </c>
      <c r="C77" s="14">
        <f t="shared" si="36"/>
        <v>14729</v>
      </c>
      <c r="D77" s="14">
        <f t="shared" ref="D77:AI77" si="42">+D162</f>
        <v>14486</v>
      </c>
      <c r="E77" s="14">
        <f t="shared" si="42"/>
        <v>14233</v>
      </c>
      <c r="F77" s="14">
        <f t="shared" si="42"/>
        <v>13970</v>
      </c>
      <c r="G77" s="14">
        <f t="shared" si="42"/>
        <v>13695</v>
      </c>
      <c r="H77" s="14">
        <f t="shared" si="42"/>
        <v>13410</v>
      </c>
      <c r="I77" s="14">
        <f t="shared" si="42"/>
        <v>13112</v>
      </c>
      <c r="J77" s="14">
        <f t="shared" si="42"/>
        <v>12802</v>
      </c>
      <c r="K77" s="14">
        <f t="shared" si="42"/>
        <v>12480</v>
      </c>
      <c r="L77" s="14">
        <f t="shared" si="42"/>
        <v>12144</v>
      </c>
      <c r="M77" s="14">
        <f t="shared" si="42"/>
        <v>11795</v>
      </c>
      <c r="N77" s="14">
        <f t="shared" si="42"/>
        <v>11431</v>
      </c>
      <c r="O77" s="14">
        <f t="shared" si="42"/>
        <v>11052</v>
      </c>
      <c r="P77" s="14">
        <f t="shared" si="42"/>
        <v>10657</v>
      </c>
      <c r="Q77" s="14">
        <f t="shared" si="42"/>
        <v>10246</v>
      </c>
      <c r="R77" s="14">
        <f t="shared" si="42"/>
        <v>9818</v>
      </c>
      <c r="S77" s="14">
        <f t="shared" si="42"/>
        <v>9372</v>
      </c>
      <c r="T77" s="14">
        <f t="shared" si="42"/>
        <v>8908</v>
      </c>
      <c r="U77" s="14">
        <f t="shared" si="42"/>
        <v>8425</v>
      </c>
      <c r="V77" s="14">
        <f t="shared" si="42"/>
        <v>7922</v>
      </c>
      <c r="W77" s="14">
        <f t="shared" si="42"/>
        <v>7398</v>
      </c>
      <c r="X77" s="14">
        <f t="shared" si="42"/>
        <v>6853</v>
      </c>
      <c r="Y77" s="14">
        <f t="shared" si="42"/>
        <v>6285</v>
      </c>
      <c r="Z77" s="14">
        <f t="shared" si="42"/>
        <v>5694</v>
      </c>
      <c r="AA77" s="14">
        <f t="shared" si="42"/>
        <v>5078</v>
      </c>
      <c r="AB77" s="14">
        <f t="shared" si="42"/>
        <v>4437</v>
      </c>
      <c r="AC77" s="14">
        <f t="shared" si="42"/>
        <v>3769</v>
      </c>
      <c r="AD77" s="14">
        <f t="shared" si="42"/>
        <v>3074</v>
      </c>
      <c r="AE77" s="14">
        <f t="shared" si="42"/>
        <v>2350</v>
      </c>
      <c r="AF77" s="14">
        <f t="shared" si="42"/>
        <v>1597</v>
      </c>
      <c r="AG77" s="14">
        <f t="shared" si="42"/>
        <v>812</v>
      </c>
      <c r="AH77" s="14">
        <f t="shared" si="42"/>
        <v>0</v>
      </c>
      <c r="AI77" s="14">
        <f t="shared" si="42"/>
        <v>0</v>
      </c>
    </row>
    <row r="78" spans="1:35" x14ac:dyDescent="0.25">
      <c r="A78" s="11">
        <v>5934</v>
      </c>
      <c r="B78" s="12" t="s">
        <v>1379</v>
      </c>
      <c r="C78" s="36">
        <f>1137.5+1037.5</f>
        <v>2175</v>
      </c>
      <c r="D78" s="36">
        <f>1037.5+937.5</f>
        <v>1975</v>
      </c>
      <c r="E78" s="36">
        <f>937.5+837.5</f>
        <v>1775</v>
      </c>
      <c r="F78" s="36">
        <f>837.5+737.5</f>
        <v>1575</v>
      </c>
      <c r="G78" s="36">
        <f>737.5+637.5</f>
        <v>1375</v>
      </c>
      <c r="H78" s="36">
        <f>637.5+537.5</f>
        <v>1175</v>
      </c>
      <c r="I78" s="36">
        <f>537.5+437.5</f>
        <v>975</v>
      </c>
      <c r="J78" s="36">
        <f>437.5+337.5</f>
        <v>775</v>
      </c>
      <c r="K78" s="36">
        <f>337.5+225+0.5</f>
        <v>563</v>
      </c>
      <c r="L78" s="36">
        <f>225+113</f>
        <v>338</v>
      </c>
      <c r="M78" s="36">
        <v>113</v>
      </c>
      <c r="N78" s="36"/>
      <c r="O78" s="36"/>
      <c r="P78" s="36"/>
      <c r="Q78" s="36"/>
      <c r="R78" s="36"/>
      <c r="S78" s="36"/>
      <c r="T78" s="36"/>
      <c r="U78" s="36"/>
      <c r="V78" s="36"/>
      <c r="W78" s="36"/>
      <c r="X78" s="36"/>
      <c r="Y78" s="36"/>
      <c r="Z78" s="36"/>
      <c r="AA78" s="36"/>
      <c r="AB78" s="36"/>
      <c r="AC78" s="36"/>
      <c r="AD78" s="36"/>
      <c r="AE78" s="36"/>
      <c r="AF78" s="36"/>
      <c r="AG78" s="36"/>
      <c r="AH78" s="36"/>
      <c r="AI78" s="36"/>
    </row>
    <row r="79" spans="1:35" x14ac:dyDescent="0.25">
      <c r="A79" s="11">
        <v>5936</v>
      </c>
      <c r="B79" s="27" t="s">
        <v>1400</v>
      </c>
      <c r="C79" s="36">
        <v>2645</v>
      </c>
      <c r="D79" s="36">
        <v>2505</v>
      </c>
      <c r="E79" s="36">
        <v>2361</v>
      </c>
      <c r="F79" s="36">
        <v>2213</v>
      </c>
      <c r="G79" s="36">
        <v>2062</v>
      </c>
      <c r="H79" s="36">
        <v>1907</v>
      </c>
      <c r="I79" s="36">
        <v>1748</v>
      </c>
      <c r="J79" s="36">
        <v>1585</v>
      </c>
      <c r="K79" s="36">
        <v>1419</v>
      </c>
      <c r="L79" s="36">
        <v>1247</v>
      </c>
      <c r="M79" s="36">
        <v>1072</v>
      </c>
      <c r="N79" s="36">
        <v>892</v>
      </c>
      <c r="O79" s="36">
        <v>708</v>
      </c>
      <c r="P79" s="36">
        <v>519</v>
      </c>
      <c r="Q79" s="36">
        <v>326</v>
      </c>
      <c r="R79" s="36">
        <v>127</v>
      </c>
      <c r="S79" s="36"/>
      <c r="T79" s="36"/>
      <c r="U79" s="36"/>
      <c r="V79" s="36"/>
      <c r="W79" s="36"/>
      <c r="X79" s="36"/>
      <c r="Y79" s="36"/>
      <c r="Z79" s="36"/>
      <c r="AA79" s="36"/>
      <c r="AB79" s="36"/>
      <c r="AC79" s="36"/>
      <c r="AD79" s="36"/>
      <c r="AE79" s="36"/>
      <c r="AF79" s="36"/>
      <c r="AG79" s="36"/>
      <c r="AH79" s="36"/>
      <c r="AI79" s="36"/>
    </row>
    <row r="80" spans="1:35" x14ac:dyDescent="0.25">
      <c r="A80" s="26">
        <v>5937</v>
      </c>
      <c r="B80" s="27" t="s">
        <v>1401</v>
      </c>
      <c r="C80" s="36">
        <v>2975</v>
      </c>
      <c r="D80" s="36">
        <v>2825</v>
      </c>
      <c r="E80" s="36">
        <v>2675</v>
      </c>
      <c r="F80" s="36">
        <v>2525</v>
      </c>
      <c r="G80" s="36">
        <v>2375</v>
      </c>
      <c r="H80" s="36">
        <v>2225</v>
      </c>
      <c r="I80" s="36">
        <v>2075</v>
      </c>
      <c r="J80" s="36">
        <v>1925</v>
      </c>
      <c r="K80" s="36">
        <v>1738</v>
      </c>
      <c r="L80" s="36">
        <v>1550</v>
      </c>
      <c r="M80" s="36">
        <v>1363</v>
      </c>
      <c r="N80" s="36">
        <v>1175</v>
      </c>
      <c r="O80" s="36">
        <v>988</v>
      </c>
      <c r="P80" s="36">
        <v>800</v>
      </c>
      <c r="Q80" s="36">
        <v>600</v>
      </c>
      <c r="R80" s="36">
        <v>400</v>
      </c>
      <c r="S80" s="36">
        <v>200</v>
      </c>
      <c r="T80" s="36"/>
      <c r="U80" s="36"/>
      <c r="V80" s="36"/>
      <c r="W80" s="36"/>
      <c r="X80" s="36"/>
      <c r="Y80" s="36"/>
      <c r="Z80" s="36"/>
      <c r="AA80" s="36"/>
      <c r="AB80" s="36"/>
      <c r="AC80" s="36"/>
      <c r="AD80" s="36"/>
      <c r="AE80" s="36"/>
      <c r="AF80" s="36"/>
      <c r="AG80" s="36"/>
      <c r="AH80" s="36"/>
      <c r="AI80" s="36"/>
    </row>
    <row r="81" spans="1:35" x14ac:dyDescent="0.25">
      <c r="A81" s="26">
        <v>5938</v>
      </c>
      <c r="B81" s="12" t="s">
        <v>1383</v>
      </c>
      <c r="C81" s="36"/>
      <c r="D81" s="36">
        <v>645</v>
      </c>
      <c r="E81" s="36">
        <v>430</v>
      </c>
      <c r="F81" s="36">
        <v>215</v>
      </c>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row>
    <row r="82" spans="1:35" x14ac:dyDescent="0.25">
      <c r="A82" s="26">
        <v>5939</v>
      </c>
      <c r="B82" s="12" t="s">
        <v>1384</v>
      </c>
      <c r="C82" s="36"/>
      <c r="D82" s="36">
        <v>645</v>
      </c>
      <c r="E82" s="36">
        <v>430</v>
      </c>
      <c r="F82" s="36">
        <v>215</v>
      </c>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row>
    <row r="83" spans="1:35" x14ac:dyDescent="0.25">
      <c r="A83" s="26">
        <v>5944</v>
      </c>
      <c r="B83" s="12" t="s">
        <v>1385</v>
      </c>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row>
    <row r="84" spans="1:35" x14ac:dyDescent="0.25">
      <c r="A84" s="26">
        <v>5947</v>
      </c>
      <c r="B84" s="27" t="s">
        <v>1402</v>
      </c>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row>
    <row r="85" spans="1:35" x14ac:dyDescent="0.25">
      <c r="A85" s="26"/>
      <c r="B85" s="27"/>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row>
    <row r="86" spans="1:35" x14ac:dyDescent="0.25">
      <c r="A86" s="26"/>
      <c r="B86" s="12" t="s">
        <v>1756</v>
      </c>
      <c r="C86" s="36"/>
      <c r="D86" s="14">
        <f>ROUND((37538*0.93),0)</f>
        <v>34910</v>
      </c>
      <c r="E86" s="14">
        <f>ROUND((32970*0.93),0)</f>
        <v>30662</v>
      </c>
      <c r="F86" s="14">
        <f>ROUND((28350*0.93),0)</f>
        <v>26366</v>
      </c>
      <c r="G86" s="14">
        <f>ROUND((23730*0.93),0)</f>
        <v>22069</v>
      </c>
      <c r="H86" s="14">
        <f>ROUND((19005*0.93),0)</f>
        <v>17675</v>
      </c>
      <c r="I86" s="14">
        <f>ROUND((14280*0.93),0)</f>
        <v>13280</v>
      </c>
      <c r="J86" s="14">
        <f>ROUND((9555*0.93),0)</f>
        <v>8886</v>
      </c>
      <c r="K86" s="14">
        <f>ROUND((4830*0.93),0)</f>
        <v>4492</v>
      </c>
      <c r="L86" s="36"/>
      <c r="M86" s="36"/>
      <c r="N86" s="36"/>
      <c r="O86" s="36"/>
      <c r="P86" s="36"/>
      <c r="Q86" s="36"/>
      <c r="R86" s="36"/>
      <c r="S86" s="36"/>
      <c r="T86" s="36"/>
      <c r="U86" s="36"/>
      <c r="V86" s="36"/>
      <c r="W86" s="36"/>
      <c r="X86" s="36"/>
      <c r="Y86" s="36"/>
      <c r="Z86" s="36"/>
      <c r="AA86" s="36"/>
      <c r="AB86" s="36"/>
      <c r="AC86" s="36"/>
      <c r="AD86" s="36"/>
      <c r="AE86" s="36"/>
      <c r="AF86" s="36"/>
      <c r="AG86" s="36"/>
      <c r="AH86" s="36"/>
      <c r="AI86" s="36"/>
    </row>
    <row r="87" spans="1:35" x14ac:dyDescent="0.25">
      <c r="A87" s="26"/>
      <c r="B87" s="12" t="s">
        <v>1757</v>
      </c>
      <c r="C87" s="36"/>
      <c r="D87" s="36">
        <v>6552</v>
      </c>
      <c r="E87" s="36">
        <v>4914</v>
      </c>
      <c r="F87" s="36">
        <v>3276</v>
      </c>
      <c r="G87" s="36">
        <v>1638</v>
      </c>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row>
    <row r="88" spans="1:35" ht="13.8" thickBot="1" x14ac:dyDescent="0.3">
      <c r="A88" s="26"/>
      <c r="B88" s="27"/>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row>
    <row r="89" spans="1:35" x14ac:dyDescent="0.25">
      <c r="A89" s="26"/>
      <c r="B89" s="27" t="s">
        <v>1748</v>
      </c>
      <c r="D89" s="25">
        <f t="shared" ref="D89:AI89" si="43">SUM(D50:D88)</f>
        <v>808886</v>
      </c>
      <c r="E89" s="25">
        <f t="shared" si="43"/>
        <v>795496</v>
      </c>
      <c r="F89" s="25">
        <f t="shared" si="43"/>
        <v>751060</v>
      </c>
      <c r="G89" s="25">
        <f t="shared" si="43"/>
        <v>721554</v>
      </c>
      <c r="H89" s="25">
        <f t="shared" si="43"/>
        <v>657205</v>
      </c>
      <c r="I89" s="25">
        <f t="shared" si="43"/>
        <v>653889</v>
      </c>
      <c r="J89" s="25">
        <f t="shared" si="43"/>
        <v>649934</v>
      </c>
      <c r="K89" s="25">
        <f t="shared" si="43"/>
        <v>644510</v>
      </c>
      <c r="L89" s="25">
        <f t="shared" si="43"/>
        <v>539903</v>
      </c>
      <c r="M89" s="25">
        <f t="shared" si="43"/>
        <v>513151</v>
      </c>
      <c r="N89" s="25">
        <f t="shared" si="43"/>
        <v>93693</v>
      </c>
      <c r="O89" s="25">
        <f t="shared" si="43"/>
        <v>93464</v>
      </c>
      <c r="P89" s="25">
        <f t="shared" si="43"/>
        <v>93230</v>
      </c>
      <c r="Q89" s="25">
        <f t="shared" si="43"/>
        <v>92986</v>
      </c>
      <c r="R89" s="25">
        <f t="shared" si="43"/>
        <v>92737</v>
      </c>
      <c r="S89" s="25">
        <f t="shared" si="43"/>
        <v>84228</v>
      </c>
      <c r="T89" s="25">
        <f t="shared" si="43"/>
        <v>78979</v>
      </c>
      <c r="U89" s="25">
        <f t="shared" si="43"/>
        <v>78929</v>
      </c>
      <c r="V89" s="25">
        <f t="shared" si="43"/>
        <v>78877</v>
      </c>
      <c r="W89" s="25">
        <f t="shared" si="43"/>
        <v>78824</v>
      </c>
      <c r="X89" s="25">
        <f t="shared" si="43"/>
        <v>42923</v>
      </c>
      <c r="Y89" s="25">
        <f t="shared" si="43"/>
        <v>42923</v>
      </c>
      <c r="Z89" s="25">
        <f t="shared" si="43"/>
        <v>42924</v>
      </c>
      <c r="AA89" s="25">
        <f t="shared" si="43"/>
        <v>42923</v>
      </c>
      <c r="AB89" s="25">
        <f t="shared" si="43"/>
        <v>42924</v>
      </c>
      <c r="AC89" s="25">
        <f t="shared" si="43"/>
        <v>42923</v>
      </c>
      <c r="AD89" s="25">
        <f t="shared" si="43"/>
        <v>42923</v>
      </c>
      <c r="AE89" s="25">
        <f t="shared" si="43"/>
        <v>42854</v>
      </c>
      <c r="AF89" s="25">
        <f t="shared" si="43"/>
        <v>20621</v>
      </c>
      <c r="AG89" s="25">
        <f t="shared" si="43"/>
        <v>20497</v>
      </c>
      <c r="AH89" s="25">
        <f t="shared" si="43"/>
        <v>0</v>
      </c>
      <c r="AI89" s="25">
        <f t="shared" si="43"/>
        <v>0</v>
      </c>
    </row>
    <row r="90" spans="1:35" ht="13.8" thickBot="1" x14ac:dyDescent="0.3">
      <c r="A90" s="26"/>
      <c r="B90" s="27"/>
    </row>
    <row r="91" spans="1:35" ht="14.4" thickTop="1" thickBot="1" x14ac:dyDescent="0.3">
      <c r="A91" s="26"/>
      <c r="B91" s="91" t="s">
        <v>1759</v>
      </c>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row>
    <row r="92" spans="1:35" x14ac:dyDescent="0.25">
      <c r="A92" s="11" t="s">
        <v>1536</v>
      </c>
      <c r="B92" s="12" t="s">
        <v>1537</v>
      </c>
      <c r="C92" s="36">
        <v>30000</v>
      </c>
      <c r="D92" s="36">
        <v>30000</v>
      </c>
      <c r="E92" s="36">
        <v>30000</v>
      </c>
      <c r="F92" s="36">
        <v>25000</v>
      </c>
      <c r="G92" s="36">
        <v>25000</v>
      </c>
      <c r="H92" s="36">
        <v>25000</v>
      </c>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row>
    <row r="93" spans="1:35" x14ac:dyDescent="0.25">
      <c r="A93" s="11" t="s">
        <v>1538</v>
      </c>
      <c r="B93" s="12" t="s">
        <v>1539</v>
      </c>
      <c r="C93" s="36">
        <v>5000</v>
      </c>
      <c r="D93" s="36">
        <v>5000</v>
      </c>
      <c r="E93" s="36">
        <v>5000</v>
      </c>
      <c r="F93" s="36">
        <v>5000</v>
      </c>
      <c r="G93" s="36">
        <v>5000</v>
      </c>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row>
    <row r="94" spans="1:35" x14ac:dyDescent="0.25">
      <c r="A94" s="11" t="s">
        <v>1540</v>
      </c>
      <c r="B94" s="12" t="s">
        <v>1541</v>
      </c>
      <c r="C94" s="36">
        <v>14863</v>
      </c>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row>
    <row r="95" spans="1:35" x14ac:dyDescent="0.25">
      <c r="A95" s="11" t="s">
        <v>1542</v>
      </c>
      <c r="B95" s="12" t="s">
        <v>1543</v>
      </c>
      <c r="C95" s="36">
        <v>15000</v>
      </c>
      <c r="D95" s="36">
        <v>15000</v>
      </c>
      <c r="E95" s="36">
        <v>15000</v>
      </c>
      <c r="F95" s="36">
        <v>15000</v>
      </c>
      <c r="G95" s="36">
        <v>10000</v>
      </c>
      <c r="H95" s="36">
        <v>10000</v>
      </c>
      <c r="I95" s="36">
        <v>10000</v>
      </c>
      <c r="J95" s="36">
        <v>10000</v>
      </c>
      <c r="K95" s="36">
        <v>10000</v>
      </c>
      <c r="L95" s="36">
        <v>10000</v>
      </c>
      <c r="M95" s="36"/>
      <c r="N95" s="36"/>
      <c r="O95" s="36"/>
      <c r="P95" s="36"/>
      <c r="Q95" s="36"/>
      <c r="R95" s="36"/>
      <c r="S95" s="36"/>
      <c r="T95" s="36"/>
      <c r="U95" s="36"/>
      <c r="V95" s="36"/>
      <c r="W95" s="36"/>
      <c r="X95" s="36"/>
      <c r="Y95" s="36"/>
      <c r="Z95" s="36"/>
      <c r="AA95" s="36"/>
      <c r="AB95" s="36"/>
      <c r="AC95" s="36"/>
      <c r="AD95" s="36"/>
      <c r="AE95" s="36"/>
      <c r="AF95" s="36"/>
      <c r="AG95" s="36"/>
      <c r="AH95" s="36"/>
      <c r="AI95" s="36"/>
    </row>
    <row r="96" spans="1:35" x14ac:dyDescent="0.25">
      <c r="A96" s="11" t="s">
        <v>1544</v>
      </c>
      <c r="B96" s="60" t="s">
        <v>1375</v>
      </c>
      <c r="C96" s="36">
        <f>+C167</f>
        <v>28869</v>
      </c>
      <c r="D96" s="36">
        <f t="shared" ref="D96:AI99" si="44">+D167</f>
        <v>29452</v>
      </c>
      <c r="E96" s="36">
        <f t="shared" si="44"/>
        <v>30047</v>
      </c>
      <c r="F96" s="36">
        <f t="shared" si="44"/>
        <v>31141</v>
      </c>
      <c r="G96" s="36">
        <f t="shared" si="44"/>
        <v>31274</v>
      </c>
      <c r="H96" s="36">
        <f t="shared" si="44"/>
        <v>31906</v>
      </c>
      <c r="I96" s="36">
        <f t="shared" si="44"/>
        <v>32550</v>
      </c>
      <c r="J96" s="36">
        <f t="shared" si="44"/>
        <v>33208</v>
      </c>
      <c r="K96" s="36">
        <f t="shared" si="44"/>
        <v>33878</v>
      </c>
      <c r="L96" s="36">
        <f t="shared" si="44"/>
        <v>34563</v>
      </c>
      <c r="M96" s="36">
        <f t="shared" si="44"/>
        <v>0</v>
      </c>
      <c r="N96" s="36">
        <f t="shared" si="44"/>
        <v>0</v>
      </c>
      <c r="O96" s="36">
        <f t="shared" si="44"/>
        <v>0</v>
      </c>
      <c r="P96" s="36">
        <f t="shared" si="44"/>
        <v>0</v>
      </c>
      <c r="Q96" s="36">
        <f t="shared" si="44"/>
        <v>0</v>
      </c>
      <c r="R96" s="36">
        <f t="shared" si="44"/>
        <v>0</v>
      </c>
      <c r="S96" s="36">
        <f t="shared" si="44"/>
        <v>0</v>
      </c>
      <c r="T96" s="36">
        <f t="shared" si="44"/>
        <v>0</v>
      </c>
      <c r="U96" s="36">
        <f t="shared" si="44"/>
        <v>0</v>
      </c>
      <c r="V96" s="36">
        <f t="shared" si="44"/>
        <v>0</v>
      </c>
      <c r="W96" s="36">
        <f t="shared" si="44"/>
        <v>0</v>
      </c>
      <c r="X96" s="36">
        <f t="shared" si="44"/>
        <v>0</v>
      </c>
      <c r="Y96" s="36">
        <f t="shared" si="44"/>
        <v>0</v>
      </c>
      <c r="Z96" s="36">
        <f t="shared" si="44"/>
        <v>0</v>
      </c>
      <c r="AA96" s="36">
        <f t="shared" si="44"/>
        <v>0</v>
      </c>
      <c r="AB96" s="36">
        <f t="shared" si="44"/>
        <v>0</v>
      </c>
      <c r="AC96" s="36">
        <f t="shared" si="44"/>
        <v>0</v>
      </c>
      <c r="AD96" s="36">
        <f t="shared" si="44"/>
        <v>0</v>
      </c>
      <c r="AE96" s="36">
        <f t="shared" si="44"/>
        <v>0</v>
      </c>
      <c r="AF96" s="36">
        <f t="shared" si="44"/>
        <v>0</v>
      </c>
      <c r="AG96" s="36">
        <f t="shared" si="44"/>
        <v>0</v>
      </c>
      <c r="AH96" s="36">
        <f t="shared" si="44"/>
        <v>0</v>
      </c>
      <c r="AI96" s="36">
        <f t="shared" si="44"/>
        <v>0</v>
      </c>
    </row>
    <row r="97" spans="1:35" x14ac:dyDescent="0.25">
      <c r="A97" s="11" t="s">
        <v>1545</v>
      </c>
      <c r="B97" s="60" t="s">
        <v>1376</v>
      </c>
      <c r="C97" s="36">
        <f>+C168</f>
        <v>32807</v>
      </c>
      <c r="D97" s="36">
        <f t="shared" ref="D97:R97" si="45">+D168</f>
        <v>33610</v>
      </c>
      <c r="E97" s="36">
        <f t="shared" si="45"/>
        <v>34430</v>
      </c>
      <c r="F97" s="36">
        <f t="shared" si="45"/>
        <v>35272</v>
      </c>
      <c r="G97" s="36">
        <f t="shared" si="45"/>
        <v>36134</v>
      </c>
      <c r="H97" s="36">
        <f t="shared" si="45"/>
        <v>37016</v>
      </c>
      <c r="I97" s="36">
        <f t="shared" si="45"/>
        <v>37921</v>
      </c>
      <c r="J97" s="36">
        <f t="shared" si="45"/>
        <v>38848</v>
      </c>
      <c r="K97" s="36">
        <f t="shared" si="45"/>
        <v>39797</v>
      </c>
      <c r="L97" s="36">
        <f t="shared" si="45"/>
        <v>40769</v>
      </c>
      <c r="M97" s="36">
        <f t="shared" si="45"/>
        <v>41765</v>
      </c>
      <c r="N97" s="36">
        <f t="shared" si="45"/>
        <v>42786</v>
      </c>
      <c r="O97" s="36">
        <f t="shared" si="45"/>
        <v>43832</v>
      </c>
      <c r="P97" s="36">
        <f t="shared" si="45"/>
        <v>44903</v>
      </c>
      <c r="Q97" s="36">
        <f t="shared" si="45"/>
        <v>46000</v>
      </c>
      <c r="R97" s="36">
        <f t="shared" si="45"/>
        <v>47124</v>
      </c>
      <c r="S97" s="36">
        <f t="shared" si="44"/>
        <v>48275</v>
      </c>
      <c r="T97" s="36">
        <f t="shared" si="44"/>
        <v>49455</v>
      </c>
      <c r="U97" s="36">
        <f t="shared" si="44"/>
        <v>50663</v>
      </c>
      <c r="V97" s="36">
        <f t="shared" si="44"/>
        <v>51901</v>
      </c>
      <c r="W97" s="36">
        <f t="shared" si="44"/>
        <v>53170</v>
      </c>
      <c r="X97" s="36">
        <f t="shared" si="44"/>
        <v>0</v>
      </c>
      <c r="Y97" s="36">
        <f t="shared" si="44"/>
        <v>0</v>
      </c>
      <c r="Z97" s="36">
        <f t="shared" si="44"/>
        <v>0</v>
      </c>
      <c r="AA97" s="36">
        <f t="shared" si="44"/>
        <v>0</v>
      </c>
      <c r="AB97" s="36">
        <f t="shared" si="44"/>
        <v>0</v>
      </c>
      <c r="AC97" s="36">
        <f t="shared" si="44"/>
        <v>0</v>
      </c>
      <c r="AD97" s="36">
        <f t="shared" si="44"/>
        <v>0</v>
      </c>
      <c r="AE97" s="36">
        <f t="shared" si="44"/>
        <v>0</v>
      </c>
      <c r="AF97" s="36">
        <f t="shared" si="44"/>
        <v>0</v>
      </c>
      <c r="AG97" s="36">
        <f t="shared" si="44"/>
        <v>0</v>
      </c>
      <c r="AH97" s="36">
        <f t="shared" si="44"/>
        <v>0</v>
      </c>
      <c r="AI97" s="36">
        <f t="shared" si="44"/>
        <v>0</v>
      </c>
    </row>
    <row r="98" spans="1:35" x14ac:dyDescent="0.25">
      <c r="A98" s="11" t="s">
        <v>1546</v>
      </c>
      <c r="B98" s="60" t="s">
        <v>1377</v>
      </c>
      <c r="C98" s="36">
        <f>+C169</f>
        <v>9665</v>
      </c>
      <c r="D98" s="36">
        <f t="shared" si="44"/>
        <v>10088</v>
      </c>
      <c r="E98" s="36">
        <f t="shared" si="44"/>
        <v>10530</v>
      </c>
      <c r="F98" s="36">
        <f t="shared" si="44"/>
        <v>10990</v>
      </c>
      <c r="G98" s="36">
        <f t="shared" si="44"/>
        <v>11471</v>
      </c>
      <c r="H98" s="36">
        <f t="shared" si="44"/>
        <v>11973</v>
      </c>
      <c r="I98" s="36">
        <f t="shared" si="44"/>
        <v>12497</v>
      </c>
      <c r="J98" s="36">
        <f t="shared" si="44"/>
        <v>13043</v>
      </c>
      <c r="K98" s="36">
        <f t="shared" si="44"/>
        <v>13614</v>
      </c>
      <c r="L98" s="36">
        <f t="shared" si="44"/>
        <v>14210</v>
      </c>
      <c r="M98" s="36">
        <f t="shared" si="44"/>
        <v>14831</v>
      </c>
      <c r="N98" s="36">
        <f t="shared" si="44"/>
        <v>15481</v>
      </c>
      <c r="O98" s="36">
        <f t="shared" si="44"/>
        <v>16157</v>
      </c>
      <c r="P98" s="36">
        <f t="shared" si="44"/>
        <v>16864</v>
      </c>
      <c r="Q98" s="36">
        <f t="shared" si="44"/>
        <v>17602</v>
      </c>
      <c r="R98" s="36">
        <f t="shared" si="44"/>
        <v>18373</v>
      </c>
      <c r="S98" s="36">
        <f t="shared" si="44"/>
        <v>19176</v>
      </c>
      <c r="T98" s="36">
        <f t="shared" si="44"/>
        <v>20015</v>
      </c>
      <c r="U98" s="36">
        <f t="shared" si="44"/>
        <v>20891</v>
      </c>
      <c r="V98" s="36">
        <f t="shared" si="44"/>
        <v>21805</v>
      </c>
      <c r="W98" s="36">
        <f t="shared" si="44"/>
        <v>22759</v>
      </c>
      <c r="X98" s="36">
        <f t="shared" si="44"/>
        <v>23755</v>
      </c>
      <c r="Y98" s="36">
        <f t="shared" si="44"/>
        <v>24794</v>
      </c>
      <c r="Z98" s="36">
        <f t="shared" si="44"/>
        <v>25878</v>
      </c>
      <c r="AA98" s="36">
        <f t="shared" si="44"/>
        <v>27010</v>
      </c>
      <c r="AB98" s="36">
        <f t="shared" si="44"/>
        <v>28192</v>
      </c>
      <c r="AC98" s="36">
        <f t="shared" si="44"/>
        <v>29426</v>
      </c>
      <c r="AD98" s="36">
        <f t="shared" si="44"/>
        <v>30713</v>
      </c>
      <c r="AE98" s="36">
        <f t="shared" si="44"/>
        <v>31953</v>
      </c>
      <c r="AF98" s="36">
        <f t="shared" si="44"/>
        <v>0</v>
      </c>
      <c r="AG98" s="36">
        <f t="shared" si="44"/>
        <v>0</v>
      </c>
      <c r="AH98" s="36">
        <f t="shared" si="44"/>
        <v>0</v>
      </c>
      <c r="AI98" s="36">
        <f t="shared" si="44"/>
        <v>0</v>
      </c>
    </row>
    <row r="99" spans="1:35" x14ac:dyDescent="0.25">
      <c r="A99" s="11" t="s">
        <v>1547</v>
      </c>
      <c r="B99" s="60" t="s">
        <v>1378</v>
      </c>
      <c r="C99" s="36">
        <f>+C170</f>
        <v>8837</v>
      </c>
      <c r="D99" s="36">
        <f t="shared" si="44"/>
        <v>9202</v>
      </c>
      <c r="E99" s="36">
        <f t="shared" si="44"/>
        <v>9581</v>
      </c>
      <c r="F99" s="36">
        <f t="shared" si="44"/>
        <v>9976</v>
      </c>
      <c r="G99" s="36">
        <f t="shared" si="44"/>
        <v>10388</v>
      </c>
      <c r="H99" s="36">
        <f t="shared" si="44"/>
        <v>10816</v>
      </c>
      <c r="I99" s="36">
        <f t="shared" si="44"/>
        <v>11262</v>
      </c>
      <c r="J99" s="36">
        <f t="shared" si="44"/>
        <v>11727</v>
      </c>
      <c r="K99" s="36">
        <f t="shared" si="44"/>
        <v>12211</v>
      </c>
      <c r="L99" s="36">
        <f t="shared" si="44"/>
        <v>12714</v>
      </c>
      <c r="M99" s="36">
        <f t="shared" si="44"/>
        <v>13238</v>
      </c>
      <c r="N99" s="36">
        <f t="shared" si="44"/>
        <v>13784</v>
      </c>
      <c r="O99" s="36">
        <f t="shared" si="44"/>
        <v>14353</v>
      </c>
      <c r="P99" s="36">
        <f t="shared" si="44"/>
        <v>14945</v>
      </c>
      <c r="Q99" s="36">
        <f t="shared" si="44"/>
        <v>15562</v>
      </c>
      <c r="R99" s="36">
        <f t="shared" si="44"/>
        <v>16204</v>
      </c>
      <c r="S99" s="36">
        <f t="shared" si="44"/>
        <v>16872</v>
      </c>
      <c r="T99" s="36">
        <f t="shared" si="44"/>
        <v>17568</v>
      </c>
      <c r="U99" s="36">
        <f t="shared" si="44"/>
        <v>18293</v>
      </c>
      <c r="V99" s="36">
        <f t="shared" si="44"/>
        <v>19048</v>
      </c>
      <c r="W99" s="36">
        <f t="shared" si="44"/>
        <v>19833</v>
      </c>
      <c r="X99" s="36">
        <f t="shared" si="44"/>
        <v>20651</v>
      </c>
      <c r="Y99" s="36">
        <f t="shared" si="44"/>
        <v>21503</v>
      </c>
      <c r="Z99" s="36">
        <f t="shared" si="44"/>
        <v>22390</v>
      </c>
      <c r="AA99" s="36">
        <f t="shared" si="44"/>
        <v>23314</v>
      </c>
      <c r="AB99" s="36">
        <f t="shared" si="44"/>
        <v>24275</v>
      </c>
      <c r="AC99" s="36">
        <f t="shared" si="44"/>
        <v>25277</v>
      </c>
      <c r="AD99" s="36">
        <f t="shared" si="44"/>
        <v>26319</v>
      </c>
      <c r="AE99" s="36">
        <f t="shared" si="44"/>
        <v>27405</v>
      </c>
      <c r="AF99" s="36">
        <f t="shared" si="44"/>
        <v>28535</v>
      </c>
      <c r="AG99" s="36">
        <f t="shared" si="44"/>
        <v>29528</v>
      </c>
      <c r="AH99" s="36">
        <f t="shared" si="44"/>
        <v>0</v>
      </c>
      <c r="AI99" s="36">
        <f t="shared" si="44"/>
        <v>0</v>
      </c>
    </row>
    <row r="100" spans="1:35" x14ac:dyDescent="0.25">
      <c r="A100" s="11" t="s">
        <v>1548</v>
      </c>
      <c r="B100" s="12" t="s">
        <v>1549</v>
      </c>
      <c r="C100" s="36">
        <v>0</v>
      </c>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row>
    <row r="101" spans="1:35" x14ac:dyDescent="0.25">
      <c r="A101" s="11" t="s">
        <v>1550</v>
      </c>
      <c r="B101" s="12" t="s">
        <v>1551</v>
      </c>
      <c r="C101" s="36">
        <v>60000</v>
      </c>
      <c r="D101" s="36">
        <v>60000</v>
      </c>
      <c r="E101" s="36">
        <v>65000</v>
      </c>
      <c r="F101" s="36">
        <v>65000</v>
      </c>
      <c r="G101" s="36">
        <v>70000</v>
      </c>
      <c r="H101" s="36">
        <v>70000</v>
      </c>
      <c r="I101" s="36">
        <v>75000</v>
      </c>
      <c r="J101" s="36">
        <v>75000</v>
      </c>
      <c r="K101" s="36">
        <v>80000</v>
      </c>
      <c r="L101" s="36">
        <v>80000</v>
      </c>
      <c r="M101" s="36">
        <v>85000</v>
      </c>
      <c r="N101" s="36">
        <v>90000</v>
      </c>
      <c r="O101" s="36">
        <v>90000</v>
      </c>
      <c r="P101" s="36">
        <v>95000</v>
      </c>
      <c r="Q101" s="36">
        <v>100000</v>
      </c>
      <c r="R101" s="36">
        <v>105000</v>
      </c>
      <c r="S101" s="36">
        <v>110000</v>
      </c>
      <c r="T101" s="36"/>
      <c r="U101" s="36"/>
      <c r="V101" s="36"/>
      <c r="W101" s="36"/>
      <c r="X101" s="36"/>
      <c r="Y101" s="36"/>
      <c r="Z101" s="36"/>
      <c r="AA101" s="36"/>
      <c r="AB101" s="36"/>
      <c r="AC101" s="36"/>
      <c r="AD101" s="36"/>
      <c r="AE101" s="36"/>
      <c r="AF101" s="36"/>
      <c r="AG101" s="36"/>
      <c r="AH101" s="36"/>
      <c r="AI101" s="36"/>
    </row>
    <row r="102" spans="1:35" x14ac:dyDescent="0.25">
      <c r="A102" s="11" t="s">
        <v>1552</v>
      </c>
      <c r="B102" s="12" t="s">
        <v>1750</v>
      </c>
      <c r="C102" s="318">
        <v>67501</v>
      </c>
      <c r="D102" s="318">
        <v>64036</v>
      </c>
      <c r="E102" s="318">
        <v>65428</v>
      </c>
      <c r="F102" s="318">
        <v>66850</v>
      </c>
      <c r="G102" s="318">
        <v>68302</v>
      </c>
      <c r="H102" s="318">
        <v>69787</v>
      </c>
      <c r="I102" s="318">
        <v>71304</v>
      </c>
      <c r="J102" s="318">
        <v>72853</v>
      </c>
      <c r="K102" s="318">
        <v>74437</v>
      </c>
      <c r="L102" s="318">
        <v>76054</v>
      </c>
      <c r="M102" s="318">
        <v>77707</v>
      </c>
      <c r="N102" s="318">
        <v>79396</v>
      </c>
      <c r="O102" s="318">
        <v>8122</v>
      </c>
      <c r="P102" s="318">
        <v>82885</v>
      </c>
      <c r="Q102" s="318">
        <v>84686</v>
      </c>
      <c r="R102" s="318">
        <v>86527</v>
      </c>
      <c r="S102" s="318">
        <v>88407</v>
      </c>
      <c r="T102" s="318">
        <v>90329</v>
      </c>
      <c r="U102" s="318">
        <v>92292</v>
      </c>
      <c r="V102" s="318">
        <v>94298</v>
      </c>
      <c r="W102" s="318">
        <v>96347</v>
      </c>
      <c r="X102" s="36"/>
      <c r="Y102" s="36"/>
      <c r="Z102" s="36"/>
      <c r="AA102" s="36"/>
      <c r="AB102" s="36"/>
      <c r="AC102" s="36"/>
      <c r="AD102" s="36"/>
      <c r="AE102" s="36"/>
      <c r="AF102" s="36"/>
      <c r="AG102" s="36"/>
      <c r="AH102" s="36"/>
      <c r="AI102" s="36"/>
    </row>
    <row r="103" spans="1:35" x14ac:dyDescent="0.25">
      <c r="A103" s="11" t="s">
        <v>1554</v>
      </c>
      <c r="B103" s="12" t="s">
        <v>1555</v>
      </c>
      <c r="C103" s="318"/>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row>
    <row r="104" spans="1:35" x14ac:dyDescent="0.25">
      <c r="A104" s="11" t="s">
        <v>1556</v>
      </c>
      <c r="B104" s="12" t="s">
        <v>1751</v>
      </c>
      <c r="C104" s="318"/>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row>
    <row r="105" spans="1:35" x14ac:dyDescent="0.25">
      <c r="A105" s="11" t="s">
        <v>1558</v>
      </c>
      <c r="B105" s="12" t="s">
        <v>1559</v>
      </c>
      <c r="C105" s="318"/>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row>
    <row r="106" spans="1:35" x14ac:dyDescent="0.25">
      <c r="A106" s="11" t="s">
        <v>1560</v>
      </c>
      <c r="B106" s="12" t="s">
        <v>1752</v>
      </c>
      <c r="C106" s="318"/>
      <c r="D106" s="36">
        <v>5000</v>
      </c>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row>
    <row r="107" spans="1:35" x14ac:dyDescent="0.25">
      <c r="A107" s="11"/>
      <c r="B107" s="12"/>
      <c r="C107" s="318"/>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row>
    <row r="108" spans="1:35" ht="13.8" thickBot="1" x14ac:dyDescent="0.3">
      <c r="A108" s="11"/>
      <c r="B108" s="90" t="s">
        <v>1760</v>
      </c>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row>
    <row r="109" spans="1:35" x14ac:dyDescent="0.25">
      <c r="A109" s="11" t="s">
        <v>1569</v>
      </c>
      <c r="B109" s="12" t="s">
        <v>1537</v>
      </c>
      <c r="C109" s="14">
        <f>4012.5+4012.5</f>
        <v>8025</v>
      </c>
      <c r="D109" s="14">
        <f>3337.5+3337.5</f>
        <v>6675</v>
      </c>
      <c r="E109" s="14">
        <f>2625+2625</f>
        <v>5250</v>
      </c>
      <c r="F109" s="14">
        <f>1875+1875</f>
        <v>3750</v>
      </c>
      <c r="G109" s="14">
        <f>1250+1250</f>
        <v>2500</v>
      </c>
      <c r="H109" s="14">
        <f>625+625</f>
        <v>1250</v>
      </c>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row>
    <row r="110" spans="1:35" x14ac:dyDescent="0.25">
      <c r="A110" s="11" t="s">
        <v>1570</v>
      </c>
      <c r="B110" s="12" t="s">
        <v>1539</v>
      </c>
      <c r="C110" s="36">
        <v>1213</v>
      </c>
      <c r="D110" s="36">
        <v>988</v>
      </c>
      <c r="E110" s="36">
        <v>750</v>
      </c>
      <c r="F110" s="36">
        <v>500</v>
      </c>
      <c r="G110" s="36">
        <v>250</v>
      </c>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row>
    <row r="111" spans="1:35" x14ac:dyDescent="0.25">
      <c r="A111" s="11" t="s">
        <v>1571</v>
      </c>
      <c r="B111" s="12" t="s">
        <v>1541</v>
      </c>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row>
    <row r="112" spans="1:35" x14ac:dyDescent="0.25">
      <c r="A112" s="11" t="s">
        <v>1572</v>
      </c>
      <c r="B112" s="12" t="s">
        <v>1573</v>
      </c>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row>
    <row r="113" spans="1:35" x14ac:dyDescent="0.25">
      <c r="A113" s="11" t="s">
        <v>1574</v>
      </c>
      <c r="B113" s="12" t="s">
        <v>1543</v>
      </c>
      <c r="C113" s="36">
        <f>2000+1800+400+300</f>
        <v>4500</v>
      </c>
      <c r="D113" s="36">
        <f>1800+1600+300+200</f>
        <v>3900</v>
      </c>
      <c r="E113" s="36">
        <f>1600+1400+200+100</f>
        <v>3300</v>
      </c>
      <c r="F113" s="36">
        <f>1400+1200+100</f>
        <v>2700</v>
      </c>
      <c r="G113" s="36">
        <v>2200</v>
      </c>
      <c r="H113" s="36">
        <v>1800</v>
      </c>
      <c r="I113" s="36">
        <v>1400</v>
      </c>
      <c r="J113" s="36">
        <v>1000</v>
      </c>
      <c r="K113" s="36">
        <v>600</v>
      </c>
      <c r="L113" s="36">
        <v>200</v>
      </c>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row>
    <row r="114" spans="1:35" x14ac:dyDescent="0.25">
      <c r="A114" s="11" t="s">
        <v>1575</v>
      </c>
      <c r="B114" s="60" t="s">
        <v>1375</v>
      </c>
      <c r="C114" s="211">
        <f t="shared" ref="C114:C119" si="46">+C173</f>
        <v>6400</v>
      </c>
      <c r="D114" s="211">
        <f t="shared" ref="D114:AI119" si="47">+D173</f>
        <v>5456</v>
      </c>
      <c r="E114" s="211">
        <f t="shared" si="47"/>
        <v>4861</v>
      </c>
      <c r="F114" s="211">
        <f t="shared" si="47"/>
        <v>4255</v>
      </c>
      <c r="G114" s="211">
        <f t="shared" si="47"/>
        <v>3635</v>
      </c>
      <c r="H114" s="211">
        <f t="shared" si="47"/>
        <v>3004</v>
      </c>
      <c r="I114" s="211">
        <f t="shared" si="47"/>
        <v>2359</v>
      </c>
      <c r="J114" s="211">
        <f t="shared" si="47"/>
        <v>1701</v>
      </c>
      <c r="K114" s="211">
        <f t="shared" si="47"/>
        <v>1030</v>
      </c>
      <c r="L114" s="211">
        <f t="shared" si="47"/>
        <v>346</v>
      </c>
      <c r="M114" s="211">
        <f t="shared" si="47"/>
        <v>0</v>
      </c>
      <c r="N114" s="211">
        <f t="shared" si="47"/>
        <v>0</v>
      </c>
      <c r="O114" s="211">
        <f t="shared" si="47"/>
        <v>0</v>
      </c>
      <c r="P114" s="211">
        <f t="shared" si="47"/>
        <v>0</v>
      </c>
      <c r="Q114" s="211">
        <f t="shared" si="47"/>
        <v>0</v>
      </c>
      <c r="R114" s="211">
        <f t="shared" si="47"/>
        <v>0</v>
      </c>
      <c r="S114" s="211">
        <f t="shared" si="47"/>
        <v>0</v>
      </c>
      <c r="T114" s="211">
        <f t="shared" si="47"/>
        <v>0</v>
      </c>
      <c r="U114" s="211">
        <f t="shared" si="47"/>
        <v>0</v>
      </c>
      <c r="V114" s="211">
        <f t="shared" si="47"/>
        <v>0</v>
      </c>
      <c r="W114" s="211">
        <f t="shared" si="47"/>
        <v>0</v>
      </c>
      <c r="X114" s="211">
        <f t="shared" si="47"/>
        <v>0</v>
      </c>
      <c r="Y114" s="211">
        <f t="shared" si="47"/>
        <v>0</v>
      </c>
      <c r="Z114" s="211">
        <f t="shared" si="47"/>
        <v>0</v>
      </c>
      <c r="AA114" s="211">
        <f t="shared" si="47"/>
        <v>0</v>
      </c>
      <c r="AB114" s="211">
        <f t="shared" si="47"/>
        <v>0</v>
      </c>
      <c r="AC114" s="211">
        <f t="shared" si="47"/>
        <v>0</v>
      </c>
      <c r="AD114" s="211">
        <f t="shared" si="47"/>
        <v>0</v>
      </c>
      <c r="AE114" s="211">
        <f t="shared" si="47"/>
        <v>0</v>
      </c>
      <c r="AF114" s="211">
        <f t="shared" si="47"/>
        <v>0</v>
      </c>
      <c r="AG114" s="211">
        <f t="shared" si="47"/>
        <v>0</v>
      </c>
      <c r="AH114" s="211">
        <f t="shared" si="47"/>
        <v>0</v>
      </c>
      <c r="AI114" s="211">
        <f t="shared" si="47"/>
        <v>0</v>
      </c>
    </row>
    <row r="115" spans="1:35" x14ac:dyDescent="0.25">
      <c r="A115" s="11" t="s">
        <v>1576</v>
      </c>
      <c r="B115" s="60" t="s">
        <v>1397</v>
      </c>
      <c r="C115" s="211">
        <f t="shared" si="46"/>
        <v>453</v>
      </c>
      <c r="D115" s="211">
        <f t="shared" ref="D115:R115" si="48">+D174</f>
        <v>410</v>
      </c>
      <c r="E115" s="211">
        <f t="shared" si="48"/>
        <v>365</v>
      </c>
      <c r="F115" s="211">
        <f t="shared" si="48"/>
        <v>319</v>
      </c>
      <c r="G115" s="211">
        <f t="shared" si="48"/>
        <v>273</v>
      </c>
      <c r="H115" s="211">
        <f t="shared" si="48"/>
        <v>226</v>
      </c>
      <c r="I115" s="211">
        <f t="shared" si="48"/>
        <v>177</v>
      </c>
      <c r="J115" s="211">
        <f t="shared" si="48"/>
        <v>128</v>
      </c>
      <c r="K115" s="211">
        <f t="shared" si="48"/>
        <v>77</v>
      </c>
      <c r="L115" s="211">
        <f t="shared" si="48"/>
        <v>266</v>
      </c>
      <c r="M115" s="211">
        <f t="shared" si="48"/>
        <v>0</v>
      </c>
      <c r="N115" s="211">
        <f t="shared" si="48"/>
        <v>0</v>
      </c>
      <c r="O115" s="211">
        <f t="shared" si="48"/>
        <v>0</v>
      </c>
      <c r="P115" s="211">
        <f t="shared" si="48"/>
        <v>0</v>
      </c>
      <c r="Q115" s="211">
        <f t="shared" si="48"/>
        <v>0</v>
      </c>
      <c r="R115" s="211">
        <f t="shared" si="48"/>
        <v>0</v>
      </c>
      <c r="S115" s="211">
        <f t="shared" si="47"/>
        <v>0</v>
      </c>
      <c r="T115" s="211">
        <f t="shared" si="47"/>
        <v>0</v>
      </c>
      <c r="U115" s="211">
        <f t="shared" si="47"/>
        <v>0</v>
      </c>
      <c r="V115" s="211">
        <f t="shared" si="47"/>
        <v>0</v>
      </c>
      <c r="W115" s="211">
        <f t="shared" si="47"/>
        <v>0</v>
      </c>
      <c r="X115" s="211">
        <f t="shared" si="47"/>
        <v>0</v>
      </c>
      <c r="Y115" s="211">
        <f t="shared" si="47"/>
        <v>0</v>
      </c>
      <c r="Z115" s="211">
        <f t="shared" si="47"/>
        <v>0</v>
      </c>
      <c r="AA115" s="211">
        <f t="shared" si="47"/>
        <v>0</v>
      </c>
      <c r="AB115" s="211">
        <f t="shared" si="47"/>
        <v>0</v>
      </c>
      <c r="AC115" s="211">
        <f t="shared" si="47"/>
        <v>0</v>
      </c>
      <c r="AD115" s="211">
        <f t="shared" si="47"/>
        <v>0</v>
      </c>
      <c r="AE115" s="211">
        <f t="shared" si="47"/>
        <v>0</v>
      </c>
      <c r="AF115" s="211">
        <f t="shared" si="47"/>
        <v>0</v>
      </c>
      <c r="AG115" s="211">
        <f t="shared" si="47"/>
        <v>0</v>
      </c>
      <c r="AH115" s="211">
        <f t="shared" si="47"/>
        <v>0</v>
      </c>
      <c r="AI115" s="211">
        <f t="shared" si="47"/>
        <v>0</v>
      </c>
    </row>
    <row r="116" spans="1:35" x14ac:dyDescent="0.25">
      <c r="A116" s="11" t="s">
        <v>1577</v>
      </c>
      <c r="B116" s="60" t="s">
        <v>1376</v>
      </c>
      <c r="C116" s="211">
        <f t="shared" si="46"/>
        <v>21081</v>
      </c>
      <c r="D116" s="211">
        <f t="shared" si="47"/>
        <v>20202</v>
      </c>
      <c r="E116" s="211">
        <f t="shared" si="47"/>
        <v>19381</v>
      </c>
      <c r="F116" s="211">
        <f t="shared" si="47"/>
        <v>18540</v>
      </c>
      <c r="G116" s="211">
        <f t="shared" si="47"/>
        <v>17678</v>
      </c>
      <c r="H116" s="211">
        <f t="shared" si="47"/>
        <v>16795</v>
      </c>
      <c r="I116" s="211">
        <f t="shared" si="47"/>
        <v>15890</v>
      </c>
      <c r="J116" s="211">
        <f t="shared" si="47"/>
        <v>14964</v>
      </c>
      <c r="K116" s="211">
        <f t="shared" si="47"/>
        <v>14015</v>
      </c>
      <c r="L116" s="211">
        <f t="shared" si="47"/>
        <v>13042</v>
      </c>
      <c r="M116" s="211">
        <f t="shared" si="47"/>
        <v>12046</v>
      </c>
      <c r="N116" s="211">
        <f t="shared" si="47"/>
        <v>11026</v>
      </c>
      <c r="O116" s="211">
        <f t="shared" si="47"/>
        <v>9980</v>
      </c>
      <c r="P116" s="211">
        <f t="shared" si="47"/>
        <v>8909</v>
      </c>
      <c r="Q116" s="211">
        <f t="shared" si="47"/>
        <v>7812</v>
      </c>
      <c r="R116" s="211">
        <f t="shared" si="47"/>
        <v>6688</v>
      </c>
      <c r="S116" s="211">
        <f t="shared" si="47"/>
        <v>5536</v>
      </c>
      <c r="T116" s="211">
        <f t="shared" si="47"/>
        <v>4357</v>
      </c>
      <c r="U116" s="211">
        <f t="shared" si="47"/>
        <v>3148</v>
      </c>
      <c r="V116" s="211">
        <f t="shared" si="47"/>
        <v>1910</v>
      </c>
      <c r="W116" s="211">
        <f t="shared" si="47"/>
        <v>642</v>
      </c>
      <c r="X116" s="211">
        <f t="shared" si="47"/>
        <v>0</v>
      </c>
      <c r="Y116" s="211">
        <f t="shared" si="47"/>
        <v>0</v>
      </c>
      <c r="Z116" s="211">
        <f t="shared" si="47"/>
        <v>0</v>
      </c>
      <c r="AA116" s="211">
        <f t="shared" si="47"/>
        <v>0</v>
      </c>
      <c r="AB116" s="211">
        <f t="shared" si="47"/>
        <v>0</v>
      </c>
      <c r="AC116" s="211">
        <f t="shared" si="47"/>
        <v>0</v>
      </c>
      <c r="AD116" s="211">
        <f t="shared" si="47"/>
        <v>0</v>
      </c>
      <c r="AE116" s="211">
        <f t="shared" si="47"/>
        <v>0</v>
      </c>
      <c r="AF116" s="211">
        <f t="shared" si="47"/>
        <v>0</v>
      </c>
      <c r="AG116" s="211">
        <f t="shared" si="47"/>
        <v>0</v>
      </c>
      <c r="AH116" s="211">
        <f t="shared" si="47"/>
        <v>0</v>
      </c>
      <c r="AI116" s="211">
        <f t="shared" si="47"/>
        <v>0</v>
      </c>
    </row>
    <row r="117" spans="1:35" x14ac:dyDescent="0.25">
      <c r="A117" s="11" t="s">
        <v>1578</v>
      </c>
      <c r="B117" s="60" t="s">
        <v>1399</v>
      </c>
      <c r="C117" s="211">
        <f t="shared" si="46"/>
        <v>1306</v>
      </c>
      <c r="D117" s="211">
        <f t="shared" si="47"/>
        <v>1256</v>
      </c>
      <c r="E117" s="211">
        <f t="shared" si="47"/>
        <v>1205</v>
      </c>
      <c r="F117" s="211">
        <f t="shared" si="47"/>
        <v>1152</v>
      </c>
      <c r="G117" s="211">
        <f t="shared" si="47"/>
        <v>1099</v>
      </c>
      <c r="H117" s="211">
        <f t="shared" si="47"/>
        <v>1044</v>
      </c>
      <c r="I117" s="211">
        <f t="shared" si="47"/>
        <v>988</v>
      </c>
      <c r="J117" s="211">
        <f t="shared" si="47"/>
        <v>870</v>
      </c>
      <c r="K117" s="211">
        <f t="shared" si="47"/>
        <v>871</v>
      </c>
      <c r="L117" s="211">
        <f t="shared" si="47"/>
        <v>811</v>
      </c>
      <c r="M117" s="211">
        <f t="shared" si="47"/>
        <v>749</v>
      </c>
      <c r="N117" s="211">
        <f t="shared" si="47"/>
        <v>685</v>
      </c>
      <c r="O117" s="211">
        <f t="shared" si="47"/>
        <v>620</v>
      </c>
      <c r="P117" s="211">
        <f t="shared" si="47"/>
        <v>554</v>
      </c>
      <c r="Q117" s="211">
        <f t="shared" si="47"/>
        <v>485</v>
      </c>
      <c r="R117" s="211">
        <f t="shared" si="47"/>
        <v>416</v>
      </c>
      <c r="S117" s="211">
        <f t="shared" si="47"/>
        <v>344</v>
      </c>
      <c r="T117" s="211">
        <f t="shared" si="47"/>
        <v>271</v>
      </c>
      <c r="U117" s="211">
        <f t="shared" si="47"/>
        <v>196</v>
      </c>
      <c r="V117" s="211">
        <f t="shared" si="47"/>
        <v>119</v>
      </c>
      <c r="W117" s="211">
        <f t="shared" si="47"/>
        <v>40</v>
      </c>
      <c r="X117" s="211">
        <f t="shared" si="47"/>
        <v>0</v>
      </c>
      <c r="Y117" s="211">
        <f t="shared" si="47"/>
        <v>0</v>
      </c>
      <c r="Z117" s="211">
        <f t="shared" si="47"/>
        <v>0</v>
      </c>
      <c r="AA117" s="211">
        <f t="shared" si="47"/>
        <v>0</v>
      </c>
      <c r="AB117" s="211">
        <f t="shared" si="47"/>
        <v>0</v>
      </c>
      <c r="AC117" s="211">
        <f t="shared" si="47"/>
        <v>0</v>
      </c>
      <c r="AD117" s="211">
        <f t="shared" si="47"/>
        <v>0</v>
      </c>
      <c r="AE117" s="211">
        <f t="shared" si="47"/>
        <v>0</v>
      </c>
      <c r="AF117" s="211">
        <f t="shared" si="47"/>
        <v>0</v>
      </c>
      <c r="AG117" s="211">
        <f t="shared" si="47"/>
        <v>0</v>
      </c>
      <c r="AH117" s="211">
        <f t="shared" si="47"/>
        <v>0</v>
      </c>
      <c r="AI117" s="211">
        <f t="shared" si="47"/>
        <v>0</v>
      </c>
    </row>
    <row r="118" spans="1:35" x14ac:dyDescent="0.25">
      <c r="A118" s="11" t="s">
        <v>1579</v>
      </c>
      <c r="B118" s="60" t="s">
        <v>1377</v>
      </c>
      <c r="C118" s="211">
        <f t="shared" si="46"/>
        <v>23789</v>
      </c>
      <c r="D118" s="211">
        <f t="shared" si="47"/>
        <v>23366</v>
      </c>
      <c r="E118" s="211">
        <f t="shared" si="47"/>
        <v>22925</v>
      </c>
      <c r="F118" s="211">
        <f t="shared" si="47"/>
        <v>22465</v>
      </c>
      <c r="G118" s="211">
        <f t="shared" si="47"/>
        <v>21983</v>
      </c>
      <c r="H118" s="211">
        <f t="shared" si="47"/>
        <v>21482</v>
      </c>
      <c r="I118" s="211">
        <f t="shared" si="47"/>
        <v>20958</v>
      </c>
      <c r="J118" s="211">
        <f t="shared" si="47"/>
        <v>20411</v>
      </c>
      <c r="K118" s="211">
        <f t="shared" si="47"/>
        <v>19841</v>
      </c>
      <c r="L118" s="211">
        <f t="shared" si="47"/>
        <v>19245</v>
      </c>
      <c r="M118" s="211">
        <f t="shared" si="47"/>
        <v>18623</v>
      </c>
      <c r="N118" s="211">
        <f t="shared" si="47"/>
        <v>17974</v>
      </c>
      <c r="O118" s="211">
        <f t="shared" si="47"/>
        <v>17297</v>
      </c>
      <c r="P118" s="211">
        <f t="shared" si="47"/>
        <v>16590</v>
      </c>
      <c r="Q118" s="211">
        <f t="shared" si="47"/>
        <v>15853</v>
      </c>
      <c r="R118" s="211">
        <f t="shared" si="47"/>
        <v>15082</v>
      </c>
      <c r="S118" s="211">
        <f t="shared" si="47"/>
        <v>14279</v>
      </c>
      <c r="T118" s="211">
        <f t="shared" si="47"/>
        <v>13439</v>
      </c>
      <c r="U118" s="211">
        <f t="shared" si="47"/>
        <v>12564</v>
      </c>
      <c r="V118" s="211">
        <f t="shared" si="47"/>
        <v>11650</v>
      </c>
      <c r="W118" s="211">
        <f t="shared" si="47"/>
        <v>10696</v>
      </c>
      <c r="X118" s="211">
        <f t="shared" si="47"/>
        <v>9700</v>
      </c>
      <c r="Y118" s="211">
        <f t="shared" si="47"/>
        <v>8661</v>
      </c>
      <c r="Z118" s="211">
        <f t="shared" si="47"/>
        <v>7577</v>
      </c>
      <c r="AA118" s="211">
        <f t="shared" si="47"/>
        <v>6445</v>
      </c>
      <c r="AB118" s="211">
        <f t="shared" si="47"/>
        <v>5263</v>
      </c>
      <c r="AC118" s="211">
        <f t="shared" si="47"/>
        <v>4029</v>
      </c>
      <c r="AD118" s="211">
        <f t="shared" si="47"/>
        <v>2742</v>
      </c>
      <c r="AE118" s="211">
        <f t="shared" si="47"/>
        <v>1398</v>
      </c>
      <c r="AF118" s="211">
        <f t="shared" si="47"/>
        <v>0</v>
      </c>
      <c r="AG118" s="211">
        <f t="shared" si="47"/>
        <v>0</v>
      </c>
      <c r="AH118" s="211">
        <f t="shared" si="47"/>
        <v>0</v>
      </c>
      <c r="AI118" s="211">
        <f t="shared" si="47"/>
        <v>0</v>
      </c>
    </row>
    <row r="119" spans="1:35" x14ac:dyDescent="0.25">
      <c r="A119" s="11" t="s">
        <v>1580</v>
      </c>
      <c r="B119" s="60" t="s">
        <v>1378</v>
      </c>
      <c r="C119" s="211">
        <f t="shared" si="46"/>
        <v>22094</v>
      </c>
      <c r="D119" s="211">
        <f t="shared" si="47"/>
        <v>21729</v>
      </c>
      <c r="E119" s="211">
        <f t="shared" si="47"/>
        <v>21350</v>
      </c>
      <c r="F119" s="211">
        <f t="shared" si="47"/>
        <v>20954</v>
      </c>
      <c r="G119" s="211">
        <f t="shared" si="47"/>
        <v>20543</v>
      </c>
      <c r="H119" s="211">
        <f t="shared" si="47"/>
        <v>20114</v>
      </c>
      <c r="I119" s="211">
        <f t="shared" si="47"/>
        <v>19669</v>
      </c>
      <c r="J119" s="211">
        <f t="shared" si="47"/>
        <v>19204</v>
      </c>
      <c r="K119" s="211">
        <f t="shared" si="47"/>
        <v>18720</v>
      </c>
      <c r="L119" s="211">
        <f t="shared" si="47"/>
        <v>18217</v>
      </c>
      <c r="M119" s="211">
        <f t="shared" si="47"/>
        <v>17692</v>
      </c>
      <c r="N119" s="211">
        <f t="shared" si="47"/>
        <v>17146</v>
      </c>
      <c r="O119" s="211">
        <f t="shared" si="47"/>
        <v>16577</v>
      </c>
      <c r="P119" s="211">
        <f t="shared" si="47"/>
        <v>15985</v>
      </c>
      <c r="Q119" s="211">
        <f t="shared" si="47"/>
        <v>15369</v>
      </c>
      <c r="R119" s="211">
        <f t="shared" si="47"/>
        <v>14727</v>
      </c>
      <c r="S119" s="211">
        <f t="shared" si="47"/>
        <v>14059</v>
      </c>
      <c r="T119" s="211">
        <f t="shared" si="47"/>
        <v>13363</v>
      </c>
      <c r="U119" s="211">
        <f t="shared" si="47"/>
        <v>12638</v>
      </c>
      <c r="V119" s="211">
        <f t="shared" si="47"/>
        <v>11883</v>
      </c>
      <c r="W119" s="211">
        <f t="shared" si="47"/>
        <v>11098</v>
      </c>
      <c r="X119" s="211">
        <f t="shared" si="47"/>
        <v>10280</v>
      </c>
      <c r="Y119" s="211">
        <f t="shared" si="47"/>
        <v>9428</v>
      </c>
      <c r="Z119" s="211">
        <f t="shared" si="47"/>
        <v>8540</v>
      </c>
      <c r="AA119" s="211">
        <f t="shared" si="47"/>
        <v>7617</v>
      </c>
      <c r="AB119" s="211">
        <f t="shared" si="47"/>
        <v>6655</v>
      </c>
      <c r="AC119" s="211">
        <f t="shared" si="47"/>
        <v>5654</v>
      </c>
      <c r="AD119" s="211">
        <f t="shared" si="47"/>
        <v>4612</v>
      </c>
      <c r="AE119" s="211">
        <f t="shared" si="47"/>
        <v>3526</v>
      </c>
      <c r="AF119" s="211">
        <f t="shared" si="47"/>
        <v>2395</v>
      </c>
      <c r="AG119" s="211">
        <f t="shared" si="47"/>
        <v>1218</v>
      </c>
      <c r="AH119" s="211">
        <f t="shared" si="47"/>
        <v>0</v>
      </c>
      <c r="AI119" s="211">
        <f t="shared" si="47"/>
        <v>0</v>
      </c>
    </row>
    <row r="120" spans="1:35" x14ac:dyDescent="0.25">
      <c r="A120" s="11" t="s">
        <v>1581</v>
      </c>
      <c r="B120" s="12" t="s">
        <v>1549</v>
      </c>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row>
    <row r="121" spans="1:35" x14ac:dyDescent="0.25">
      <c r="A121" s="11" t="s">
        <v>1582</v>
      </c>
      <c r="B121" s="12" t="s">
        <v>1583</v>
      </c>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row>
    <row r="122" spans="1:35" x14ac:dyDescent="0.25">
      <c r="A122" s="11" t="s">
        <v>1584</v>
      </c>
      <c r="B122" s="12" t="s">
        <v>1551</v>
      </c>
      <c r="C122" s="36">
        <v>49100</v>
      </c>
      <c r="D122" s="36">
        <v>47300</v>
      </c>
      <c r="E122" s="36">
        <v>45500</v>
      </c>
      <c r="F122" s="36">
        <v>43550</v>
      </c>
      <c r="G122" s="36">
        <v>41600</v>
      </c>
      <c r="H122" s="36">
        <v>39500</v>
      </c>
      <c r="I122" s="36">
        <v>37400</v>
      </c>
      <c r="J122" s="36">
        <v>35150</v>
      </c>
      <c r="K122" s="36">
        <v>32338</v>
      </c>
      <c r="L122" s="36">
        <v>29338</v>
      </c>
      <c r="M122" s="36">
        <v>26338</v>
      </c>
      <c r="N122" s="36">
        <v>23150</v>
      </c>
      <c r="O122" s="36">
        <v>19775</v>
      </c>
      <c r="P122" s="36">
        <v>16400</v>
      </c>
      <c r="Q122" s="36">
        <v>12600</v>
      </c>
      <c r="R122" s="36">
        <v>8600</v>
      </c>
      <c r="S122" s="36">
        <v>4400</v>
      </c>
      <c r="T122" s="36"/>
      <c r="U122" s="36"/>
      <c r="V122" s="36"/>
      <c r="W122" s="36"/>
      <c r="X122" s="36"/>
      <c r="Y122" s="36"/>
      <c r="Z122" s="36"/>
      <c r="AA122" s="36"/>
      <c r="AB122" s="36"/>
      <c r="AC122" s="36"/>
      <c r="AD122" s="36"/>
      <c r="AE122" s="36"/>
      <c r="AF122" s="36"/>
      <c r="AG122" s="36"/>
      <c r="AH122" s="36"/>
      <c r="AI122" s="36"/>
    </row>
    <row r="123" spans="1:35" x14ac:dyDescent="0.25">
      <c r="A123" s="11" t="s">
        <v>1585</v>
      </c>
      <c r="B123" s="12" t="s">
        <v>1750</v>
      </c>
      <c r="C123" s="318">
        <f>21136.47+19510.69</f>
        <v>40647.160000000003</v>
      </c>
      <c r="D123" s="318">
        <v>26385</v>
      </c>
      <c r="E123" s="318">
        <v>30381</v>
      </c>
      <c r="F123" s="318">
        <v>29072</v>
      </c>
      <c r="G123" s="318">
        <v>27735</v>
      </c>
      <c r="H123" s="318">
        <v>26369</v>
      </c>
      <c r="I123" s="318">
        <v>24973</v>
      </c>
      <c r="J123" s="318">
        <v>23547</v>
      </c>
      <c r="K123" s="318">
        <v>22090</v>
      </c>
      <c r="L123" s="318">
        <v>20601</v>
      </c>
      <c r="M123" s="318">
        <v>19080</v>
      </c>
      <c r="N123" s="318">
        <v>17526</v>
      </c>
      <c r="O123" s="318">
        <v>15938</v>
      </c>
      <c r="P123" s="318">
        <v>14316</v>
      </c>
      <c r="Q123" s="318">
        <v>12658</v>
      </c>
      <c r="R123" s="318">
        <v>10964</v>
      </c>
      <c r="S123" s="318">
        <v>9234</v>
      </c>
      <c r="T123" s="318">
        <v>7465.32</v>
      </c>
      <c r="U123" s="318">
        <v>5659</v>
      </c>
      <c r="V123" s="318">
        <v>2193</v>
      </c>
      <c r="W123" s="318">
        <v>1806.94</v>
      </c>
      <c r="X123" s="36"/>
      <c r="Y123" s="36"/>
      <c r="Z123" s="36"/>
      <c r="AA123" s="36"/>
      <c r="AB123" s="36"/>
      <c r="AC123" s="36"/>
      <c r="AD123" s="36"/>
      <c r="AE123" s="36"/>
      <c r="AF123" s="36"/>
      <c r="AG123" s="36"/>
      <c r="AH123" s="36"/>
      <c r="AI123" s="36"/>
    </row>
    <row r="124" spans="1:35" x14ac:dyDescent="0.25">
      <c r="A124" s="11" t="s">
        <v>1586</v>
      </c>
      <c r="B124" s="12" t="s">
        <v>1761</v>
      </c>
      <c r="C124" s="318">
        <f>1463.29+1463.29+10730.82</f>
        <v>13657.4</v>
      </c>
      <c r="D124" s="318">
        <f>8707+2375</f>
        <v>11082</v>
      </c>
      <c r="E124" s="318">
        <v>2279</v>
      </c>
      <c r="F124" s="318">
        <v>2181</v>
      </c>
      <c r="G124" s="318">
        <v>2081</v>
      </c>
      <c r="H124" s="318">
        <v>1978</v>
      </c>
      <c r="I124" s="318">
        <v>1873</v>
      </c>
      <c r="J124" s="318">
        <v>1766</v>
      </c>
      <c r="K124" s="318">
        <v>1657</v>
      </c>
      <c r="L124" s="318">
        <v>1546</v>
      </c>
      <c r="M124" s="318">
        <v>1431</v>
      </c>
      <c r="N124" s="318">
        <v>1315</v>
      </c>
      <c r="O124" s="318">
        <v>1196</v>
      </c>
      <c r="P124" s="318">
        <v>1074</v>
      </c>
      <c r="Q124" s="318">
        <v>950</v>
      </c>
      <c r="R124" s="468">
        <v>823</v>
      </c>
      <c r="S124" s="318">
        <v>693</v>
      </c>
      <c r="T124" s="318">
        <v>560</v>
      </c>
      <c r="U124" s="318">
        <v>425</v>
      </c>
      <c r="V124" s="318">
        <v>286</v>
      </c>
      <c r="W124" s="318">
        <v>145</v>
      </c>
      <c r="X124" s="36"/>
      <c r="Y124" s="36"/>
      <c r="Z124" s="36"/>
      <c r="AA124" s="36"/>
      <c r="AB124" s="36"/>
      <c r="AC124" s="36"/>
      <c r="AD124" s="36"/>
      <c r="AE124" s="36"/>
      <c r="AF124" s="36"/>
      <c r="AG124" s="36"/>
      <c r="AH124" s="36"/>
      <c r="AI124" s="36"/>
    </row>
    <row r="125" spans="1:35" x14ac:dyDescent="0.25">
      <c r="A125" s="11" t="s">
        <v>1588</v>
      </c>
      <c r="B125" s="12" t="s">
        <v>1555</v>
      </c>
      <c r="C125" s="318"/>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row>
    <row r="126" spans="1:35" x14ac:dyDescent="0.25">
      <c r="A126" s="11" t="s">
        <v>1589</v>
      </c>
      <c r="B126" s="12" t="s">
        <v>1751</v>
      </c>
      <c r="C126" s="318"/>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row>
    <row r="127" spans="1:35" x14ac:dyDescent="0.25">
      <c r="A127" s="11" t="s">
        <v>1590</v>
      </c>
      <c r="B127" s="12" t="s">
        <v>1559</v>
      </c>
      <c r="C127" s="318"/>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row>
    <row r="128" spans="1:35" x14ac:dyDescent="0.25">
      <c r="A128" s="11" t="s">
        <v>1591</v>
      </c>
      <c r="B128" s="12" t="s">
        <v>1752</v>
      </c>
      <c r="C128" s="318"/>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row>
    <row r="129" spans="1:35" x14ac:dyDescent="0.25">
      <c r="A129" s="11"/>
      <c r="B129" s="12"/>
      <c r="C129" s="318"/>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row>
    <row r="130" spans="1:35" ht="13.8" thickBot="1" x14ac:dyDescent="0.3">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row>
    <row r="131" spans="1:35" x14ac:dyDescent="0.25">
      <c r="B131" s="4" t="s">
        <v>1762</v>
      </c>
      <c r="C131" s="19">
        <f>SUM(C108:C130)</f>
        <v>192265.56</v>
      </c>
      <c r="D131" s="19">
        <f>SUM(D92:D130)</f>
        <v>430137</v>
      </c>
      <c r="E131" s="19">
        <f t="shared" ref="E131:AI131" si="49">SUM(E92:E130)</f>
        <v>422563</v>
      </c>
      <c r="F131" s="19">
        <f t="shared" si="49"/>
        <v>413667</v>
      </c>
      <c r="G131" s="19">
        <f t="shared" si="49"/>
        <v>409146</v>
      </c>
      <c r="H131" s="19">
        <f t="shared" si="49"/>
        <v>400060</v>
      </c>
      <c r="I131" s="19">
        <f t="shared" si="49"/>
        <v>376221</v>
      </c>
      <c r="J131" s="19">
        <f t="shared" si="49"/>
        <v>373420</v>
      </c>
      <c r="K131" s="19">
        <f t="shared" si="49"/>
        <v>375176</v>
      </c>
      <c r="L131" s="19">
        <f t="shared" si="49"/>
        <v>371922</v>
      </c>
      <c r="M131" s="19">
        <f t="shared" si="49"/>
        <v>328500</v>
      </c>
      <c r="N131" s="19">
        <f t="shared" si="49"/>
        <v>330269</v>
      </c>
      <c r="O131" s="19">
        <f t="shared" si="49"/>
        <v>253847</v>
      </c>
      <c r="P131" s="19">
        <f t="shared" si="49"/>
        <v>328425</v>
      </c>
      <c r="Q131" s="19">
        <f t="shared" si="49"/>
        <v>329577</v>
      </c>
      <c r="R131" s="19">
        <f t="shared" si="49"/>
        <v>330528</v>
      </c>
      <c r="S131" s="19">
        <f t="shared" si="49"/>
        <v>331275</v>
      </c>
      <c r="T131" s="19">
        <f t="shared" si="49"/>
        <v>216822.32</v>
      </c>
      <c r="U131" s="19">
        <f t="shared" si="49"/>
        <v>216769</v>
      </c>
      <c r="V131" s="19">
        <f t="shared" si="49"/>
        <v>215093</v>
      </c>
      <c r="W131" s="19">
        <f t="shared" si="49"/>
        <v>216536.94</v>
      </c>
      <c r="X131" s="19">
        <f t="shared" si="49"/>
        <v>64386</v>
      </c>
      <c r="Y131" s="19">
        <f t="shared" si="49"/>
        <v>64386</v>
      </c>
      <c r="Z131" s="19">
        <f t="shared" si="49"/>
        <v>64385</v>
      </c>
      <c r="AA131" s="19">
        <f t="shared" si="49"/>
        <v>64386</v>
      </c>
      <c r="AB131" s="19">
        <f t="shared" si="49"/>
        <v>64385</v>
      </c>
      <c r="AC131" s="19">
        <f t="shared" si="49"/>
        <v>64386</v>
      </c>
      <c r="AD131" s="19">
        <f t="shared" si="49"/>
        <v>64386</v>
      </c>
      <c r="AE131" s="19">
        <f t="shared" si="49"/>
        <v>64282</v>
      </c>
      <c r="AF131" s="19">
        <f t="shared" si="49"/>
        <v>30930</v>
      </c>
      <c r="AG131" s="19">
        <f t="shared" si="49"/>
        <v>30746</v>
      </c>
      <c r="AH131" s="19">
        <f t="shared" si="49"/>
        <v>0</v>
      </c>
      <c r="AI131" s="19">
        <f t="shared" si="49"/>
        <v>0</v>
      </c>
    </row>
    <row r="132" spans="1:35" x14ac:dyDescent="0.25">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row>
    <row r="133" spans="1:35" ht="13.8" thickBot="1" x14ac:dyDescent="0.3">
      <c r="A133" s="432" t="s">
        <v>1763</v>
      </c>
      <c r="B133" s="433"/>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c r="Z133" s="434"/>
      <c r="AA133" s="434"/>
      <c r="AB133" s="434"/>
      <c r="AC133" s="434"/>
      <c r="AD133" s="434"/>
      <c r="AE133" s="434"/>
      <c r="AF133" s="434"/>
      <c r="AG133" s="434"/>
      <c r="AH133" s="434"/>
      <c r="AI133" s="434"/>
    </row>
    <row r="134" spans="1:35" ht="13.8" thickTop="1" x14ac:dyDescent="0.25">
      <c r="A134" s="435"/>
      <c r="B134" s="436"/>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437"/>
      <c r="AF134" s="437"/>
      <c r="AG134" s="437"/>
      <c r="AH134" s="437"/>
      <c r="AI134" s="437"/>
    </row>
    <row r="135" spans="1:35" x14ac:dyDescent="0.25">
      <c r="A135" s="438">
        <v>710</v>
      </c>
      <c r="B135" s="439" t="s">
        <v>1371</v>
      </c>
      <c r="C135" s="440"/>
      <c r="D135" s="440"/>
      <c r="E135" s="440"/>
      <c r="F135" s="440"/>
      <c r="G135" s="440"/>
      <c r="H135" s="440"/>
      <c r="I135" s="440"/>
      <c r="J135" s="440"/>
      <c r="K135" s="440"/>
      <c r="L135" s="440"/>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c r="AH135" s="440"/>
      <c r="AI135" s="440"/>
    </row>
    <row r="136" spans="1:35" x14ac:dyDescent="0.25">
      <c r="A136" s="438">
        <v>5930</v>
      </c>
      <c r="B136" s="441" t="s">
        <v>1375</v>
      </c>
      <c r="C136" s="440">
        <v>48115</v>
      </c>
      <c r="D136" s="440">
        <v>49087</v>
      </c>
      <c r="E136" s="440">
        <v>50079</v>
      </c>
      <c r="F136" s="440">
        <v>51901</v>
      </c>
      <c r="G136" s="440">
        <v>52123</v>
      </c>
      <c r="H136" s="440">
        <v>53176</v>
      </c>
      <c r="I136" s="440">
        <v>54250</v>
      </c>
      <c r="J136" s="440">
        <v>55346</v>
      </c>
      <c r="K136" s="440">
        <v>56464</v>
      </c>
      <c r="L136" s="440">
        <v>57605</v>
      </c>
      <c r="M136" s="444"/>
      <c r="N136" s="444"/>
      <c r="O136" s="444"/>
      <c r="P136" s="444"/>
      <c r="Q136" s="444"/>
      <c r="R136" s="444"/>
      <c r="S136" s="444"/>
      <c r="T136" s="444"/>
      <c r="U136" s="444"/>
      <c r="V136" s="444"/>
      <c r="W136" s="444"/>
      <c r="X136" s="444"/>
      <c r="Y136" s="444"/>
      <c r="Z136" s="444"/>
      <c r="AA136" s="444"/>
      <c r="AB136" s="444"/>
      <c r="AC136" s="444"/>
      <c r="AD136" s="444"/>
      <c r="AE136" s="444"/>
      <c r="AF136" s="444"/>
      <c r="AG136" s="444"/>
      <c r="AH136" s="440"/>
      <c r="AI136" s="440"/>
    </row>
    <row r="137" spans="1:35" x14ac:dyDescent="0.25">
      <c r="A137" s="438">
        <v>5931</v>
      </c>
      <c r="B137" s="442" t="s">
        <v>1376</v>
      </c>
      <c r="C137" s="440">
        <v>54679</v>
      </c>
      <c r="D137" s="440">
        <v>56016</v>
      </c>
      <c r="E137" s="440">
        <v>57384</v>
      </c>
      <c r="F137" s="440">
        <v>58786</v>
      </c>
      <c r="G137" s="440">
        <v>60223</v>
      </c>
      <c r="H137" s="440">
        <v>61694</v>
      </c>
      <c r="I137" s="440">
        <v>63202</v>
      </c>
      <c r="J137" s="440">
        <v>64746</v>
      </c>
      <c r="K137" s="440">
        <v>66328</v>
      </c>
      <c r="L137" s="440">
        <v>67949</v>
      </c>
      <c r="M137" s="440">
        <v>69609</v>
      </c>
      <c r="N137" s="440">
        <v>71310</v>
      </c>
      <c r="O137" s="440">
        <v>73053</v>
      </c>
      <c r="P137" s="440">
        <v>74838</v>
      </c>
      <c r="Q137" s="440">
        <v>76667</v>
      </c>
      <c r="R137" s="440">
        <v>78540</v>
      </c>
      <c r="S137" s="440">
        <v>80459</v>
      </c>
      <c r="T137" s="440">
        <v>82425</v>
      </c>
      <c r="U137" s="440">
        <v>84439</v>
      </c>
      <c r="V137" s="440">
        <v>86502</v>
      </c>
      <c r="W137" s="440">
        <v>88616</v>
      </c>
      <c r="X137" s="444"/>
      <c r="Y137" s="444"/>
      <c r="Z137" s="444"/>
      <c r="AA137" s="444"/>
      <c r="AB137" s="444"/>
      <c r="AC137" s="444"/>
      <c r="AD137" s="444"/>
      <c r="AE137" s="444"/>
      <c r="AF137" s="444"/>
      <c r="AG137" s="444"/>
      <c r="AH137" s="440"/>
      <c r="AI137" s="440"/>
    </row>
    <row r="138" spans="1:35" x14ac:dyDescent="0.25">
      <c r="A138" s="438">
        <v>5932</v>
      </c>
      <c r="B138" s="442" t="s">
        <v>1377</v>
      </c>
      <c r="C138" s="440">
        <v>16109</v>
      </c>
      <c r="D138" s="440">
        <v>16814</v>
      </c>
      <c r="E138" s="440">
        <v>17550</v>
      </c>
      <c r="F138" s="440">
        <v>18317</v>
      </c>
      <c r="G138" s="440">
        <v>19118</v>
      </c>
      <c r="H138" s="440">
        <v>19955</v>
      </c>
      <c r="I138" s="440">
        <v>20828</v>
      </c>
      <c r="J138" s="440">
        <v>21739</v>
      </c>
      <c r="K138" s="440">
        <v>22690</v>
      </c>
      <c r="L138" s="440">
        <v>23683</v>
      </c>
      <c r="M138" s="440">
        <v>24719</v>
      </c>
      <c r="N138" s="440">
        <v>25801</v>
      </c>
      <c r="O138" s="440">
        <v>26929</v>
      </c>
      <c r="P138" s="440">
        <v>28107</v>
      </c>
      <c r="Q138" s="440">
        <v>29337</v>
      </c>
      <c r="R138" s="440">
        <v>30621</v>
      </c>
      <c r="S138" s="440">
        <v>31960</v>
      </c>
      <c r="T138" s="440">
        <v>33359</v>
      </c>
      <c r="U138" s="440">
        <v>34818</v>
      </c>
      <c r="V138" s="440">
        <v>36341</v>
      </c>
      <c r="W138" s="440">
        <v>37931</v>
      </c>
      <c r="X138" s="440">
        <v>39591</v>
      </c>
      <c r="Y138" s="440">
        <v>41323</v>
      </c>
      <c r="Z138" s="440">
        <v>43130</v>
      </c>
      <c r="AA138" s="440">
        <v>45017</v>
      </c>
      <c r="AB138" s="440">
        <v>46987</v>
      </c>
      <c r="AC138" s="440">
        <v>49043</v>
      </c>
      <c r="AD138" s="440">
        <v>51188</v>
      </c>
      <c r="AE138" s="440">
        <v>53255</v>
      </c>
      <c r="AF138" s="444"/>
      <c r="AG138" s="444"/>
      <c r="AH138" s="440"/>
      <c r="AI138" s="440"/>
    </row>
    <row r="139" spans="1:35" ht="13.8" thickBot="1" x14ac:dyDescent="0.3">
      <c r="A139" s="438">
        <v>5933</v>
      </c>
      <c r="B139" s="442" t="s">
        <v>1378</v>
      </c>
      <c r="C139" s="443">
        <v>14728</v>
      </c>
      <c r="D139" s="443">
        <v>15336</v>
      </c>
      <c r="E139" s="443">
        <v>15968</v>
      </c>
      <c r="F139" s="443">
        <v>16627</v>
      </c>
      <c r="G139" s="443">
        <v>17313</v>
      </c>
      <c r="H139" s="443">
        <v>18027</v>
      </c>
      <c r="I139" s="443">
        <v>18770</v>
      </c>
      <c r="J139" s="443">
        <v>19545</v>
      </c>
      <c r="K139" s="443">
        <v>20351</v>
      </c>
      <c r="L139" s="443">
        <v>21190</v>
      </c>
      <c r="M139" s="443">
        <v>22064</v>
      </c>
      <c r="N139" s="443">
        <v>22974</v>
      </c>
      <c r="O139" s="443">
        <v>23922</v>
      </c>
      <c r="P139" s="443">
        <v>24909</v>
      </c>
      <c r="Q139" s="443">
        <v>25936</v>
      </c>
      <c r="R139" s="443">
        <v>27006</v>
      </c>
      <c r="S139" s="443">
        <v>28120</v>
      </c>
      <c r="T139" s="443">
        <v>29280</v>
      </c>
      <c r="U139" s="443">
        <v>30488</v>
      </c>
      <c r="V139" s="443">
        <v>31746</v>
      </c>
      <c r="W139" s="443">
        <v>33055</v>
      </c>
      <c r="X139" s="443">
        <v>34418</v>
      </c>
      <c r="Y139" s="443">
        <v>35838</v>
      </c>
      <c r="Z139" s="443">
        <v>37317</v>
      </c>
      <c r="AA139" s="443">
        <v>38856</v>
      </c>
      <c r="AB139" s="443">
        <v>40459</v>
      </c>
      <c r="AC139" s="443">
        <v>42128</v>
      </c>
      <c r="AD139" s="443">
        <v>43865</v>
      </c>
      <c r="AE139" s="443">
        <v>45675</v>
      </c>
      <c r="AF139" s="443">
        <v>47559</v>
      </c>
      <c r="AG139" s="443">
        <v>49213</v>
      </c>
      <c r="AH139" s="443"/>
      <c r="AI139" s="443"/>
    </row>
    <row r="140" spans="1:35" x14ac:dyDescent="0.25">
      <c r="A140" s="438"/>
      <c r="B140" s="439"/>
      <c r="C140" s="444"/>
      <c r="D140" s="444"/>
      <c r="E140" s="444"/>
      <c r="F140" s="444"/>
      <c r="G140" s="444"/>
      <c r="H140" s="444"/>
      <c r="I140" s="444"/>
      <c r="J140" s="444"/>
      <c r="K140" s="444"/>
      <c r="L140" s="444"/>
      <c r="M140" s="444"/>
      <c r="N140" s="444"/>
      <c r="O140" s="444"/>
      <c r="P140" s="444"/>
      <c r="Q140" s="444"/>
      <c r="R140" s="444"/>
      <c r="S140" s="444"/>
      <c r="T140" s="444"/>
      <c r="U140" s="444"/>
      <c r="V140" s="444"/>
      <c r="W140" s="444"/>
      <c r="X140" s="444"/>
      <c r="Y140" s="444"/>
      <c r="Z140" s="444"/>
      <c r="AA140" s="444"/>
      <c r="AB140" s="444"/>
      <c r="AC140" s="444"/>
      <c r="AD140" s="444"/>
      <c r="AE140" s="444"/>
      <c r="AF140" s="444"/>
      <c r="AG140" s="444"/>
      <c r="AH140" s="444"/>
      <c r="AI140" s="444"/>
    </row>
    <row r="141" spans="1:35" x14ac:dyDescent="0.25">
      <c r="A141" s="438">
        <v>751</v>
      </c>
      <c r="B141" s="439" t="s">
        <v>1394</v>
      </c>
      <c r="C141" s="444"/>
      <c r="D141" s="444"/>
      <c r="E141" s="444"/>
      <c r="F141" s="444"/>
      <c r="G141" s="444"/>
      <c r="H141" s="444"/>
      <c r="I141" s="444"/>
      <c r="J141" s="444"/>
      <c r="K141" s="444"/>
      <c r="L141" s="444"/>
      <c r="M141" s="444"/>
      <c r="N141" s="444"/>
      <c r="O141" s="444"/>
      <c r="P141" s="444"/>
      <c r="Q141" s="444"/>
      <c r="R141" s="444"/>
      <c r="S141" s="444"/>
      <c r="T141" s="444"/>
      <c r="U141" s="444"/>
      <c r="V141" s="444"/>
      <c r="W141" s="444"/>
      <c r="X141" s="444"/>
      <c r="Y141" s="444"/>
      <c r="Z141" s="444"/>
      <c r="AA141" s="444"/>
      <c r="AB141" s="444"/>
      <c r="AC141" s="444"/>
      <c r="AD141" s="444"/>
      <c r="AE141" s="444"/>
      <c r="AF141" s="444"/>
      <c r="AG141" s="444"/>
      <c r="AH141" s="444"/>
      <c r="AI141" s="444"/>
    </row>
    <row r="142" spans="1:35" x14ac:dyDescent="0.25">
      <c r="A142" s="438">
        <v>5930</v>
      </c>
      <c r="B142" s="442" t="s">
        <v>1375</v>
      </c>
      <c r="C142" s="440">
        <v>10666</v>
      </c>
      <c r="D142" s="440">
        <v>9094</v>
      </c>
      <c r="E142" s="440">
        <v>8102</v>
      </c>
      <c r="F142" s="440">
        <v>7091</v>
      </c>
      <c r="G142" s="440">
        <v>6059</v>
      </c>
      <c r="H142" s="440">
        <v>5006</v>
      </c>
      <c r="I142" s="440">
        <v>3931</v>
      </c>
      <c r="J142" s="440">
        <v>2835</v>
      </c>
      <c r="K142" s="440">
        <v>1717</v>
      </c>
      <c r="L142" s="440">
        <v>577</v>
      </c>
      <c r="M142" s="444"/>
      <c r="N142" s="444"/>
      <c r="O142" s="444"/>
      <c r="P142" s="444"/>
      <c r="Q142" s="444"/>
      <c r="R142" s="444"/>
      <c r="S142" s="444"/>
      <c r="T142" s="444"/>
      <c r="U142" s="444"/>
      <c r="V142" s="444"/>
      <c r="W142" s="444"/>
      <c r="X142" s="444"/>
      <c r="Y142" s="444"/>
      <c r="Z142" s="444"/>
      <c r="AA142" s="444"/>
      <c r="AB142" s="444"/>
      <c r="AC142" s="444"/>
      <c r="AD142" s="444"/>
      <c r="AE142" s="444"/>
      <c r="AF142" s="444"/>
      <c r="AG142" s="444"/>
      <c r="AH142" s="440"/>
      <c r="AI142" s="440"/>
    </row>
    <row r="143" spans="1:35" x14ac:dyDescent="0.25">
      <c r="A143" s="438" t="s">
        <v>1396</v>
      </c>
      <c r="B143" s="442" t="s">
        <v>1397</v>
      </c>
      <c r="C143" s="440">
        <v>755</v>
      </c>
      <c r="D143" s="444">
        <v>683</v>
      </c>
      <c r="E143" s="444">
        <v>608</v>
      </c>
      <c r="F143" s="444">
        <v>532</v>
      </c>
      <c r="G143" s="444">
        <v>455</v>
      </c>
      <c r="H143" s="444">
        <v>376</v>
      </c>
      <c r="I143" s="444">
        <v>295</v>
      </c>
      <c r="J143" s="444">
        <v>213</v>
      </c>
      <c r="K143" s="444">
        <v>129</v>
      </c>
      <c r="L143" s="444">
        <v>444</v>
      </c>
      <c r="M143" s="444"/>
      <c r="N143" s="444"/>
      <c r="O143" s="444"/>
      <c r="P143" s="444"/>
      <c r="Q143" s="444"/>
      <c r="R143" s="444"/>
      <c r="S143" s="444"/>
      <c r="T143" s="444"/>
      <c r="U143" s="444"/>
      <c r="V143" s="444"/>
      <c r="W143" s="444"/>
      <c r="X143" s="444"/>
      <c r="Y143" s="444"/>
      <c r="Z143" s="444"/>
      <c r="AA143" s="444"/>
      <c r="AB143" s="444"/>
      <c r="AC143" s="444"/>
      <c r="AD143" s="444"/>
      <c r="AE143" s="444"/>
      <c r="AF143" s="444"/>
      <c r="AG143" s="444"/>
      <c r="AH143" s="440"/>
      <c r="AI143" s="440"/>
    </row>
    <row r="144" spans="1:35" x14ac:dyDescent="0.25">
      <c r="A144" s="438">
        <v>5931</v>
      </c>
      <c r="B144" s="442" t="s">
        <v>1376</v>
      </c>
      <c r="C144" s="440">
        <v>35135</v>
      </c>
      <c r="D144" s="440">
        <v>33670</v>
      </c>
      <c r="E144" s="440">
        <v>32302</v>
      </c>
      <c r="F144" s="440">
        <v>30900</v>
      </c>
      <c r="G144" s="440">
        <v>29463</v>
      </c>
      <c r="H144" s="440">
        <v>27992</v>
      </c>
      <c r="I144" s="440">
        <v>26484</v>
      </c>
      <c r="J144" s="440">
        <v>24940</v>
      </c>
      <c r="K144" s="440">
        <v>23358</v>
      </c>
      <c r="L144" s="440">
        <v>21737</v>
      </c>
      <c r="M144" s="440">
        <v>20077</v>
      </c>
      <c r="N144" s="440">
        <v>18376</v>
      </c>
      <c r="O144" s="440">
        <v>16633</v>
      </c>
      <c r="P144" s="440">
        <v>14848</v>
      </c>
      <c r="Q144" s="440">
        <v>13020</v>
      </c>
      <c r="R144" s="440">
        <v>11146</v>
      </c>
      <c r="S144" s="440">
        <v>9227</v>
      </c>
      <c r="T144" s="440">
        <v>7261</v>
      </c>
      <c r="U144" s="440">
        <v>5247</v>
      </c>
      <c r="V144" s="440">
        <v>3184</v>
      </c>
      <c r="W144" s="440">
        <v>1070</v>
      </c>
      <c r="X144" s="444"/>
      <c r="Y144" s="444"/>
      <c r="Z144" s="444"/>
      <c r="AA144" s="444"/>
      <c r="AB144" s="444"/>
      <c r="AC144" s="444"/>
      <c r="AD144" s="444"/>
      <c r="AE144" s="444"/>
      <c r="AF144" s="444"/>
      <c r="AG144" s="444"/>
      <c r="AH144" s="440"/>
      <c r="AI144" s="440"/>
    </row>
    <row r="145" spans="1:35" x14ac:dyDescent="0.25">
      <c r="A145" s="438" t="s">
        <v>1398</v>
      </c>
      <c r="B145" s="442" t="s">
        <v>1399</v>
      </c>
      <c r="C145" s="440">
        <v>2176</v>
      </c>
      <c r="D145" s="444">
        <v>2093</v>
      </c>
      <c r="E145" s="444">
        <v>2008</v>
      </c>
      <c r="F145" s="444">
        <v>1920</v>
      </c>
      <c r="G145" s="444">
        <v>1831</v>
      </c>
      <c r="H145" s="444">
        <v>1740</v>
      </c>
      <c r="I145" s="444">
        <v>1646</v>
      </c>
      <c r="J145" s="444">
        <v>1450</v>
      </c>
      <c r="K145" s="444">
        <v>1452</v>
      </c>
      <c r="L145" s="444">
        <v>1351</v>
      </c>
      <c r="M145" s="444">
        <v>1248</v>
      </c>
      <c r="N145" s="444">
        <v>1142</v>
      </c>
      <c r="O145" s="444">
        <v>1034</v>
      </c>
      <c r="P145" s="444">
        <v>923</v>
      </c>
      <c r="Q145" s="444">
        <v>809</v>
      </c>
      <c r="R145" s="444">
        <v>693</v>
      </c>
      <c r="S145" s="444">
        <v>574</v>
      </c>
      <c r="T145" s="444">
        <v>452</v>
      </c>
      <c r="U145" s="444">
        <v>327</v>
      </c>
      <c r="V145" s="444">
        <v>198</v>
      </c>
      <c r="W145" s="444">
        <v>67</v>
      </c>
      <c r="X145" s="444"/>
      <c r="Y145" s="444"/>
      <c r="Z145" s="444"/>
      <c r="AA145" s="444"/>
      <c r="AB145" s="444"/>
      <c r="AC145" s="444"/>
      <c r="AD145" s="444"/>
      <c r="AE145" s="444"/>
      <c r="AF145" s="444"/>
      <c r="AG145" s="444"/>
      <c r="AH145" s="440"/>
      <c r="AI145" s="440"/>
    </row>
    <row r="146" spans="1:35" x14ac:dyDescent="0.25">
      <c r="A146" s="438">
        <v>5932</v>
      </c>
      <c r="B146" s="442" t="s">
        <v>1377</v>
      </c>
      <c r="C146" s="440">
        <v>39649</v>
      </c>
      <c r="D146" s="440">
        <v>38944</v>
      </c>
      <c r="E146" s="440">
        <v>38208</v>
      </c>
      <c r="F146" s="440">
        <v>37441</v>
      </c>
      <c r="G146" s="440">
        <v>36639</v>
      </c>
      <c r="H146" s="440">
        <v>35803</v>
      </c>
      <c r="I146" s="440">
        <v>34930</v>
      </c>
      <c r="J146" s="440">
        <v>34019</v>
      </c>
      <c r="K146" s="440">
        <v>33068</v>
      </c>
      <c r="L146" s="440">
        <v>32075</v>
      </c>
      <c r="M146" s="440">
        <v>31039</v>
      </c>
      <c r="N146" s="440">
        <v>29957</v>
      </c>
      <c r="O146" s="440">
        <v>28829</v>
      </c>
      <c r="P146" s="440">
        <v>27650</v>
      </c>
      <c r="Q146" s="440">
        <v>26421</v>
      </c>
      <c r="R146" s="440">
        <v>25137</v>
      </c>
      <c r="S146" s="440">
        <v>23798</v>
      </c>
      <c r="T146" s="440">
        <v>22399</v>
      </c>
      <c r="U146" s="440">
        <v>20940</v>
      </c>
      <c r="V146" s="440">
        <v>19417</v>
      </c>
      <c r="W146" s="440">
        <v>17827</v>
      </c>
      <c r="X146" s="440">
        <v>16167</v>
      </c>
      <c r="Y146" s="440">
        <v>14435</v>
      </c>
      <c r="Z146" s="440">
        <v>12628</v>
      </c>
      <c r="AA146" s="440">
        <v>10741</v>
      </c>
      <c r="AB146" s="440">
        <v>8771</v>
      </c>
      <c r="AC146" s="440">
        <v>6715</v>
      </c>
      <c r="AD146" s="440">
        <v>4570</v>
      </c>
      <c r="AE146" s="440">
        <v>2330</v>
      </c>
      <c r="AF146" s="444"/>
      <c r="AG146" s="444"/>
      <c r="AH146" s="440"/>
      <c r="AI146" s="440"/>
    </row>
    <row r="147" spans="1:35" ht="13.8" thickBot="1" x14ac:dyDescent="0.3">
      <c r="A147" s="438">
        <v>5933</v>
      </c>
      <c r="B147" s="442" t="s">
        <v>1378</v>
      </c>
      <c r="C147" s="443">
        <v>36823</v>
      </c>
      <c r="D147" s="443">
        <v>36215</v>
      </c>
      <c r="E147" s="443">
        <v>35583</v>
      </c>
      <c r="F147" s="443">
        <v>34924</v>
      </c>
      <c r="G147" s="443">
        <v>34238</v>
      </c>
      <c r="H147" s="443">
        <v>33524</v>
      </c>
      <c r="I147" s="443">
        <v>32781</v>
      </c>
      <c r="J147" s="443">
        <v>32006</v>
      </c>
      <c r="K147" s="443">
        <v>31200</v>
      </c>
      <c r="L147" s="443">
        <v>30361</v>
      </c>
      <c r="M147" s="443">
        <v>29487</v>
      </c>
      <c r="N147" s="443">
        <v>28577</v>
      </c>
      <c r="O147" s="443">
        <v>27629</v>
      </c>
      <c r="P147" s="443">
        <v>26642</v>
      </c>
      <c r="Q147" s="443">
        <v>25615</v>
      </c>
      <c r="R147" s="443">
        <v>24545</v>
      </c>
      <c r="S147" s="443">
        <v>23431</v>
      </c>
      <c r="T147" s="443">
        <v>22271</v>
      </c>
      <c r="U147" s="443">
        <v>21063</v>
      </c>
      <c r="V147" s="443">
        <v>19805</v>
      </c>
      <c r="W147" s="443">
        <v>18496</v>
      </c>
      <c r="X147" s="443">
        <v>17133</v>
      </c>
      <c r="Y147" s="443">
        <v>15713</v>
      </c>
      <c r="Z147" s="443">
        <v>14234</v>
      </c>
      <c r="AA147" s="443">
        <v>12695</v>
      </c>
      <c r="AB147" s="443">
        <v>11092</v>
      </c>
      <c r="AC147" s="443">
        <v>9423</v>
      </c>
      <c r="AD147" s="443">
        <v>7686</v>
      </c>
      <c r="AE147" s="443">
        <v>5876</v>
      </c>
      <c r="AF147" s="443">
        <v>3992</v>
      </c>
      <c r="AG147" s="443">
        <v>2030</v>
      </c>
      <c r="AH147" s="443"/>
      <c r="AI147" s="443"/>
    </row>
    <row r="148" spans="1:35" x14ac:dyDescent="0.25">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row>
    <row r="149" spans="1:35" ht="13.8" thickBot="1" x14ac:dyDescent="0.3">
      <c r="A149" s="454" t="s">
        <v>1764</v>
      </c>
      <c r="B149" s="455"/>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row>
    <row r="150" spans="1:35" ht="13.8" thickTop="1" x14ac:dyDescent="0.25">
      <c r="A150" s="456">
        <v>710</v>
      </c>
      <c r="B150" s="457" t="s">
        <v>1371</v>
      </c>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98"/>
      <c r="AI150" s="298"/>
    </row>
    <row r="151" spans="1:35" x14ac:dyDescent="0.25">
      <c r="A151" s="456">
        <v>5930</v>
      </c>
      <c r="B151" s="458" t="s">
        <v>1375</v>
      </c>
      <c r="C151" s="298">
        <f t="shared" ref="C151:AI151" si="50">ROUND((+C136*0.4),0)</f>
        <v>19246</v>
      </c>
      <c r="D151" s="298">
        <f t="shared" si="50"/>
        <v>19635</v>
      </c>
      <c r="E151" s="298">
        <f t="shared" si="50"/>
        <v>20032</v>
      </c>
      <c r="F151" s="298">
        <f t="shared" si="50"/>
        <v>20760</v>
      </c>
      <c r="G151" s="298">
        <f t="shared" si="50"/>
        <v>20849</v>
      </c>
      <c r="H151" s="298">
        <f t="shared" si="50"/>
        <v>21270</v>
      </c>
      <c r="I151" s="298">
        <f t="shared" si="50"/>
        <v>21700</v>
      </c>
      <c r="J151" s="298">
        <f t="shared" si="50"/>
        <v>22138</v>
      </c>
      <c r="K151" s="298">
        <f t="shared" si="50"/>
        <v>22586</v>
      </c>
      <c r="L151" s="298">
        <f t="shared" si="50"/>
        <v>23042</v>
      </c>
      <c r="M151" s="298">
        <f t="shared" si="50"/>
        <v>0</v>
      </c>
      <c r="N151" s="298">
        <f t="shared" si="50"/>
        <v>0</v>
      </c>
      <c r="O151" s="298">
        <f t="shared" si="50"/>
        <v>0</v>
      </c>
      <c r="P151" s="298">
        <f t="shared" si="50"/>
        <v>0</v>
      </c>
      <c r="Q151" s="298">
        <f t="shared" si="50"/>
        <v>0</v>
      </c>
      <c r="R151" s="298">
        <f t="shared" si="50"/>
        <v>0</v>
      </c>
      <c r="S151" s="298">
        <f t="shared" si="50"/>
        <v>0</v>
      </c>
      <c r="T151" s="298">
        <f t="shared" si="50"/>
        <v>0</v>
      </c>
      <c r="U151" s="298">
        <f t="shared" si="50"/>
        <v>0</v>
      </c>
      <c r="V151" s="298">
        <f t="shared" si="50"/>
        <v>0</v>
      </c>
      <c r="W151" s="298">
        <f t="shared" si="50"/>
        <v>0</v>
      </c>
      <c r="X151" s="298">
        <f t="shared" si="50"/>
        <v>0</v>
      </c>
      <c r="Y151" s="298">
        <f t="shared" si="50"/>
        <v>0</v>
      </c>
      <c r="Z151" s="298">
        <f t="shared" si="50"/>
        <v>0</v>
      </c>
      <c r="AA151" s="298">
        <f t="shared" si="50"/>
        <v>0</v>
      </c>
      <c r="AB151" s="298">
        <f t="shared" si="50"/>
        <v>0</v>
      </c>
      <c r="AC151" s="298">
        <f t="shared" si="50"/>
        <v>0</v>
      </c>
      <c r="AD151" s="298">
        <f t="shared" si="50"/>
        <v>0</v>
      </c>
      <c r="AE151" s="298">
        <f t="shared" si="50"/>
        <v>0</v>
      </c>
      <c r="AF151" s="298">
        <f t="shared" si="50"/>
        <v>0</v>
      </c>
      <c r="AG151" s="298">
        <f t="shared" si="50"/>
        <v>0</v>
      </c>
      <c r="AH151" s="298">
        <f t="shared" si="50"/>
        <v>0</v>
      </c>
      <c r="AI151" s="298">
        <f t="shared" si="50"/>
        <v>0</v>
      </c>
    </row>
    <row r="152" spans="1:35" x14ac:dyDescent="0.25">
      <c r="A152" s="456">
        <v>5931</v>
      </c>
      <c r="B152" s="459" t="s">
        <v>1376</v>
      </c>
      <c r="C152" s="298">
        <f t="shared" ref="C152:AI152" si="51">ROUND((+C137*0.4),0)</f>
        <v>21872</v>
      </c>
      <c r="D152" s="298">
        <f t="shared" si="51"/>
        <v>22406</v>
      </c>
      <c r="E152" s="298">
        <f t="shared" si="51"/>
        <v>22954</v>
      </c>
      <c r="F152" s="298">
        <f t="shared" si="51"/>
        <v>23514</v>
      </c>
      <c r="G152" s="298">
        <f t="shared" si="51"/>
        <v>24089</v>
      </c>
      <c r="H152" s="298">
        <f t="shared" si="51"/>
        <v>24678</v>
      </c>
      <c r="I152" s="298">
        <f t="shared" si="51"/>
        <v>25281</v>
      </c>
      <c r="J152" s="298">
        <f t="shared" si="51"/>
        <v>25898</v>
      </c>
      <c r="K152" s="298">
        <f t="shared" si="51"/>
        <v>26531</v>
      </c>
      <c r="L152" s="298">
        <f t="shared" si="51"/>
        <v>27180</v>
      </c>
      <c r="M152" s="298">
        <f t="shared" si="51"/>
        <v>27844</v>
      </c>
      <c r="N152" s="298">
        <f t="shared" si="51"/>
        <v>28524</v>
      </c>
      <c r="O152" s="298">
        <f t="shared" si="51"/>
        <v>29221</v>
      </c>
      <c r="P152" s="298">
        <f t="shared" si="51"/>
        <v>29935</v>
      </c>
      <c r="Q152" s="298">
        <f t="shared" si="51"/>
        <v>30667</v>
      </c>
      <c r="R152" s="298">
        <f t="shared" si="51"/>
        <v>31416</v>
      </c>
      <c r="S152" s="298">
        <f t="shared" si="51"/>
        <v>32184</v>
      </c>
      <c r="T152" s="298">
        <f t="shared" si="51"/>
        <v>32970</v>
      </c>
      <c r="U152" s="298">
        <f t="shared" si="51"/>
        <v>33776</v>
      </c>
      <c r="V152" s="298">
        <f t="shared" si="51"/>
        <v>34601</v>
      </c>
      <c r="W152" s="298">
        <f t="shared" si="51"/>
        <v>35446</v>
      </c>
      <c r="X152" s="298">
        <f t="shared" si="51"/>
        <v>0</v>
      </c>
      <c r="Y152" s="298">
        <f t="shared" si="51"/>
        <v>0</v>
      </c>
      <c r="Z152" s="298">
        <f t="shared" si="51"/>
        <v>0</v>
      </c>
      <c r="AA152" s="298">
        <f t="shared" si="51"/>
        <v>0</v>
      </c>
      <c r="AB152" s="298">
        <f t="shared" si="51"/>
        <v>0</v>
      </c>
      <c r="AC152" s="298">
        <f t="shared" si="51"/>
        <v>0</v>
      </c>
      <c r="AD152" s="298">
        <f t="shared" si="51"/>
        <v>0</v>
      </c>
      <c r="AE152" s="298">
        <f t="shared" si="51"/>
        <v>0</v>
      </c>
      <c r="AF152" s="298">
        <f t="shared" si="51"/>
        <v>0</v>
      </c>
      <c r="AG152" s="298">
        <f t="shared" si="51"/>
        <v>0</v>
      </c>
      <c r="AH152" s="298">
        <f t="shared" si="51"/>
        <v>0</v>
      </c>
      <c r="AI152" s="298">
        <f t="shared" si="51"/>
        <v>0</v>
      </c>
    </row>
    <row r="153" spans="1:35" x14ac:dyDescent="0.25">
      <c r="A153" s="456">
        <v>5932</v>
      </c>
      <c r="B153" s="459" t="s">
        <v>1377</v>
      </c>
      <c r="C153" s="298">
        <f t="shared" ref="C153:AI153" si="52">ROUND((+C138*0.4),0)</f>
        <v>6444</v>
      </c>
      <c r="D153" s="298">
        <f t="shared" si="52"/>
        <v>6726</v>
      </c>
      <c r="E153" s="298">
        <f t="shared" si="52"/>
        <v>7020</v>
      </c>
      <c r="F153" s="298">
        <f t="shared" si="52"/>
        <v>7327</v>
      </c>
      <c r="G153" s="298">
        <f t="shared" si="52"/>
        <v>7647</v>
      </c>
      <c r="H153" s="298">
        <f t="shared" si="52"/>
        <v>7982</v>
      </c>
      <c r="I153" s="298">
        <f t="shared" si="52"/>
        <v>8331</v>
      </c>
      <c r="J153" s="298">
        <f t="shared" si="52"/>
        <v>8696</v>
      </c>
      <c r="K153" s="298">
        <f t="shared" si="52"/>
        <v>9076</v>
      </c>
      <c r="L153" s="298">
        <f t="shared" si="52"/>
        <v>9473</v>
      </c>
      <c r="M153" s="298">
        <f t="shared" si="52"/>
        <v>9888</v>
      </c>
      <c r="N153" s="298">
        <f t="shared" si="52"/>
        <v>10320</v>
      </c>
      <c r="O153" s="298">
        <f t="shared" si="52"/>
        <v>10772</v>
      </c>
      <c r="P153" s="298">
        <f t="shared" si="52"/>
        <v>11243</v>
      </c>
      <c r="Q153" s="298">
        <f t="shared" si="52"/>
        <v>11735</v>
      </c>
      <c r="R153" s="298">
        <f t="shared" si="52"/>
        <v>12248</v>
      </c>
      <c r="S153" s="298">
        <f t="shared" si="52"/>
        <v>12784</v>
      </c>
      <c r="T153" s="298">
        <f t="shared" si="52"/>
        <v>13344</v>
      </c>
      <c r="U153" s="298">
        <f t="shared" si="52"/>
        <v>13927</v>
      </c>
      <c r="V153" s="298">
        <f t="shared" si="52"/>
        <v>14536</v>
      </c>
      <c r="W153" s="298">
        <f t="shared" si="52"/>
        <v>15172</v>
      </c>
      <c r="X153" s="298">
        <f t="shared" si="52"/>
        <v>15836</v>
      </c>
      <c r="Y153" s="298">
        <f t="shared" si="52"/>
        <v>16529</v>
      </c>
      <c r="Z153" s="298">
        <f t="shared" si="52"/>
        <v>17252</v>
      </c>
      <c r="AA153" s="298">
        <f t="shared" si="52"/>
        <v>18007</v>
      </c>
      <c r="AB153" s="298">
        <f t="shared" si="52"/>
        <v>18795</v>
      </c>
      <c r="AC153" s="298">
        <f t="shared" si="52"/>
        <v>19617</v>
      </c>
      <c r="AD153" s="298">
        <f t="shared" si="52"/>
        <v>20475</v>
      </c>
      <c r="AE153" s="298">
        <f t="shared" si="52"/>
        <v>21302</v>
      </c>
      <c r="AF153" s="298">
        <f t="shared" si="52"/>
        <v>0</v>
      </c>
      <c r="AG153" s="298">
        <f t="shared" si="52"/>
        <v>0</v>
      </c>
      <c r="AH153" s="298">
        <f t="shared" si="52"/>
        <v>0</v>
      </c>
      <c r="AI153" s="298">
        <f t="shared" si="52"/>
        <v>0</v>
      </c>
    </row>
    <row r="154" spans="1:35" ht="13.8" thickBot="1" x14ac:dyDescent="0.3">
      <c r="A154" s="456">
        <v>5933</v>
      </c>
      <c r="B154" s="459" t="s">
        <v>1378</v>
      </c>
      <c r="C154" s="297">
        <f t="shared" ref="C154:AI154" si="53">ROUND((+C139*0.4),0)</f>
        <v>5891</v>
      </c>
      <c r="D154" s="297">
        <f t="shared" si="53"/>
        <v>6134</v>
      </c>
      <c r="E154" s="297">
        <f t="shared" si="53"/>
        <v>6387</v>
      </c>
      <c r="F154" s="297">
        <f t="shared" si="53"/>
        <v>6651</v>
      </c>
      <c r="G154" s="297">
        <f t="shared" si="53"/>
        <v>6925</v>
      </c>
      <c r="H154" s="297">
        <f t="shared" si="53"/>
        <v>7211</v>
      </c>
      <c r="I154" s="297">
        <f t="shared" si="53"/>
        <v>7508</v>
      </c>
      <c r="J154" s="297">
        <f t="shared" si="53"/>
        <v>7818</v>
      </c>
      <c r="K154" s="297">
        <f t="shared" si="53"/>
        <v>8140</v>
      </c>
      <c r="L154" s="297">
        <f t="shared" si="53"/>
        <v>8476</v>
      </c>
      <c r="M154" s="297">
        <f t="shared" si="53"/>
        <v>8826</v>
      </c>
      <c r="N154" s="297">
        <f t="shared" si="53"/>
        <v>9190</v>
      </c>
      <c r="O154" s="297">
        <f t="shared" si="53"/>
        <v>9569</v>
      </c>
      <c r="P154" s="297">
        <f t="shared" si="53"/>
        <v>9964</v>
      </c>
      <c r="Q154" s="297">
        <f t="shared" si="53"/>
        <v>10374</v>
      </c>
      <c r="R154" s="297">
        <f t="shared" si="53"/>
        <v>10802</v>
      </c>
      <c r="S154" s="297">
        <f t="shared" si="53"/>
        <v>11248</v>
      </c>
      <c r="T154" s="297">
        <f t="shared" si="53"/>
        <v>11712</v>
      </c>
      <c r="U154" s="297">
        <f t="shared" si="53"/>
        <v>12195</v>
      </c>
      <c r="V154" s="297">
        <f t="shared" si="53"/>
        <v>12698</v>
      </c>
      <c r="W154" s="297">
        <f t="shared" si="53"/>
        <v>13222</v>
      </c>
      <c r="X154" s="297">
        <f t="shared" si="53"/>
        <v>13767</v>
      </c>
      <c r="Y154" s="297">
        <f t="shared" si="53"/>
        <v>14335</v>
      </c>
      <c r="Z154" s="297">
        <f t="shared" si="53"/>
        <v>14927</v>
      </c>
      <c r="AA154" s="297">
        <f t="shared" si="53"/>
        <v>15542</v>
      </c>
      <c r="AB154" s="297">
        <f t="shared" si="53"/>
        <v>16184</v>
      </c>
      <c r="AC154" s="297">
        <f t="shared" si="53"/>
        <v>16851</v>
      </c>
      <c r="AD154" s="297">
        <f t="shared" si="53"/>
        <v>17546</v>
      </c>
      <c r="AE154" s="297">
        <f t="shared" si="53"/>
        <v>18270</v>
      </c>
      <c r="AF154" s="297">
        <f t="shared" si="53"/>
        <v>19024</v>
      </c>
      <c r="AG154" s="297">
        <f t="shared" si="53"/>
        <v>19685</v>
      </c>
      <c r="AH154" s="297">
        <f t="shared" si="53"/>
        <v>0</v>
      </c>
      <c r="AI154" s="297">
        <f t="shared" si="53"/>
        <v>0</v>
      </c>
    </row>
    <row r="155" spans="1:35" x14ac:dyDescent="0.25">
      <c r="A155" s="456"/>
      <c r="B155" s="457"/>
      <c r="C155" s="460"/>
      <c r="D155" s="460"/>
      <c r="E155" s="460"/>
      <c r="F155" s="460"/>
      <c r="G155" s="460"/>
      <c r="H155" s="460"/>
      <c r="I155" s="460"/>
      <c r="J155" s="460"/>
      <c r="K155" s="460"/>
      <c r="L155" s="460"/>
      <c r="M155" s="460"/>
      <c r="N155" s="460"/>
      <c r="O155" s="460"/>
      <c r="P155" s="460"/>
      <c r="Q155" s="460"/>
      <c r="R155" s="460"/>
      <c r="S155" s="460"/>
      <c r="T155" s="460"/>
      <c r="U155" s="460"/>
      <c r="V155" s="460"/>
      <c r="W155" s="460"/>
      <c r="X155" s="460"/>
      <c r="Y155" s="460"/>
      <c r="Z155" s="460"/>
      <c r="AA155" s="460"/>
      <c r="AB155" s="460"/>
      <c r="AC155" s="460"/>
      <c r="AD155" s="460"/>
      <c r="AE155" s="460"/>
      <c r="AF155" s="460"/>
      <c r="AG155" s="460"/>
      <c r="AH155" s="460"/>
      <c r="AI155" s="460"/>
    </row>
    <row r="156" spans="1:35" x14ac:dyDescent="0.25">
      <c r="A156" s="456">
        <v>751</v>
      </c>
      <c r="B156" s="457" t="s">
        <v>1394</v>
      </c>
      <c r="C156" s="460"/>
      <c r="D156" s="460"/>
      <c r="E156" s="460"/>
      <c r="F156" s="460"/>
      <c r="G156" s="460"/>
      <c r="H156" s="460"/>
      <c r="I156" s="460"/>
      <c r="J156" s="460"/>
      <c r="K156" s="460"/>
      <c r="L156" s="460"/>
      <c r="M156" s="460"/>
      <c r="N156" s="460"/>
      <c r="O156" s="460"/>
      <c r="P156" s="460"/>
      <c r="Q156" s="460"/>
      <c r="R156" s="460"/>
      <c r="S156" s="460"/>
      <c r="T156" s="460"/>
      <c r="U156" s="460"/>
      <c r="V156" s="460"/>
      <c r="W156" s="460"/>
      <c r="X156" s="460"/>
      <c r="Y156" s="460"/>
      <c r="Z156" s="460"/>
      <c r="AA156" s="460"/>
      <c r="AB156" s="460"/>
      <c r="AC156" s="460"/>
      <c r="AD156" s="460"/>
      <c r="AE156" s="460"/>
      <c r="AF156" s="460"/>
      <c r="AG156" s="460"/>
      <c r="AH156" s="460"/>
      <c r="AI156" s="460"/>
    </row>
    <row r="157" spans="1:35" x14ac:dyDescent="0.25">
      <c r="A157" s="456">
        <v>5930</v>
      </c>
      <c r="B157" s="459" t="s">
        <v>1375</v>
      </c>
      <c r="C157" s="298">
        <f t="shared" ref="C157:AI157" si="54">ROUND((+C142*0.4),0)</f>
        <v>4266</v>
      </c>
      <c r="D157" s="298">
        <f t="shared" si="54"/>
        <v>3638</v>
      </c>
      <c r="E157" s="298">
        <f t="shared" si="54"/>
        <v>3241</v>
      </c>
      <c r="F157" s="298">
        <f t="shared" si="54"/>
        <v>2836</v>
      </c>
      <c r="G157" s="298">
        <f t="shared" si="54"/>
        <v>2424</v>
      </c>
      <c r="H157" s="298">
        <f t="shared" si="54"/>
        <v>2002</v>
      </c>
      <c r="I157" s="298">
        <f t="shared" si="54"/>
        <v>1572</v>
      </c>
      <c r="J157" s="298">
        <f t="shared" si="54"/>
        <v>1134</v>
      </c>
      <c r="K157" s="298">
        <f t="shared" si="54"/>
        <v>687</v>
      </c>
      <c r="L157" s="298">
        <f t="shared" si="54"/>
        <v>231</v>
      </c>
      <c r="M157" s="298">
        <f t="shared" si="54"/>
        <v>0</v>
      </c>
      <c r="N157" s="298">
        <f t="shared" si="54"/>
        <v>0</v>
      </c>
      <c r="O157" s="298">
        <f t="shared" si="54"/>
        <v>0</v>
      </c>
      <c r="P157" s="298">
        <f t="shared" si="54"/>
        <v>0</v>
      </c>
      <c r="Q157" s="298">
        <f t="shared" si="54"/>
        <v>0</v>
      </c>
      <c r="R157" s="298">
        <f t="shared" si="54"/>
        <v>0</v>
      </c>
      <c r="S157" s="298">
        <f t="shared" si="54"/>
        <v>0</v>
      </c>
      <c r="T157" s="298">
        <f t="shared" si="54"/>
        <v>0</v>
      </c>
      <c r="U157" s="298">
        <f t="shared" si="54"/>
        <v>0</v>
      </c>
      <c r="V157" s="298">
        <f t="shared" si="54"/>
        <v>0</v>
      </c>
      <c r="W157" s="298">
        <f t="shared" si="54"/>
        <v>0</v>
      </c>
      <c r="X157" s="298">
        <f t="shared" si="54"/>
        <v>0</v>
      </c>
      <c r="Y157" s="298">
        <f t="shared" si="54"/>
        <v>0</v>
      </c>
      <c r="Z157" s="298">
        <f t="shared" si="54"/>
        <v>0</v>
      </c>
      <c r="AA157" s="298">
        <f t="shared" si="54"/>
        <v>0</v>
      </c>
      <c r="AB157" s="298">
        <f t="shared" si="54"/>
        <v>0</v>
      </c>
      <c r="AC157" s="298">
        <f t="shared" si="54"/>
        <v>0</v>
      </c>
      <c r="AD157" s="298">
        <f t="shared" si="54"/>
        <v>0</v>
      </c>
      <c r="AE157" s="298">
        <f t="shared" si="54"/>
        <v>0</v>
      </c>
      <c r="AF157" s="298">
        <f t="shared" si="54"/>
        <v>0</v>
      </c>
      <c r="AG157" s="298">
        <f t="shared" si="54"/>
        <v>0</v>
      </c>
      <c r="AH157" s="298">
        <f t="shared" si="54"/>
        <v>0</v>
      </c>
      <c r="AI157" s="298">
        <f t="shared" si="54"/>
        <v>0</v>
      </c>
    </row>
    <row r="158" spans="1:35" x14ac:dyDescent="0.25">
      <c r="A158" s="456" t="s">
        <v>1396</v>
      </c>
      <c r="B158" s="459" t="s">
        <v>1397</v>
      </c>
      <c r="C158" s="298">
        <f t="shared" ref="C158:AI158" si="55">ROUND((+C143*0.4),0)</f>
        <v>302</v>
      </c>
      <c r="D158" s="298">
        <f t="shared" si="55"/>
        <v>273</v>
      </c>
      <c r="E158" s="298">
        <f t="shared" si="55"/>
        <v>243</v>
      </c>
      <c r="F158" s="298">
        <f t="shared" si="55"/>
        <v>213</v>
      </c>
      <c r="G158" s="298">
        <f t="shared" si="55"/>
        <v>182</v>
      </c>
      <c r="H158" s="298">
        <f t="shared" si="55"/>
        <v>150</v>
      </c>
      <c r="I158" s="298">
        <f t="shared" si="55"/>
        <v>118</v>
      </c>
      <c r="J158" s="298">
        <f t="shared" si="55"/>
        <v>85</v>
      </c>
      <c r="K158" s="298">
        <f t="shared" si="55"/>
        <v>52</v>
      </c>
      <c r="L158" s="298">
        <f t="shared" si="55"/>
        <v>178</v>
      </c>
      <c r="M158" s="298">
        <f t="shared" si="55"/>
        <v>0</v>
      </c>
      <c r="N158" s="298">
        <f t="shared" si="55"/>
        <v>0</v>
      </c>
      <c r="O158" s="298">
        <f t="shared" si="55"/>
        <v>0</v>
      </c>
      <c r="P158" s="298">
        <f t="shared" si="55"/>
        <v>0</v>
      </c>
      <c r="Q158" s="298">
        <f t="shared" si="55"/>
        <v>0</v>
      </c>
      <c r="R158" s="298">
        <f t="shared" si="55"/>
        <v>0</v>
      </c>
      <c r="S158" s="298">
        <f t="shared" si="55"/>
        <v>0</v>
      </c>
      <c r="T158" s="298">
        <f t="shared" si="55"/>
        <v>0</v>
      </c>
      <c r="U158" s="298">
        <f t="shared" si="55"/>
        <v>0</v>
      </c>
      <c r="V158" s="298">
        <f t="shared" si="55"/>
        <v>0</v>
      </c>
      <c r="W158" s="298">
        <f t="shared" si="55"/>
        <v>0</v>
      </c>
      <c r="X158" s="298">
        <f t="shared" si="55"/>
        <v>0</v>
      </c>
      <c r="Y158" s="298">
        <f t="shared" si="55"/>
        <v>0</v>
      </c>
      <c r="Z158" s="298">
        <f t="shared" si="55"/>
        <v>0</v>
      </c>
      <c r="AA158" s="298">
        <f t="shared" si="55"/>
        <v>0</v>
      </c>
      <c r="AB158" s="298">
        <f t="shared" si="55"/>
        <v>0</v>
      </c>
      <c r="AC158" s="298">
        <f t="shared" si="55"/>
        <v>0</v>
      </c>
      <c r="AD158" s="298">
        <f t="shared" si="55"/>
        <v>0</v>
      </c>
      <c r="AE158" s="298">
        <f t="shared" si="55"/>
        <v>0</v>
      </c>
      <c r="AF158" s="298">
        <f t="shared" si="55"/>
        <v>0</v>
      </c>
      <c r="AG158" s="298">
        <f t="shared" si="55"/>
        <v>0</v>
      </c>
      <c r="AH158" s="298">
        <f t="shared" si="55"/>
        <v>0</v>
      </c>
      <c r="AI158" s="298">
        <f t="shared" si="55"/>
        <v>0</v>
      </c>
    </row>
    <row r="159" spans="1:35" x14ac:dyDescent="0.25">
      <c r="A159" s="456">
        <v>5931</v>
      </c>
      <c r="B159" s="459" t="s">
        <v>1376</v>
      </c>
      <c r="C159" s="298">
        <f t="shared" ref="C159:AI159" si="56">ROUND((+C144*0.4),0)</f>
        <v>14054</v>
      </c>
      <c r="D159" s="298">
        <f t="shared" si="56"/>
        <v>13468</v>
      </c>
      <c r="E159" s="298">
        <f t="shared" si="56"/>
        <v>12921</v>
      </c>
      <c r="F159" s="298">
        <f t="shared" si="56"/>
        <v>12360</v>
      </c>
      <c r="G159" s="298">
        <f t="shared" si="56"/>
        <v>11785</v>
      </c>
      <c r="H159" s="298">
        <f t="shared" si="56"/>
        <v>11197</v>
      </c>
      <c r="I159" s="298">
        <f t="shared" si="56"/>
        <v>10594</v>
      </c>
      <c r="J159" s="298">
        <f t="shared" si="56"/>
        <v>9976</v>
      </c>
      <c r="K159" s="298">
        <f t="shared" si="56"/>
        <v>9343</v>
      </c>
      <c r="L159" s="298">
        <f t="shared" si="56"/>
        <v>8695</v>
      </c>
      <c r="M159" s="298">
        <f t="shared" si="56"/>
        <v>8031</v>
      </c>
      <c r="N159" s="298">
        <f t="shared" si="56"/>
        <v>7350</v>
      </c>
      <c r="O159" s="298">
        <f t="shared" si="56"/>
        <v>6653</v>
      </c>
      <c r="P159" s="298">
        <f t="shared" si="56"/>
        <v>5939</v>
      </c>
      <c r="Q159" s="298">
        <f t="shared" si="56"/>
        <v>5208</v>
      </c>
      <c r="R159" s="298">
        <f t="shared" si="56"/>
        <v>4458</v>
      </c>
      <c r="S159" s="298">
        <f t="shared" si="56"/>
        <v>3691</v>
      </c>
      <c r="T159" s="298">
        <f t="shared" si="56"/>
        <v>2904</v>
      </c>
      <c r="U159" s="298">
        <f t="shared" si="56"/>
        <v>2099</v>
      </c>
      <c r="V159" s="298">
        <f t="shared" si="56"/>
        <v>1274</v>
      </c>
      <c r="W159" s="298">
        <f t="shared" si="56"/>
        <v>428</v>
      </c>
      <c r="X159" s="298">
        <f t="shared" si="56"/>
        <v>0</v>
      </c>
      <c r="Y159" s="298">
        <f t="shared" si="56"/>
        <v>0</v>
      </c>
      <c r="Z159" s="298">
        <f t="shared" si="56"/>
        <v>0</v>
      </c>
      <c r="AA159" s="298">
        <f t="shared" si="56"/>
        <v>0</v>
      </c>
      <c r="AB159" s="298">
        <f t="shared" si="56"/>
        <v>0</v>
      </c>
      <c r="AC159" s="298">
        <f t="shared" si="56"/>
        <v>0</v>
      </c>
      <c r="AD159" s="298">
        <f t="shared" si="56"/>
        <v>0</v>
      </c>
      <c r="AE159" s="298">
        <f t="shared" si="56"/>
        <v>0</v>
      </c>
      <c r="AF159" s="298">
        <f t="shared" si="56"/>
        <v>0</v>
      </c>
      <c r="AG159" s="298">
        <f t="shared" si="56"/>
        <v>0</v>
      </c>
      <c r="AH159" s="298">
        <f t="shared" si="56"/>
        <v>0</v>
      </c>
      <c r="AI159" s="298">
        <f t="shared" si="56"/>
        <v>0</v>
      </c>
    </row>
    <row r="160" spans="1:35" x14ac:dyDescent="0.25">
      <c r="A160" s="456" t="s">
        <v>1398</v>
      </c>
      <c r="B160" s="459" t="s">
        <v>1399</v>
      </c>
      <c r="C160" s="298">
        <f t="shared" ref="C160:AI160" si="57">ROUND((+C145*0.4),0)</f>
        <v>870</v>
      </c>
      <c r="D160" s="298">
        <f t="shared" si="57"/>
        <v>837</v>
      </c>
      <c r="E160" s="298">
        <f t="shared" si="57"/>
        <v>803</v>
      </c>
      <c r="F160" s="298">
        <f t="shared" si="57"/>
        <v>768</v>
      </c>
      <c r="G160" s="298">
        <f t="shared" si="57"/>
        <v>732</v>
      </c>
      <c r="H160" s="298">
        <f t="shared" si="57"/>
        <v>696</v>
      </c>
      <c r="I160" s="298">
        <f t="shared" si="57"/>
        <v>658</v>
      </c>
      <c r="J160" s="298">
        <f t="shared" si="57"/>
        <v>580</v>
      </c>
      <c r="K160" s="298">
        <f t="shared" si="57"/>
        <v>581</v>
      </c>
      <c r="L160" s="298">
        <f t="shared" si="57"/>
        <v>540</v>
      </c>
      <c r="M160" s="298">
        <f t="shared" si="57"/>
        <v>499</v>
      </c>
      <c r="N160" s="298">
        <f t="shared" si="57"/>
        <v>457</v>
      </c>
      <c r="O160" s="298">
        <f t="shared" si="57"/>
        <v>414</v>
      </c>
      <c r="P160" s="298">
        <f t="shared" si="57"/>
        <v>369</v>
      </c>
      <c r="Q160" s="298">
        <f t="shared" si="57"/>
        <v>324</v>
      </c>
      <c r="R160" s="298">
        <f t="shared" si="57"/>
        <v>277</v>
      </c>
      <c r="S160" s="298">
        <f t="shared" si="57"/>
        <v>230</v>
      </c>
      <c r="T160" s="298">
        <f t="shared" si="57"/>
        <v>181</v>
      </c>
      <c r="U160" s="298">
        <f t="shared" si="57"/>
        <v>131</v>
      </c>
      <c r="V160" s="298">
        <f t="shared" si="57"/>
        <v>79</v>
      </c>
      <c r="W160" s="298">
        <f t="shared" si="57"/>
        <v>27</v>
      </c>
      <c r="X160" s="298">
        <f t="shared" si="57"/>
        <v>0</v>
      </c>
      <c r="Y160" s="298">
        <f t="shared" si="57"/>
        <v>0</v>
      </c>
      <c r="Z160" s="298">
        <f t="shared" si="57"/>
        <v>0</v>
      </c>
      <c r="AA160" s="298">
        <f t="shared" si="57"/>
        <v>0</v>
      </c>
      <c r="AB160" s="298">
        <f t="shared" si="57"/>
        <v>0</v>
      </c>
      <c r="AC160" s="298">
        <f t="shared" si="57"/>
        <v>0</v>
      </c>
      <c r="AD160" s="298">
        <f t="shared" si="57"/>
        <v>0</v>
      </c>
      <c r="AE160" s="298">
        <f t="shared" si="57"/>
        <v>0</v>
      </c>
      <c r="AF160" s="298">
        <f t="shared" si="57"/>
        <v>0</v>
      </c>
      <c r="AG160" s="298">
        <f t="shared" si="57"/>
        <v>0</v>
      </c>
      <c r="AH160" s="298">
        <f t="shared" si="57"/>
        <v>0</v>
      </c>
      <c r="AI160" s="298">
        <f t="shared" si="57"/>
        <v>0</v>
      </c>
    </row>
    <row r="161" spans="1:35" x14ac:dyDescent="0.25">
      <c r="A161" s="456">
        <v>5932</v>
      </c>
      <c r="B161" s="459" t="s">
        <v>1377</v>
      </c>
      <c r="C161" s="298">
        <f t="shared" ref="C161:AI161" si="58">ROUND((+C146*0.4),0)</f>
        <v>15860</v>
      </c>
      <c r="D161" s="298">
        <f t="shared" si="58"/>
        <v>15578</v>
      </c>
      <c r="E161" s="298">
        <f t="shared" si="58"/>
        <v>15283</v>
      </c>
      <c r="F161" s="298">
        <f t="shared" si="58"/>
        <v>14976</v>
      </c>
      <c r="G161" s="298">
        <f t="shared" si="58"/>
        <v>14656</v>
      </c>
      <c r="H161" s="298">
        <f t="shared" si="58"/>
        <v>14321</v>
      </c>
      <c r="I161" s="298">
        <f t="shared" si="58"/>
        <v>13972</v>
      </c>
      <c r="J161" s="298">
        <f t="shared" si="58"/>
        <v>13608</v>
      </c>
      <c r="K161" s="298">
        <f t="shared" si="58"/>
        <v>13227</v>
      </c>
      <c r="L161" s="298">
        <f t="shared" si="58"/>
        <v>12830</v>
      </c>
      <c r="M161" s="298">
        <f t="shared" si="58"/>
        <v>12416</v>
      </c>
      <c r="N161" s="298">
        <f t="shared" si="58"/>
        <v>11983</v>
      </c>
      <c r="O161" s="298">
        <f t="shared" si="58"/>
        <v>11532</v>
      </c>
      <c r="P161" s="298">
        <f t="shared" si="58"/>
        <v>11060</v>
      </c>
      <c r="Q161" s="298">
        <f t="shared" si="58"/>
        <v>10568</v>
      </c>
      <c r="R161" s="298">
        <f t="shared" si="58"/>
        <v>10055</v>
      </c>
      <c r="S161" s="298">
        <f t="shared" si="58"/>
        <v>9519</v>
      </c>
      <c r="T161" s="298">
        <f t="shared" si="58"/>
        <v>8960</v>
      </c>
      <c r="U161" s="298">
        <f t="shared" si="58"/>
        <v>8376</v>
      </c>
      <c r="V161" s="298">
        <f t="shared" si="58"/>
        <v>7767</v>
      </c>
      <c r="W161" s="298">
        <f t="shared" si="58"/>
        <v>7131</v>
      </c>
      <c r="X161" s="298">
        <f t="shared" si="58"/>
        <v>6467</v>
      </c>
      <c r="Y161" s="298">
        <f t="shared" si="58"/>
        <v>5774</v>
      </c>
      <c r="Z161" s="298">
        <f t="shared" si="58"/>
        <v>5051</v>
      </c>
      <c r="AA161" s="298">
        <f t="shared" si="58"/>
        <v>4296</v>
      </c>
      <c r="AB161" s="298">
        <f t="shared" si="58"/>
        <v>3508</v>
      </c>
      <c r="AC161" s="298">
        <f t="shared" si="58"/>
        <v>2686</v>
      </c>
      <c r="AD161" s="298">
        <f t="shared" si="58"/>
        <v>1828</v>
      </c>
      <c r="AE161" s="298">
        <f t="shared" si="58"/>
        <v>932</v>
      </c>
      <c r="AF161" s="298">
        <f t="shared" si="58"/>
        <v>0</v>
      </c>
      <c r="AG161" s="298">
        <f t="shared" si="58"/>
        <v>0</v>
      </c>
      <c r="AH161" s="298">
        <f t="shared" si="58"/>
        <v>0</v>
      </c>
      <c r="AI161" s="298">
        <f t="shared" si="58"/>
        <v>0</v>
      </c>
    </row>
    <row r="162" spans="1:35" ht="13.8" thickBot="1" x14ac:dyDescent="0.3">
      <c r="A162" s="456">
        <v>5933</v>
      </c>
      <c r="B162" s="459" t="s">
        <v>1378</v>
      </c>
      <c r="C162" s="297">
        <f t="shared" ref="C162:AI162" si="59">ROUND((+C147*0.4),0)</f>
        <v>14729</v>
      </c>
      <c r="D162" s="297">
        <f t="shared" si="59"/>
        <v>14486</v>
      </c>
      <c r="E162" s="297">
        <f t="shared" si="59"/>
        <v>14233</v>
      </c>
      <c r="F162" s="297">
        <f t="shared" si="59"/>
        <v>13970</v>
      </c>
      <c r="G162" s="297">
        <f t="shared" si="59"/>
        <v>13695</v>
      </c>
      <c r="H162" s="297">
        <f t="shared" si="59"/>
        <v>13410</v>
      </c>
      <c r="I162" s="297">
        <f t="shared" si="59"/>
        <v>13112</v>
      </c>
      <c r="J162" s="297">
        <f t="shared" si="59"/>
        <v>12802</v>
      </c>
      <c r="K162" s="297">
        <f t="shared" si="59"/>
        <v>12480</v>
      </c>
      <c r="L162" s="297">
        <f t="shared" si="59"/>
        <v>12144</v>
      </c>
      <c r="M162" s="297">
        <f t="shared" si="59"/>
        <v>11795</v>
      </c>
      <c r="N162" s="297">
        <f t="shared" si="59"/>
        <v>11431</v>
      </c>
      <c r="O162" s="297">
        <f t="shared" si="59"/>
        <v>11052</v>
      </c>
      <c r="P162" s="297">
        <f t="shared" si="59"/>
        <v>10657</v>
      </c>
      <c r="Q162" s="297">
        <f t="shared" si="59"/>
        <v>10246</v>
      </c>
      <c r="R162" s="297">
        <f t="shared" si="59"/>
        <v>9818</v>
      </c>
      <c r="S162" s="297">
        <f t="shared" si="59"/>
        <v>9372</v>
      </c>
      <c r="T162" s="297">
        <f t="shared" si="59"/>
        <v>8908</v>
      </c>
      <c r="U162" s="297">
        <f t="shared" si="59"/>
        <v>8425</v>
      </c>
      <c r="V162" s="297">
        <f t="shared" si="59"/>
        <v>7922</v>
      </c>
      <c r="W162" s="297">
        <f t="shared" si="59"/>
        <v>7398</v>
      </c>
      <c r="X162" s="297">
        <f t="shared" si="59"/>
        <v>6853</v>
      </c>
      <c r="Y162" s="297">
        <f t="shared" si="59"/>
        <v>6285</v>
      </c>
      <c r="Z162" s="297">
        <f t="shared" si="59"/>
        <v>5694</v>
      </c>
      <c r="AA162" s="297">
        <f t="shared" si="59"/>
        <v>5078</v>
      </c>
      <c r="AB162" s="297">
        <f t="shared" si="59"/>
        <v>4437</v>
      </c>
      <c r="AC162" s="297">
        <f t="shared" si="59"/>
        <v>3769</v>
      </c>
      <c r="AD162" s="297">
        <f t="shared" si="59"/>
        <v>3074</v>
      </c>
      <c r="AE162" s="297">
        <f t="shared" si="59"/>
        <v>2350</v>
      </c>
      <c r="AF162" s="297">
        <f t="shared" si="59"/>
        <v>1597</v>
      </c>
      <c r="AG162" s="297">
        <f t="shared" si="59"/>
        <v>812</v>
      </c>
      <c r="AH162" s="297">
        <f t="shared" si="59"/>
        <v>0</v>
      </c>
      <c r="AI162" s="297">
        <f t="shared" si="59"/>
        <v>0</v>
      </c>
    </row>
    <row r="163" spans="1:35" x14ac:dyDescent="0.25">
      <c r="A163" s="456"/>
      <c r="B163" s="457"/>
      <c r="C163" s="461"/>
      <c r="D163" s="461"/>
      <c r="E163" s="461"/>
      <c r="F163" s="461"/>
      <c r="G163" s="461"/>
      <c r="H163" s="461"/>
      <c r="I163" s="461"/>
      <c r="J163" s="461"/>
      <c r="K163" s="461"/>
      <c r="L163" s="461"/>
      <c r="M163" s="461"/>
      <c r="N163" s="461"/>
      <c r="O163" s="461"/>
      <c r="P163" s="461"/>
      <c r="Q163" s="461"/>
      <c r="R163" s="461"/>
      <c r="S163" s="461"/>
      <c r="T163" s="461"/>
      <c r="U163" s="461"/>
      <c r="V163" s="461"/>
      <c r="W163" s="461"/>
      <c r="X163" s="461"/>
      <c r="Y163" s="461"/>
      <c r="Z163" s="461"/>
      <c r="AA163" s="461"/>
      <c r="AB163" s="461"/>
      <c r="AC163" s="461"/>
      <c r="AD163" s="461"/>
      <c r="AE163" s="461"/>
      <c r="AF163" s="461"/>
      <c r="AG163" s="461"/>
      <c r="AH163" s="461"/>
      <c r="AI163" s="461"/>
    </row>
    <row r="165" spans="1:35" x14ac:dyDescent="0.25">
      <c r="A165" s="462" t="s">
        <v>1765</v>
      </c>
      <c r="B165" s="445"/>
      <c r="C165" s="446"/>
      <c r="D165" s="446"/>
      <c r="E165" s="446"/>
      <c r="F165" s="446"/>
      <c r="G165" s="446"/>
      <c r="H165" s="446"/>
      <c r="I165" s="446"/>
      <c r="J165" s="446"/>
      <c r="K165" s="446"/>
      <c r="L165" s="446"/>
      <c r="M165" s="446"/>
      <c r="N165" s="446"/>
      <c r="O165" s="446"/>
      <c r="P165" s="446"/>
      <c r="Q165" s="446"/>
      <c r="R165" s="446"/>
      <c r="S165" s="446"/>
      <c r="T165" s="446"/>
      <c r="U165" s="446"/>
      <c r="V165" s="446"/>
      <c r="W165" s="446"/>
      <c r="X165" s="446"/>
      <c r="Y165" s="446"/>
      <c r="Z165" s="446"/>
      <c r="AA165" s="446"/>
      <c r="AB165" s="446"/>
      <c r="AC165" s="446"/>
      <c r="AD165" s="446"/>
      <c r="AE165" s="446"/>
      <c r="AF165" s="446"/>
      <c r="AG165" s="446"/>
      <c r="AH165" s="446"/>
      <c r="AI165" s="19"/>
    </row>
    <row r="166" spans="1:35" x14ac:dyDescent="0.25">
      <c r="A166" s="447">
        <v>710</v>
      </c>
      <c r="B166" s="448" t="s">
        <v>1371</v>
      </c>
      <c r="C166" s="449"/>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49"/>
      <c r="AG166" s="449"/>
      <c r="AH166" s="449"/>
      <c r="AI166" s="14"/>
    </row>
    <row r="167" spans="1:35" x14ac:dyDescent="0.25">
      <c r="A167" s="447">
        <v>5930</v>
      </c>
      <c r="B167" s="450" t="s">
        <v>1375</v>
      </c>
      <c r="C167" s="449">
        <f t="shared" ref="C167:AI167" si="60">+C136-C151</f>
        <v>28869</v>
      </c>
      <c r="D167" s="449">
        <f t="shared" si="60"/>
        <v>29452</v>
      </c>
      <c r="E167" s="449">
        <f t="shared" si="60"/>
        <v>30047</v>
      </c>
      <c r="F167" s="449">
        <f t="shared" si="60"/>
        <v>31141</v>
      </c>
      <c r="G167" s="449">
        <f t="shared" si="60"/>
        <v>31274</v>
      </c>
      <c r="H167" s="449">
        <f t="shared" si="60"/>
        <v>31906</v>
      </c>
      <c r="I167" s="449">
        <f t="shared" si="60"/>
        <v>32550</v>
      </c>
      <c r="J167" s="449">
        <f t="shared" si="60"/>
        <v>33208</v>
      </c>
      <c r="K167" s="449">
        <f t="shared" si="60"/>
        <v>33878</v>
      </c>
      <c r="L167" s="449">
        <f t="shared" si="60"/>
        <v>34563</v>
      </c>
      <c r="M167" s="449">
        <f t="shared" si="60"/>
        <v>0</v>
      </c>
      <c r="N167" s="449">
        <f t="shared" si="60"/>
        <v>0</v>
      </c>
      <c r="O167" s="449">
        <f t="shared" si="60"/>
        <v>0</v>
      </c>
      <c r="P167" s="449">
        <f t="shared" si="60"/>
        <v>0</v>
      </c>
      <c r="Q167" s="449">
        <f t="shared" si="60"/>
        <v>0</v>
      </c>
      <c r="R167" s="449">
        <f t="shared" si="60"/>
        <v>0</v>
      </c>
      <c r="S167" s="449">
        <f t="shared" si="60"/>
        <v>0</v>
      </c>
      <c r="T167" s="449">
        <f t="shared" si="60"/>
        <v>0</v>
      </c>
      <c r="U167" s="449">
        <f t="shared" si="60"/>
        <v>0</v>
      </c>
      <c r="V167" s="449">
        <f t="shared" si="60"/>
        <v>0</v>
      </c>
      <c r="W167" s="449">
        <f t="shared" si="60"/>
        <v>0</v>
      </c>
      <c r="X167" s="449">
        <f t="shared" si="60"/>
        <v>0</v>
      </c>
      <c r="Y167" s="449">
        <f t="shared" si="60"/>
        <v>0</v>
      </c>
      <c r="Z167" s="449">
        <f t="shared" si="60"/>
        <v>0</v>
      </c>
      <c r="AA167" s="449">
        <f t="shared" si="60"/>
        <v>0</v>
      </c>
      <c r="AB167" s="449">
        <f t="shared" si="60"/>
        <v>0</v>
      </c>
      <c r="AC167" s="449">
        <f t="shared" si="60"/>
        <v>0</v>
      </c>
      <c r="AD167" s="449">
        <f t="shared" si="60"/>
        <v>0</v>
      </c>
      <c r="AE167" s="449">
        <f t="shared" si="60"/>
        <v>0</v>
      </c>
      <c r="AF167" s="449">
        <f t="shared" si="60"/>
        <v>0</v>
      </c>
      <c r="AG167" s="449">
        <f t="shared" si="60"/>
        <v>0</v>
      </c>
      <c r="AH167" s="449">
        <f t="shared" si="60"/>
        <v>0</v>
      </c>
      <c r="AI167" s="14">
        <f t="shared" si="60"/>
        <v>0</v>
      </c>
    </row>
    <row r="168" spans="1:35" x14ac:dyDescent="0.25">
      <c r="A168" s="447">
        <v>5931</v>
      </c>
      <c r="B168" s="451" t="s">
        <v>1376</v>
      </c>
      <c r="C168" s="449">
        <f t="shared" ref="C168:AI168" si="61">+C137-C152</f>
        <v>32807</v>
      </c>
      <c r="D168" s="449">
        <f t="shared" si="61"/>
        <v>33610</v>
      </c>
      <c r="E168" s="449">
        <f t="shared" si="61"/>
        <v>34430</v>
      </c>
      <c r="F168" s="449">
        <f t="shared" si="61"/>
        <v>35272</v>
      </c>
      <c r="G168" s="449">
        <f t="shared" si="61"/>
        <v>36134</v>
      </c>
      <c r="H168" s="449">
        <f t="shared" si="61"/>
        <v>37016</v>
      </c>
      <c r="I168" s="449">
        <f t="shared" si="61"/>
        <v>37921</v>
      </c>
      <c r="J168" s="449">
        <f t="shared" si="61"/>
        <v>38848</v>
      </c>
      <c r="K168" s="449">
        <f t="shared" si="61"/>
        <v>39797</v>
      </c>
      <c r="L168" s="449">
        <f t="shared" si="61"/>
        <v>40769</v>
      </c>
      <c r="M168" s="449">
        <f t="shared" si="61"/>
        <v>41765</v>
      </c>
      <c r="N168" s="449">
        <f t="shared" si="61"/>
        <v>42786</v>
      </c>
      <c r="O168" s="449">
        <f t="shared" si="61"/>
        <v>43832</v>
      </c>
      <c r="P168" s="449">
        <f t="shared" si="61"/>
        <v>44903</v>
      </c>
      <c r="Q168" s="449">
        <f t="shared" si="61"/>
        <v>46000</v>
      </c>
      <c r="R168" s="449">
        <f t="shared" si="61"/>
        <v>47124</v>
      </c>
      <c r="S168" s="449">
        <f t="shared" si="61"/>
        <v>48275</v>
      </c>
      <c r="T168" s="449">
        <f t="shared" si="61"/>
        <v>49455</v>
      </c>
      <c r="U168" s="449">
        <f t="shared" si="61"/>
        <v>50663</v>
      </c>
      <c r="V168" s="449">
        <f t="shared" si="61"/>
        <v>51901</v>
      </c>
      <c r="W168" s="449">
        <f t="shared" si="61"/>
        <v>53170</v>
      </c>
      <c r="X168" s="449">
        <f t="shared" si="61"/>
        <v>0</v>
      </c>
      <c r="Y168" s="449">
        <f t="shared" si="61"/>
        <v>0</v>
      </c>
      <c r="Z168" s="449">
        <f t="shared" si="61"/>
        <v>0</v>
      </c>
      <c r="AA168" s="449">
        <f t="shared" si="61"/>
        <v>0</v>
      </c>
      <c r="AB168" s="449">
        <f t="shared" si="61"/>
        <v>0</v>
      </c>
      <c r="AC168" s="449">
        <f t="shared" si="61"/>
        <v>0</v>
      </c>
      <c r="AD168" s="449">
        <f t="shared" si="61"/>
        <v>0</v>
      </c>
      <c r="AE168" s="449">
        <f t="shared" si="61"/>
        <v>0</v>
      </c>
      <c r="AF168" s="449">
        <f t="shared" si="61"/>
        <v>0</v>
      </c>
      <c r="AG168" s="449">
        <f t="shared" si="61"/>
        <v>0</v>
      </c>
      <c r="AH168" s="449">
        <f t="shared" si="61"/>
        <v>0</v>
      </c>
      <c r="AI168" s="14">
        <f t="shared" si="61"/>
        <v>0</v>
      </c>
    </row>
    <row r="169" spans="1:35" x14ac:dyDescent="0.25">
      <c r="A169" s="447">
        <v>5932</v>
      </c>
      <c r="B169" s="451" t="s">
        <v>1377</v>
      </c>
      <c r="C169" s="449">
        <f t="shared" ref="C169:AI169" si="62">+C138-C153</f>
        <v>9665</v>
      </c>
      <c r="D169" s="449">
        <f t="shared" si="62"/>
        <v>10088</v>
      </c>
      <c r="E169" s="449">
        <f t="shared" si="62"/>
        <v>10530</v>
      </c>
      <c r="F169" s="449">
        <f t="shared" si="62"/>
        <v>10990</v>
      </c>
      <c r="G169" s="449">
        <f t="shared" si="62"/>
        <v>11471</v>
      </c>
      <c r="H169" s="449">
        <f t="shared" si="62"/>
        <v>11973</v>
      </c>
      <c r="I169" s="449">
        <f t="shared" si="62"/>
        <v>12497</v>
      </c>
      <c r="J169" s="449">
        <f t="shared" si="62"/>
        <v>13043</v>
      </c>
      <c r="K169" s="449">
        <f t="shared" si="62"/>
        <v>13614</v>
      </c>
      <c r="L169" s="449">
        <f t="shared" si="62"/>
        <v>14210</v>
      </c>
      <c r="M169" s="449">
        <f t="shared" si="62"/>
        <v>14831</v>
      </c>
      <c r="N169" s="449">
        <f t="shared" si="62"/>
        <v>15481</v>
      </c>
      <c r="O169" s="449">
        <f t="shared" si="62"/>
        <v>16157</v>
      </c>
      <c r="P169" s="449">
        <f t="shared" si="62"/>
        <v>16864</v>
      </c>
      <c r="Q169" s="449">
        <f t="shared" si="62"/>
        <v>17602</v>
      </c>
      <c r="R169" s="449">
        <f t="shared" si="62"/>
        <v>18373</v>
      </c>
      <c r="S169" s="449">
        <f t="shared" si="62"/>
        <v>19176</v>
      </c>
      <c r="T169" s="449">
        <f t="shared" si="62"/>
        <v>20015</v>
      </c>
      <c r="U169" s="449">
        <f t="shared" si="62"/>
        <v>20891</v>
      </c>
      <c r="V169" s="449">
        <f t="shared" si="62"/>
        <v>21805</v>
      </c>
      <c r="W169" s="449">
        <f t="shared" si="62"/>
        <v>22759</v>
      </c>
      <c r="X169" s="449">
        <f t="shared" si="62"/>
        <v>23755</v>
      </c>
      <c r="Y169" s="449">
        <f t="shared" si="62"/>
        <v>24794</v>
      </c>
      <c r="Z169" s="449">
        <f t="shared" si="62"/>
        <v>25878</v>
      </c>
      <c r="AA169" s="449">
        <f t="shared" si="62"/>
        <v>27010</v>
      </c>
      <c r="AB169" s="449">
        <f t="shared" si="62"/>
        <v>28192</v>
      </c>
      <c r="AC169" s="449">
        <f t="shared" si="62"/>
        <v>29426</v>
      </c>
      <c r="AD169" s="449">
        <f t="shared" si="62"/>
        <v>30713</v>
      </c>
      <c r="AE169" s="449">
        <f t="shared" si="62"/>
        <v>31953</v>
      </c>
      <c r="AF169" s="449">
        <f t="shared" si="62"/>
        <v>0</v>
      </c>
      <c r="AG169" s="449">
        <f t="shared" si="62"/>
        <v>0</v>
      </c>
      <c r="AH169" s="449">
        <f t="shared" si="62"/>
        <v>0</v>
      </c>
      <c r="AI169" s="14">
        <f t="shared" si="62"/>
        <v>0</v>
      </c>
    </row>
    <row r="170" spans="1:35" ht="13.8" thickBot="1" x14ac:dyDescent="0.3">
      <c r="A170" s="447">
        <v>5933</v>
      </c>
      <c r="B170" s="451" t="s">
        <v>1378</v>
      </c>
      <c r="C170" s="452">
        <f t="shared" ref="C170:AI170" si="63">+C139-C154</f>
        <v>8837</v>
      </c>
      <c r="D170" s="452">
        <f t="shared" si="63"/>
        <v>9202</v>
      </c>
      <c r="E170" s="452">
        <f t="shared" si="63"/>
        <v>9581</v>
      </c>
      <c r="F170" s="452">
        <f t="shared" si="63"/>
        <v>9976</v>
      </c>
      <c r="G170" s="452">
        <f t="shared" si="63"/>
        <v>10388</v>
      </c>
      <c r="H170" s="452">
        <f t="shared" si="63"/>
        <v>10816</v>
      </c>
      <c r="I170" s="452">
        <f t="shared" si="63"/>
        <v>11262</v>
      </c>
      <c r="J170" s="452">
        <f t="shared" si="63"/>
        <v>11727</v>
      </c>
      <c r="K170" s="452">
        <f t="shared" si="63"/>
        <v>12211</v>
      </c>
      <c r="L170" s="452">
        <f t="shared" si="63"/>
        <v>12714</v>
      </c>
      <c r="M170" s="452">
        <f t="shared" si="63"/>
        <v>13238</v>
      </c>
      <c r="N170" s="452">
        <f t="shared" si="63"/>
        <v>13784</v>
      </c>
      <c r="O170" s="452">
        <f t="shared" si="63"/>
        <v>14353</v>
      </c>
      <c r="P170" s="452">
        <f t="shared" si="63"/>
        <v>14945</v>
      </c>
      <c r="Q170" s="452">
        <f t="shared" si="63"/>
        <v>15562</v>
      </c>
      <c r="R170" s="452">
        <f t="shared" si="63"/>
        <v>16204</v>
      </c>
      <c r="S170" s="452">
        <f t="shared" si="63"/>
        <v>16872</v>
      </c>
      <c r="T170" s="452">
        <f t="shared" si="63"/>
        <v>17568</v>
      </c>
      <c r="U170" s="452">
        <f t="shared" si="63"/>
        <v>18293</v>
      </c>
      <c r="V170" s="452">
        <f t="shared" si="63"/>
        <v>19048</v>
      </c>
      <c r="W170" s="452">
        <f t="shared" si="63"/>
        <v>19833</v>
      </c>
      <c r="X170" s="452">
        <f t="shared" si="63"/>
        <v>20651</v>
      </c>
      <c r="Y170" s="452">
        <f t="shared" si="63"/>
        <v>21503</v>
      </c>
      <c r="Z170" s="452">
        <f t="shared" si="63"/>
        <v>22390</v>
      </c>
      <c r="AA170" s="452">
        <f t="shared" si="63"/>
        <v>23314</v>
      </c>
      <c r="AB170" s="452">
        <f t="shared" si="63"/>
        <v>24275</v>
      </c>
      <c r="AC170" s="452">
        <f t="shared" si="63"/>
        <v>25277</v>
      </c>
      <c r="AD170" s="452">
        <f t="shared" si="63"/>
        <v>26319</v>
      </c>
      <c r="AE170" s="452">
        <f t="shared" si="63"/>
        <v>27405</v>
      </c>
      <c r="AF170" s="452">
        <f t="shared" si="63"/>
        <v>28535</v>
      </c>
      <c r="AG170" s="452">
        <f t="shared" si="63"/>
        <v>29528</v>
      </c>
      <c r="AH170" s="452">
        <f t="shared" si="63"/>
        <v>0</v>
      </c>
      <c r="AI170" s="16">
        <f t="shared" si="63"/>
        <v>0</v>
      </c>
    </row>
    <row r="171" spans="1:35" x14ac:dyDescent="0.25">
      <c r="A171" s="447"/>
      <c r="B171" s="448"/>
      <c r="C171" s="453"/>
      <c r="D171" s="453"/>
      <c r="E171" s="453"/>
      <c r="F171" s="453"/>
      <c r="G171" s="453"/>
      <c r="H171" s="453"/>
      <c r="I171" s="453"/>
      <c r="J171" s="453"/>
      <c r="K171" s="453"/>
      <c r="L171" s="453"/>
      <c r="M171" s="453"/>
      <c r="N171" s="453"/>
      <c r="O171" s="453"/>
      <c r="P171" s="453"/>
      <c r="Q171" s="453"/>
      <c r="R171" s="453"/>
      <c r="S171" s="453"/>
      <c r="T171" s="453"/>
      <c r="U171" s="453"/>
      <c r="V171" s="453"/>
      <c r="W171" s="453"/>
      <c r="X171" s="453"/>
      <c r="Y171" s="453"/>
      <c r="Z171" s="453"/>
      <c r="AA171" s="453"/>
      <c r="AB171" s="453"/>
      <c r="AC171" s="453"/>
      <c r="AD171" s="453"/>
      <c r="AE171" s="453"/>
      <c r="AF171" s="453"/>
      <c r="AG171" s="453"/>
      <c r="AH171" s="453"/>
      <c r="AI171" s="151"/>
    </row>
    <row r="172" spans="1:35" x14ac:dyDescent="0.25">
      <c r="A172" s="447">
        <v>751</v>
      </c>
      <c r="B172" s="448" t="s">
        <v>1394</v>
      </c>
      <c r="C172" s="453"/>
      <c r="D172" s="453"/>
      <c r="E172" s="453"/>
      <c r="F172" s="453"/>
      <c r="G172" s="453"/>
      <c r="H172" s="453"/>
      <c r="I172" s="453"/>
      <c r="J172" s="453"/>
      <c r="K172" s="453"/>
      <c r="L172" s="453"/>
      <c r="M172" s="453"/>
      <c r="N172" s="453"/>
      <c r="O172" s="453"/>
      <c r="P172" s="453"/>
      <c r="Q172" s="453"/>
      <c r="R172" s="453"/>
      <c r="S172" s="453"/>
      <c r="T172" s="453"/>
      <c r="U172" s="453"/>
      <c r="V172" s="453"/>
      <c r="W172" s="453"/>
      <c r="X172" s="453"/>
      <c r="Y172" s="453"/>
      <c r="Z172" s="453"/>
      <c r="AA172" s="453"/>
      <c r="AB172" s="453"/>
      <c r="AC172" s="453"/>
      <c r="AD172" s="453"/>
      <c r="AE172" s="453"/>
      <c r="AF172" s="453"/>
      <c r="AG172" s="453"/>
      <c r="AH172" s="453"/>
      <c r="AI172" s="151"/>
    </row>
    <row r="173" spans="1:35" x14ac:dyDescent="0.25">
      <c r="A173" s="447">
        <v>5930</v>
      </c>
      <c r="B173" s="451" t="s">
        <v>1375</v>
      </c>
      <c r="C173" s="449">
        <f t="shared" ref="C173:AI173" si="64">+C142-C157</f>
        <v>6400</v>
      </c>
      <c r="D173" s="449">
        <f t="shared" si="64"/>
        <v>5456</v>
      </c>
      <c r="E173" s="449">
        <f t="shared" si="64"/>
        <v>4861</v>
      </c>
      <c r="F173" s="449">
        <f t="shared" si="64"/>
        <v>4255</v>
      </c>
      <c r="G173" s="449">
        <f t="shared" si="64"/>
        <v>3635</v>
      </c>
      <c r="H173" s="449">
        <f t="shared" si="64"/>
        <v>3004</v>
      </c>
      <c r="I173" s="449">
        <f t="shared" si="64"/>
        <v>2359</v>
      </c>
      <c r="J173" s="449">
        <f t="shared" si="64"/>
        <v>1701</v>
      </c>
      <c r="K173" s="449">
        <f t="shared" si="64"/>
        <v>1030</v>
      </c>
      <c r="L173" s="449">
        <f t="shared" si="64"/>
        <v>346</v>
      </c>
      <c r="M173" s="449">
        <f t="shared" si="64"/>
        <v>0</v>
      </c>
      <c r="N173" s="449">
        <f t="shared" si="64"/>
        <v>0</v>
      </c>
      <c r="O173" s="449">
        <f t="shared" si="64"/>
        <v>0</v>
      </c>
      <c r="P173" s="449">
        <f t="shared" si="64"/>
        <v>0</v>
      </c>
      <c r="Q173" s="449">
        <f t="shared" si="64"/>
        <v>0</v>
      </c>
      <c r="R173" s="449">
        <f t="shared" si="64"/>
        <v>0</v>
      </c>
      <c r="S173" s="449">
        <f t="shared" si="64"/>
        <v>0</v>
      </c>
      <c r="T173" s="449">
        <f t="shared" si="64"/>
        <v>0</v>
      </c>
      <c r="U173" s="449">
        <f t="shared" si="64"/>
        <v>0</v>
      </c>
      <c r="V173" s="449">
        <f t="shared" si="64"/>
        <v>0</v>
      </c>
      <c r="W173" s="449">
        <f t="shared" si="64"/>
        <v>0</v>
      </c>
      <c r="X173" s="449">
        <f t="shared" si="64"/>
        <v>0</v>
      </c>
      <c r="Y173" s="449">
        <f t="shared" si="64"/>
        <v>0</v>
      </c>
      <c r="Z173" s="449">
        <f t="shared" si="64"/>
        <v>0</v>
      </c>
      <c r="AA173" s="449">
        <f t="shared" si="64"/>
        <v>0</v>
      </c>
      <c r="AB173" s="449">
        <f t="shared" si="64"/>
        <v>0</v>
      </c>
      <c r="AC173" s="449">
        <f t="shared" si="64"/>
        <v>0</v>
      </c>
      <c r="AD173" s="449">
        <f t="shared" si="64"/>
        <v>0</v>
      </c>
      <c r="AE173" s="449">
        <f t="shared" si="64"/>
        <v>0</v>
      </c>
      <c r="AF173" s="449">
        <f t="shared" si="64"/>
        <v>0</v>
      </c>
      <c r="AG173" s="449">
        <f t="shared" si="64"/>
        <v>0</v>
      </c>
      <c r="AH173" s="449">
        <f t="shared" si="64"/>
        <v>0</v>
      </c>
      <c r="AI173" s="14">
        <f t="shared" si="64"/>
        <v>0</v>
      </c>
    </row>
    <row r="174" spans="1:35" x14ac:dyDescent="0.25">
      <c r="A174" s="447" t="s">
        <v>1396</v>
      </c>
      <c r="B174" s="451" t="s">
        <v>1397</v>
      </c>
      <c r="C174" s="449">
        <f t="shared" ref="C174:AI174" si="65">+C143-C158</f>
        <v>453</v>
      </c>
      <c r="D174" s="449">
        <f t="shared" si="65"/>
        <v>410</v>
      </c>
      <c r="E174" s="449">
        <f t="shared" si="65"/>
        <v>365</v>
      </c>
      <c r="F174" s="449">
        <f t="shared" si="65"/>
        <v>319</v>
      </c>
      <c r="G174" s="449">
        <f t="shared" si="65"/>
        <v>273</v>
      </c>
      <c r="H174" s="449">
        <f t="shared" si="65"/>
        <v>226</v>
      </c>
      <c r="I174" s="449">
        <f t="shared" si="65"/>
        <v>177</v>
      </c>
      <c r="J174" s="449">
        <f t="shared" si="65"/>
        <v>128</v>
      </c>
      <c r="K174" s="449">
        <f t="shared" si="65"/>
        <v>77</v>
      </c>
      <c r="L174" s="449">
        <f t="shared" si="65"/>
        <v>266</v>
      </c>
      <c r="M174" s="449">
        <f t="shared" si="65"/>
        <v>0</v>
      </c>
      <c r="N174" s="449">
        <f t="shared" si="65"/>
        <v>0</v>
      </c>
      <c r="O174" s="449">
        <f t="shared" si="65"/>
        <v>0</v>
      </c>
      <c r="P174" s="449">
        <f t="shared" si="65"/>
        <v>0</v>
      </c>
      <c r="Q174" s="449">
        <f t="shared" si="65"/>
        <v>0</v>
      </c>
      <c r="R174" s="449">
        <f t="shared" si="65"/>
        <v>0</v>
      </c>
      <c r="S174" s="449">
        <f t="shared" si="65"/>
        <v>0</v>
      </c>
      <c r="T174" s="449">
        <f t="shared" si="65"/>
        <v>0</v>
      </c>
      <c r="U174" s="449">
        <f t="shared" si="65"/>
        <v>0</v>
      </c>
      <c r="V174" s="449">
        <f t="shared" si="65"/>
        <v>0</v>
      </c>
      <c r="W174" s="449">
        <f t="shared" si="65"/>
        <v>0</v>
      </c>
      <c r="X174" s="449">
        <f t="shared" si="65"/>
        <v>0</v>
      </c>
      <c r="Y174" s="449">
        <f t="shared" si="65"/>
        <v>0</v>
      </c>
      <c r="Z174" s="449">
        <f t="shared" si="65"/>
        <v>0</v>
      </c>
      <c r="AA174" s="449">
        <f t="shared" si="65"/>
        <v>0</v>
      </c>
      <c r="AB174" s="449">
        <f t="shared" si="65"/>
        <v>0</v>
      </c>
      <c r="AC174" s="449">
        <f t="shared" si="65"/>
        <v>0</v>
      </c>
      <c r="AD174" s="449">
        <f t="shared" si="65"/>
        <v>0</v>
      </c>
      <c r="AE174" s="449">
        <f t="shared" si="65"/>
        <v>0</v>
      </c>
      <c r="AF174" s="449">
        <f t="shared" si="65"/>
        <v>0</v>
      </c>
      <c r="AG174" s="449">
        <f t="shared" si="65"/>
        <v>0</v>
      </c>
      <c r="AH174" s="449">
        <f t="shared" si="65"/>
        <v>0</v>
      </c>
      <c r="AI174" s="14">
        <f t="shared" si="65"/>
        <v>0</v>
      </c>
    </row>
    <row r="175" spans="1:35" x14ac:dyDescent="0.25">
      <c r="A175" s="447">
        <v>5931</v>
      </c>
      <c r="B175" s="451" t="s">
        <v>1376</v>
      </c>
      <c r="C175" s="449">
        <f t="shared" ref="C175:AI175" si="66">+C144-C159</f>
        <v>21081</v>
      </c>
      <c r="D175" s="449">
        <f t="shared" si="66"/>
        <v>20202</v>
      </c>
      <c r="E175" s="449">
        <f t="shared" si="66"/>
        <v>19381</v>
      </c>
      <c r="F175" s="449">
        <f t="shared" si="66"/>
        <v>18540</v>
      </c>
      <c r="G175" s="449">
        <f t="shared" si="66"/>
        <v>17678</v>
      </c>
      <c r="H175" s="449">
        <f t="shared" si="66"/>
        <v>16795</v>
      </c>
      <c r="I175" s="449">
        <f t="shared" si="66"/>
        <v>15890</v>
      </c>
      <c r="J175" s="449">
        <f t="shared" si="66"/>
        <v>14964</v>
      </c>
      <c r="K175" s="449">
        <f t="shared" si="66"/>
        <v>14015</v>
      </c>
      <c r="L175" s="449">
        <f t="shared" si="66"/>
        <v>13042</v>
      </c>
      <c r="M175" s="449">
        <f t="shared" si="66"/>
        <v>12046</v>
      </c>
      <c r="N175" s="449">
        <f t="shared" si="66"/>
        <v>11026</v>
      </c>
      <c r="O175" s="449">
        <f t="shared" si="66"/>
        <v>9980</v>
      </c>
      <c r="P175" s="449">
        <f t="shared" si="66"/>
        <v>8909</v>
      </c>
      <c r="Q175" s="449">
        <f t="shared" si="66"/>
        <v>7812</v>
      </c>
      <c r="R175" s="449">
        <f t="shared" si="66"/>
        <v>6688</v>
      </c>
      <c r="S175" s="449">
        <f t="shared" si="66"/>
        <v>5536</v>
      </c>
      <c r="T175" s="449">
        <f t="shared" si="66"/>
        <v>4357</v>
      </c>
      <c r="U175" s="449">
        <f t="shared" si="66"/>
        <v>3148</v>
      </c>
      <c r="V175" s="449">
        <f t="shared" si="66"/>
        <v>1910</v>
      </c>
      <c r="W175" s="449">
        <f t="shared" si="66"/>
        <v>642</v>
      </c>
      <c r="X175" s="449">
        <f t="shared" si="66"/>
        <v>0</v>
      </c>
      <c r="Y175" s="449">
        <f t="shared" si="66"/>
        <v>0</v>
      </c>
      <c r="Z175" s="449">
        <f t="shared" si="66"/>
        <v>0</v>
      </c>
      <c r="AA175" s="449">
        <f t="shared" si="66"/>
        <v>0</v>
      </c>
      <c r="AB175" s="449">
        <f t="shared" si="66"/>
        <v>0</v>
      </c>
      <c r="AC175" s="449">
        <f t="shared" si="66"/>
        <v>0</v>
      </c>
      <c r="AD175" s="449">
        <f t="shared" si="66"/>
        <v>0</v>
      </c>
      <c r="AE175" s="449">
        <f t="shared" si="66"/>
        <v>0</v>
      </c>
      <c r="AF175" s="449">
        <f t="shared" si="66"/>
        <v>0</v>
      </c>
      <c r="AG175" s="449">
        <f t="shared" si="66"/>
        <v>0</v>
      </c>
      <c r="AH175" s="449">
        <f t="shared" si="66"/>
        <v>0</v>
      </c>
      <c r="AI175" s="14">
        <f t="shared" si="66"/>
        <v>0</v>
      </c>
    </row>
    <row r="176" spans="1:35" x14ac:dyDescent="0.25">
      <c r="A176" s="447" t="s">
        <v>1398</v>
      </c>
      <c r="B176" s="451" t="s">
        <v>1399</v>
      </c>
      <c r="C176" s="449">
        <f t="shared" ref="C176:AI176" si="67">+C145-C160</f>
        <v>1306</v>
      </c>
      <c r="D176" s="449">
        <f t="shared" si="67"/>
        <v>1256</v>
      </c>
      <c r="E176" s="449">
        <f t="shared" si="67"/>
        <v>1205</v>
      </c>
      <c r="F176" s="449">
        <f t="shared" si="67"/>
        <v>1152</v>
      </c>
      <c r="G176" s="449">
        <f t="shared" si="67"/>
        <v>1099</v>
      </c>
      <c r="H176" s="449">
        <f t="shared" si="67"/>
        <v>1044</v>
      </c>
      <c r="I176" s="449">
        <f t="shared" si="67"/>
        <v>988</v>
      </c>
      <c r="J176" s="449">
        <f t="shared" si="67"/>
        <v>870</v>
      </c>
      <c r="K176" s="449">
        <f t="shared" si="67"/>
        <v>871</v>
      </c>
      <c r="L176" s="449">
        <f t="shared" si="67"/>
        <v>811</v>
      </c>
      <c r="M176" s="449">
        <f t="shared" si="67"/>
        <v>749</v>
      </c>
      <c r="N176" s="449">
        <f t="shared" si="67"/>
        <v>685</v>
      </c>
      <c r="O176" s="449">
        <f t="shared" si="67"/>
        <v>620</v>
      </c>
      <c r="P176" s="449">
        <f t="shared" si="67"/>
        <v>554</v>
      </c>
      <c r="Q176" s="449">
        <f t="shared" si="67"/>
        <v>485</v>
      </c>
      <c r="R176" s="449">
        <f t="shared" si="67"/>
        <v>416</v>
      </c>
      <c r="S176" s="449">
        <f t="shared" si="67"/>
        <v>344</v>
      </c>
      <c r="T176" s="449">
        <f t="shared" si="67"/>
        <v>271</v>
      </c>
      <c r="U176" s="449">
        <f t="shared" si="67"/>
        <v>196</v>
      </c>
      <c r="V176" s="449">
        <f t="shared" si="67"/>
        <v>119</v>
      </c>
      <c r="W176" s="449">
        <f t="shared" si="67"/>
        <v>40</v>
      </c>
      <c r="X176" s="449">
        <f t="shared" si="67"/>
        <v>0</v>
      </c>
      <c r="Y176" s="449">
        <f t="shared" si="67"/>
        <v>0</v>
      </c>
      <c r="Z176" s="449">
        <f t="shared" si="67"/>
        <v>0</v>
      </c>
      <c r="AA176" s="449">
        <f t="shared" si="67"/>
        <v>0</v>
      </c>
      <c r="AB176" s="449">
        <f t="shared" si="67"/>
        <v>0</v>
      </c>
      <c r="AC176" s="449">
        <f t="shared" si="67"/>
        <v>0</v>
      </c>
      <c r="AD176" s="449">
        <f t="shared" si="67"/>
        <v>0</v>
      </c>
      <c r="AE176" s="449">
        <f t="shared" si="67"/>
        <v>0</v>
      </c>
      <c r="AF176" s="449">
        <f t="shared" si="67"/>
        <v>0</v>
      </c>
      <c r="AG176" s="449">
        <f t="shared" si="67"/>
        <v>0</v>
      </c>
      <c r="AH176" s="449">
        <f t="shared" si="67"/>
        <v>0</v>
      </c>
      <c r="AI176" s="14">
        <f t="shared" si="67"/>
        <v>0</v>
      </c>
    </row>
    <row r="177" spans="1:35" x14ac:dyDescent="0.25">
      <c r="A177" s="447">
        <v>5932</v>
      </c>
      <c r="B177" s="451" t="s">
        <v>1377</v>
      </c>
      <c r="C177" s="449">
        <f t="shared" ref="C177:AI177" si="68">+C146-C161</f>
        <v>23789</v>
      </c>
      <c r="D177" s="449">
        <f t="shared" si="68"/>
        <v>23366</v>
      </c>
      <c r="E177" s="449">
        <f t="shared" si="68"/>
        <v>22925</v>
      </c>
      <c r="F177" s="449">
        <f t="shared" si="68"/>
        <v>22465</v>
      </c>
      <c r="G177" s="449">
        <f t="shared" si="68"/>
        <v>21983</v>
      </c>
      <c r="H177" s="449">
        <f t="shared" si="68"/>
        <v>21482</v>
      </c>
      <c r="I177" s="449">
        <f t="shared" si="68"/>
        <v>20958</v>
      </c>
      <c r="J177" s="449">
        <f t="shared" si="68"/>
        <v>20411</v>
      </c>
      <c r="K177" s="449">
        <f t="shared" si="68"/>
        <v>19841</v>
      </c>
      <c r="L177" s="449">
        <f t="shared" si="68"/>
        <v>19245</v>
      </c>
      <c r="M177" s="449">
        <f t="shared" si="68"/>
        <v>18623</v>
      </c>
      <c r="N177" s="449">
        <f t="shared" si="68"/>
        <v>17974</v>
      </c>
      <c r="O177" s="449">
        <f t="shared" si="68"/>
        <v>17297</v>
      </c>
      <c r="P177" s="449">
        <f t="shared" si="68"/>
        <v>16590</v>
      </c>
      <c r="Q177" s="449">
        <f t="shared" si="68"/>
        <v>15853</v>
      </c>
      <c r="R177" s="449">
        <f t="shared" si="68"/>
        <v>15082</v>
      </c>
      <c r="S177" s="449">
        <f t="shared" si="68"/>
        <v>14279</v>
      </c>
      <c r="T177" s="449">
        <f t="shared" si="68"/>
        <v>13439</v>
      </c>
      <c r="U177" s="449">
        <f t="shared" si="68"/>
        <v>12564</v>
      </c>
      <c r="V177" s="449">
        <f t="shared" si="68"/>
        <v>11650</v>
      </c>
      <c r="W177" s="449">
        <f t="shared" si="68"/>
        <v>10696</v>
      </c>
      <c r="X177" s="449">
        <f t="shared" si="68"/>
        <v>9700</v>
      </c>
      <c r="Y177" s="449">
        <f t="shared" si="68"/>
        <v>8661</v>
      </c>
      <c r="Z177" s="449">
        <f t="shared" si="68"/>
        <v>7577</v>
      </c>
      <c r="AA177" s="449">
        <f t="shared" si="68"/>
        <v>6445</v>
      </c>
      <c r="AB177" s="449">
        <f t="shared" si="68"/>
        <v>5263</v>
      </c>
      <c r="AC177" s="449">
        <f t="shared" si="68"/>
        <v>4029</v>
      </c>
      <c r="AD177" s="449">
        <f t="shared" si="68"/>
        <v>2742</v>
      </c>
      <c r="AE177" s="449">
        <f t="shared" si="68"/>
        <v>1398</v>
      </c>
      <c r="AF177" s="449">
        <f t="shared" si="68"/>
        <v>0</v>
      </c>
      <c r="AG177" s="449">
        <f t="shared" si="68"/>
        <v>0</v>
      </c>
      <c r="AH177" s="449">
        <f t="shared" si="68"/>
        <v>0</v>
      </c>
      <c r="AI177" s="14">
        <f t="shared" si="68"/>
        <v>0</v>
      </c>
    </row>
    <row r="178" spans="1:35" ht="13.8" thickBot="1" x14ac:dyDescent="0.3">
      <c r="A178" s="447">
        <v>5933</v>
      </c>
      <c r="B178" s="451" t="s">
        <v>1378</v>
      </c>
      <c r="C178" s="452">
        <f t="shared" ref="C178:AI178" si="69">+C147-C162</f>
        <v>22094</v>
      </c>
      <c r="D178" s="452">
        <f t="shared" si="69"/>
        <v>21729</v>
      </c>
      <c r="E178" s="452">
        <f t="shared" si="69"/>
        <v>21350</v>
      </c>
      <c r="F178" s="452">
        <f t="shared" si="69"/>
        <v>20954</v>
      </c>
      <c r="G178" s="452">
        <f t="shared" si="69"/>
        <v>20543</v>
      </c>
      <c r="H178" s="452">
        <f t="shared" si="69"/>
        <v>20114</v>
      </c>
      <c r="I178" s="452">
        <f t="shared" si="69"/>
        <v>19669</v>
      </c>
      <c r="J178" s="452">
        <f t="shared" si="69"/>
        <v>19204</v>
      </c>
      <c r="K178" s="452">
        <f t="shared" si="69"/>
        <v>18720</v>
      </c>
      <c r="L178" s="452">
        <f t="shared" si="69"/>
        <v>18217</v>
      </c>
      <c r="M178" s="452">
        <f t="shared" si="69"/>
        <v>17692</v>
      </c>
      <c r="N178" s="452">
        <f t="shared" si="69"/>
        <v>17146</v>
      </c>
      <c r="O178" s="452">
        <f t="shared" si="69"/>
        <v>16577</v>
      </c>
      <c r="P178" s="452">
        <f t="shared" si="69"/>
        <v>15985</v>
      </c>
      <c r="Q178" s="452">
        <f t="shared" si="69"/>
        <v>15369</v>
      </c>
      <c r="R178" s="452">
        <f t="shared" si="69"/>
        <v>14727</v>
      </c>
      <c r="S178" s="452">
        <f t="shared" si="69"/>
        <v>14059</v>
      </c>
      <c r="T178" s="452">
        <f t="shared" si="69"/>
        <v>13363</v>
      </c>
      <c r="U178" s="452">
        <f t="shared" si="69"/>
        <v>12638</v>
      </c>
      <c r="V178" s="452">
        <f t="shared" si="69"/>
        <v>11883</v>
      </c>
      <c r="W178" s="452">
        <f t="shared" si="69"/>
        <v>11098</v>
      </c>
      <c r="X178" s="452">
        <f t="shared" si="69"/>
        <v>10280</v>
      </c>
      <c r="Y178" s="452">
        <f t="shared" si="69"/>
        <v>9428</v>
      </c>
      <c r="Z178" s="452">
        <f t="shared" si="69"/>
        <v>8540</v>
      </c>
      <c r="AA178" s="452">
        <f t="shared" si="69"/>
        <v>7617</v>
      </c>
      <c r="AB178" s="452">
        <f t="shared" si="69"/>
        <v>6655</v>
      </c>
      <c r="AC178" s="452">
        <f t="shared" si="69"/>
        <v>5654</v>
      </c>
      <c r="AD178" s="452">
        <f t="shared" si="69"/>
        <v>4612</v>
      </c>
      <c r="AE178" s="452">
        <f t="shared" si="69"/>
        <v>3526</v>
      </c>
      <c r="AF178" s="452">
        <f t="shared" si="69"/>
        <v>2395</v>
      </c>
      <c r="AG178" s="452">
        <f t="shared" si="69"/>
        <v>1218</v>
      </c>
      <c r="AH178" s="452">
        <f t="shared" si="69"/>
        <v>0</v>
      </c>
      <c r="AI178" s="16">
        <f t="shared" si="69"/>
        <v>0</v>
      </c>
    </row>
    <row r="179" spans="1:35" x14ac:dyDescent="0.25">
      <c r="A179" s="447"/>
      <c r="B179" s="448"/>
      <c r="C179" s="446"/>
      <c r="D179" s="446"/>
      <c r="E179" s="446"/>
      <c r="F179" s="446"/>
      <c r="G179" s="446"/>
      <c r="H179" s="446"/>
      <c r="I179" s="446"/>
      <c r="J179" s="446"/>
      <c r="K179" s="446"/>
      <c r="L179" s="446"/>
      <c r="M179" s="446"/>
      <c r="N179" s="446"/>
      <c r="O179" s="446"/>
      <c r="P179" s="446"/>
      <c r="Q179" s="446"/>
      <c r="R179" s="446"/>
      <c r="S179" s="446"/>
      <c r="T179" s="446"/>
      <c r="U179" s="446"/>
      <c r="V179" s="446"/>
      <c r="W179" s="446"/>
      <c r="X179" s="446"/>
      <c r="Y179" s="446"/>
      <c r="Z179" s="446"/>
      <c r="AA179" s="446"/>
      <c r="AB179" s="446"/>
      <c r="AC179" s="446"/>
      <c r="AD179" s="446"/>
      <c r="AE179" s="446"/>
      <c r="AF179" s="446"/>
      <c r="AG179" s="446"/>
      <c r="AH179" s="446"/>
      <c r="AI179" s="19"/>
    </row>
    <row r="180" spans="1:35" x14ac:dyDescent="0.25">
      <c r="A180" s="4"/>
      <c r="B180" s="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row>
    <row r="206" spans="2:35" x14ac:dyDescent="0.25">
      <c r="B206" t="s">
        <v>1739</v>
      </c>
      <c r="C206" s="2" t="e">
        <f>+#REF!</f>
        <v>#REF!</v>
      </c>
      <c r="D206" s="2" t="e">
        <f>+#REF!</f>
        <v>#REF!</v>
      </c>
      <c r="E206" s="2" t="e">
        <f>+#REF!</f>
        <v>#REF!</v>
      </c>
      <c r="F206" s="2" t="e">
        <f>+#REF!</f>
        <v>#REF!</v>
      </c>
      <c r="G206" s="2" t="e">
        <f>+#REF!</f>
        <v>#REF!</v>
      </c>
      <c r="H206" s="2" t="e">
        <f>+#REF!</f>
        <v>#REF!</v>
      </c>
      <c r="I206" s="2" t="e">
        <f>+#REF!</f>
        <v>#REF!</v>
      </c>
      <c r="J206" s="2" t="e">
        <f>+#REF!</f>
        <v>#REF!</v>
      </c>
      <c r="K206" s="2" t="e">
        <f>+#REF!</f>
        <v>#REF!</v>
      </c>
      <c r="L206" s="2" t="e">
        <f>+#REF!</f>
        <v>#REF!</v>
      </c>
      <c r="M206" s="2" t="e">
        <f>+#REF!</f>
        <v>#REF!</v>
      </c>
      <c r="N206" s="2" t="e">
        <f>+#REF!</f>
        <v>#REF!</v>
      </c>
      <c r="O206" s="2" t="e">
        <f>+#REF!</f>
        <v>#REF!</v>
      </c>
      <c r="P206" s="2" t="e">
        <f>+#REF!</f>
        <v>#REF!</v>
      </c>
      <c r="Q206" s="2" t="e">
        <f>+#REF!</f>
        <v>#REF!</v>
      </c>
      <c r="R206" s="2" t="e">
        <f>+#REF!</f>
        <v>#REF!</v>
      </c>
      <c r="S206" s="2" t="e">
        <f>+#REF!</f>
        <v>#REF!</v>
      </c>
      <c r="T206" s="2" t="e">
        <f>+#REF!</f>
        <v>#REF!</v>
      </c>
      <c r="U206" s="2" t="e">
        <f>+#REF!</f>
        <v>#REF!</v>
      </c>
      <c r="V206" s="2" t="e">
        <f>+#REF!</f>
        <v>#REF!</v>
      </c>
      <c r="W206" s="2" t="e">
        <f>+#REF!</f>
        <v>#REF!</v>
      </c>
      <c r="X206" s="2" t="e">
        <f>+#REF!</f>
        <v>#REF!</v>
      </c>
      <c r="Y206" s="2" t="e">
        <f>+#REF!</f>
        <v>#REF!</v>
      </c>
      <c r="Z206" s="2" t="e">
        <f>+#REF!</f>
        <v>#REF!</v>
      </c>
      <c r="AA206" s="2" t="e">
        <f>+#REF!</f>
        <v>#REF!</v>
      </c>
      <c r="AB206" s="2" t="e">
        <f>+#REF!</f>
        <v>#REF!</v>
      </c>
      <c r="AC206" s="2" t="e">
        <f>+#REF!</f>
        <v>#REF!</v>
      </c>
      <c r="AD206" s="2" t="e">
        <f>+#REF!</f>
        <v>#REF!</v>
      </c>
      <c r="AE206" s="2" t="e">
        <f>+#REF!</f>
        <v>#REF!</v>
      </c>
      <c r="AF206" s="2" t="e">
        <f>+#REF!</f>
        <v>#REF!</v>
      </c>
      <c r="AG206" s="2" t="e">
        <f>+#REF!</f>
        <v>#REF!</v>
      </c>
      <c r="AH206" s="2" t="e">
        <f>+#REF!</f>
        <v>#REF!</v>
      </c>
      <c r="AI206" s="2" t="e">
        <f>+#REF!</f>
        <v>#REF!</v>
      </c>
    </row>
    <row r="207" spans="2:35" ht="15" x14ac:dyDescent="0.4">
      <c r="B207" t="s">
        <v>1741</v>
      </c>
      <c r="C207" s="287" t="e">
        <f>+#REF!</f>
        <v>#REF!</v>
      </c>
      <c r="D207" s="287" t="e">
        <f>+#REF!</f>
        <v>#REF!</v>
      </c>
      <c r="E207" s="287" t="e">
        <f>+#REF!</f>
        <v>#REF!</v>
      </c>
      <c r="F207" s="287" t="e">
        <f>+#REF!</f>
        <v>#REF!</v>
      </c>
      <c r="G207" s="287" t="e">
        <f>+#REF!</f>
        <v>#REF!</v>
      </c>
      <c r="H207" s="287" t="e">
        <f>+#REF!</f>
        <v>#REF!</v>
      </c>
      <c r="I207" s="287" t="e">
        <f>+#REF!</f>
        <v>#REF!</v>
      </c>
      <c r="J207" s="287" t="e">
        <f>+#REF!</f>
        <v>#REF!</v>
      </c>
      <c r="K207" s="287" t="e">
        <f>+#REF!</f>
        <v>#REF!</v>
      </c>
      <c r="L207" s="287" t="e">
        <f>+#REF!</f>
        <v>#REF!</v>
      </c>
      <c r="M207" s="287" t="e">
        <f>+#REF!</f>
        <v>#REF!</v>
      </c>
      <c r="N207" s="287" t="e">
        <f>+#REF!</f>
        <v>#REF!</v>
      </c>
      <c r="O207" s="287" t="e">
        <f>+#REF!</f>
        <v>#REF!</v>
      </c>
      <c r="P207" s="287" t="e">
        <f>+#REF!</f>
        <v>#REF!</v>
      </c>
      <c r="Q207" s="287" t="e">
        <f>+#REF!</f>
        <v>#REF!</v>
      </c>
      <c r="R207" s="287" t="e">
        <f>+#REF!</f>
        <v>#REF!</v>
      </c>
      <c r="S207" s="287" t="e">
        <f>+#REF!</f>
        <v>#REF!</v>
      </c>
      <c r="T207" s="287" t="e">
        <f>+#REF!</f>
        <v>#REF!</v>
      </c>
      <c r="U207" s="287" t="e">
        <f>+#REF!</f>
        <v>#REF!</v>
      </c>
      <c r="V207" s="287" t="e">
        <f>+#REF!</f>
        <v>#REF!</v>
      </c>
      <c r="W207" s="287" t="e">
        <f>+#REF!</f>
        <v>#REF!</v>
      </c>
      <c r="X207" s="287" t="e">
        <f>+#REF!</f>
        <v>#REF!</v>
      </c>
      <c r="Y207" s="287" t="e">
        <f>+#REF!</f>
        <v>#REF!</v>
      </c>
      <c r="Z207" s="287" t="e">
        <f>+#REF!</f>
        <v>#REF!</v>
      </c>
      <c r="AA207" s="287" t="e">
        <f>+#REF!</f>
        <v>#REF!</v>
      </c>
      <c r="AB207" s="287" t="e">
        <f>+#REF!</f>
        <v>#REF!</v>
      </c>
      <c r="AC207" s="287" t="e">
        <f>+#REF!</f>
        <v>#REF!</v>
      </c>
      <c r="AD207" s="287" t="e">
        <f>+#REF!</f>
        <v>#REF!</v>
      </c>
      <c r="AE207" s="287" t="e">
        <f>+#REF!</f>
        <v>#REF!</v>
      </c>
      <c r="AF207" s="287" t="e">
        <f>+#REF!</f>
        <v>#REF!</v>
      </c>
      <c r="AG207" s="287" t="e">
        <f>+#REF!</f>
        <v>#REF!</v>
      </c>
      <c r="AH207" s="287" t="e">
        <f>+#REF!</f>
        <v>#REF!</v>
      </c>
      <c r="AI207" s="287" t="e">
        <f>+#REF!</f>
        <v>#REF!</v>
      </c>
    </row>
    <row r="208" spans="2:35" x14ac:dyDescent="0.25">
      <c r="B208" t="s">
        <v>1743</v>
      </c>
      <c r="C208" s="2" t="e">
        <f t="shared" ref="C208:AI208" si="70">SUM(C206:C207)</f>
        <v>#REF!</v>
      </c>
      <c r="D208" s="2" t="e">
        <f t="shared" si="70"/>
        <v>#REF!</v>
      </c>
      <c r="E208" s="2" t="e">
        <f t="shared" si="70"/>
        <v>#REF!</v>
      </c>
      <c r="F208" s="2" t="e">
        <f t="shared" si="70"/>
        <v>#REF!</v>
      </c>
      <c r="G208" s="2" t="e">
        <f t="shared" si="70"/>
        <v>#REF!</v>
      </c>
      <c r="H208" s="2" t="e">
        <f t="shared" si="70"/>
        <v>#REF!</v>
      </c>
      <c r="I208" s="2" t="e">
        <f t="shared" si="70"/>
        <v>#REF!</v>
      </c>
      <c r="J208" s="2" t="e">
        <f t="shared" si="70"/>
        <v>#REF!</v>
      </c>
      <c r="K208" s="2" t="e">
        <f t="shared" si="70"/>
        <v>#REF!</v>
      </c>
      <c r="L208" s="2" t="e">
        <f t="shared" si="70"/>
        <v>#REF!</v>
      </c>
      <c r="M208" s="2" t="e">
        <f t="shared" si="70"/>
        <v>#REF!</v>
      </c>
      <c r="N208" s="2" t="e">
        <f t="shared" si="70"/>
        <v>#REF!</v>
      </c>
      <c r="O208" s="2" t="e">
        <f t="shared" si="70"/>
        <v>#REF!</v>
      </c>
      <c r="P208" s="2" t="e">
        <f t="shared" si="70"/>
        <v>#REF!</v>
      </c>
      <c r="Q208" s="2" t="e">
        <f t="shared" si="70"/>
        <v>#REF!</v>
      </c>
      <c r="R208" s="2" t="e">
        <f t="shared" si="70"/>
        <v>#REF!</v>
      </c>
      <c r="S208" s="2" t="e">
        <f t="shared" si="70"/>
        <v>#REF!</v>
      </c>
      <c r="T208" s="2" t="e">
        <f t="shared" si="70"/>
        <v>#REF!</v>
      </c>
      <c r="U208" s="2" t="e">
        <f t="shared" si="70"/>
        <v>#REF!</v>
      </c>
      <c r="V208" s="2" t="e">
        <f t="shared" si="70"/>
        <v>#REF!</v>
      </c>
      <c r="W208" s="2" t="e">
        <f t="shared" si="70"/>
        <v>#REF!</v>
      </c>
      <c r="X208" s="2" t="e">
        <f t="shared" si="70"/>
        <v>#REF!</v>
      </c>
      <c r="Y208" s="2" t="e">
        <f t="shared" si="70"/>
        <v>#REF!</v>
      </c>
      <c r="Z208" s="2" t="e">
        <f t="shared" si="70"/>
        <v>#REF!</v>
      </c>
      <c r="AA208" s="2" t="e">
        <f t="shared" si="70"/>
        <v>#REF!</v>
      </c>
      <c r="AB208" s="2" t="e">
        <f t="shared" si="70"/>
        <v>#REF!</v>
      </c>
      <c r="AC208" s="2" t="e">
        <f t="shared" si="70"/>
        <v>#REF!</v>
      </c>
      <c r="AD208" s="2" t="e">
        <f t="shared" si="70"/>
        <v>#REF!</v>
      </c>
      <c r="AE208" s="2" t="e">
        <f t="shared" si="70"/>
        <v>#REF!</v>
      </c>
      <c r="AF208" s="2" t="e">
        <f t="shared" si="70"/>
        <v>#REF!</v>
      </c>
      <c r="AG208" s="2" t="e">
        <f t="shared" si="70"/>
        <v>#REF!</v>
      </c>
      <c r="AH208" s="2" t="e">
        <f t="shared" si="70"/>
        <v>#REF!</v>
      </c>
      <c r="AI208" s="2" t="e">
        <f t="shared" si="70"/>
        <v>#REF!</v>
      </c>
    </row>
    <row r="210" spans="2:35" x14ac:dyDescent="0.25">
      <c r="B210" s="202" t="s">
        <v>1744</v>
      </c>
      <c r="C210" s="2" t="e">
        <f>+C208-#REF!</f>
        <v>#REF!</v>
      </c>
      <c r="D210" s="2" t="e">
        <f>+D208-#REF!</f>
        <v>#REF!</v>
      </c>
      <c r="E210" s="2" t="e">
        <f>+E208-#REF!</f>
        <v>#REF!</v>
      </c>
      <c r="F210" s="2" t="e">
        <f>+F208-#REF!</f>
        <v>#REF!</v>
      </c>
      <c r="G210" s="2" t="e">
        <f>+G208-#REF!</f>
        <v>#REF!</v>
      </c>
      <c r="H210" s="2" t="e">
        <f>+H208-#REF!</f>
        <v>#REF!</v>
      </c>
      <c r="I210" s="2" t="e">
        <f>+I208-#REF!</f>
        <v>#REF!</v>
      </c>
      <c r="J210" s="2" t="e">
        <f>+J208-#REF!</f>
        <v>#REF!</v>
      </c>
      <c r="K210" s="2" t="e">
        <f>+K208-#REF!</f>
        <v>#REF!</v>
      </c>
      <c r="L210" s="2" t="e">
        <f>+L208-#REF!</f>
        <v>#REF!</v>
      </c>
      <c r="M210" s="2" t="e">
        <f>+M208-#REF!</f>
        <v>#REF!</v>
      </c>
      <c r="N210" s="2" t="e">
        <f>+N208-#REF!</f>
        <v>#REF!</v>
      </c>
      <c r="O210" s="2" t="e">
        <f>+O208-#REF!</f>
        <v>#REF!</v>
      </c>
      <c r="P210" s="2" t="e">
        <f>+P208-#REF!</f>
        <v>#REF!</v>
      </c>
      <c r="Q210" s="2" t="e">
        <f>+Q208-#REF!</f>
        <v>#REF!</v>
      </c>
      <c r="R210" s="2" t="e">
        <f>+R208-#REF!</f>
        <v>#REF!</v>
      </c>
      <c r="S210" s="2" t="e">
        <f>+S208-#REF!</f>
        <v>#REF!</v>
      </c>
      <c r="T210" s="2" t="e">
        <f>+T208-#REF!</f>
        <v>#REF!</v>
      </c>
      <c r="U210" s="2" t="e">
        <f>+U208-#REF!</f>
        <v>#REF!</v>
      </c>
      <c r="V210" s="2" t="e">
        <f>+V208-#REF!</f>
        <v>#REF!</v>
      </c>
      <c r="W210" s="2" t="e">
        <f>+W208-#REF!</f>
        <v>#REF!</v>
      </c>
      <c r="X210" s="2" t="e">
        <f>+X208-#REF!</f>
        <v>#REF!</v>
      </c>
      <c r="Y210" s="2" t="e">
        <f>+Y208-#REF!</f>
        <v>#REF!</v>
      </c>
      <c r="Z210" s="2" t="e">
        <f>+Z208-#REF!</f>
        <v>#REF!</v>
      </c>
      <c r="AA210" s="2" t="e">
        <f>+AA208-#REF!</f>
        <v>#REF!</v>
      </c>
      <c r="AB210" s="2" t="e">
        <f>+AB208-#REF!</f>
        <v>#REF!</v>
      </c>
      <c r="AC210" s="2" t="e">
        <f>+AC208-#REF!</f>
        <v>#REF!</v>
      </c>
      <c r="AD210" s="2" t="e">
        <f>+AD208-#REF!</f>
        <v>#REF!</v>
      </c>
      <c r="AE210" s="2" t="e">
        <f>+AE208-#REF!</f>
        <v>#REF!</v>
      </c>
      <c r="AF210" s="2" t="e">
        <f>+AF208-#REF!</f>
        <v>#REF!</v>
      </c>
      <c r="AG210" s="2" t="e">
        <f>+AG208-#REF!</f>
        <v>#REF!</v>
      </c>
      <c r="AH210" s="2" t="e">
        <f>+AH208-#REF!</f>
        <v>#REF!</v>
      </c>
      <c r="AI210" s="2" t="e">
        <f>+AI208-#REF!</f>
        <v>#REF!</v>
      </c>
    </row>
  </sheetData>
  <hyperlinks>
    <hyperlink ref="A1" location="'Table of Contents'!A1" display="TOC" xr:uid="{00000000-0004-0000-4500-000000000000}"/>
  </hyperlinks>
  <pageMargins left="0.7" right="0.7" top="0.75" bottom="0.75" header="0.3" footer="0.3"/>
  <pageSetup orientation="portrait" r:id="rId1"/>
  <headerFooter>
    <oddFooter>&amp;L&amp;D &amp;T&amp;C&amp;F&amp;R&amp;A &amp;P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H62"/>
  <sheetViews>
    <sheetView workbookViewId="0">
      <selection activeCell="F13" sqref="F13:F16"/>
    </sheetView>
  </sheetViews>
  <sheetFormatPr defaultRowHeight="13.2" x14ac:dyDescent="0.25"/>
  <cols>
    <col min="1" max="1" width="9.33203125" style="712" customWidth="1"/>
    <col min="2" max="2" width="11.33203125" customWidth="1"/>
    <col min="3" max="3" width="11" customWidth="1"/>
    <col min="5" max="5" width="11.44140625" bestFit="1" customWidth="1"/>
    <col min="6" max="6" width="13.44140625" customWidth="1"/>
  </cols>
  <sheetData>
    <row r="1" spans="1:8" x14ac:dyDescent="0.25">
      <c r="A1" s="712" t="s">
        <v>1766</v>
      </c>
      <c r="B1" s="2"/>
    </row>
    <row r="2" spans="1:8" x14ac:dyDescent="0.25">
      <c r="B2" s="2"/>
      <c r="C2" s="202" t="s">
        <v>2174</v>
      </c>
    </row>
    <row r="3" spans="1:8" x14ac:dyDescent="0.25">
      <c r="A3" s="756"/>
      <c r="B3" s="3"/>
      <c r="C3" s="345"/>
      <c r="D3" s="345"/>
      <c r="E3" s="345"/>
      <c r="F3" s="345">
        <v>0.5</v>
      </c>
    </row>
    <row r="4" spans="1:8" x14ac:dyDescent="0.25">
      <c r="A4" s="756" t="s">
        <v>1767</v>
      </c>
      <c r="B4" s="3" t="s">
        <v>1768</v>
      </c>
      <c r="C4" t="s">
        <v>1769</v>
      </c>
      <c r="H4" s="202"/>
    </row>
    <row r="5" spans="1:8" x14ac:dyDescent="0.25">
      <c r="A5" s="944" t="s">
        <v>1770</v>
      </c>
      <c r="B5" s="346" t="s">
        <v>1771</v>
      </c>
      <c r="C5" s="347"/>
      <c r="D5" s="347"/>
      <c r="E5" s="347"/>
      <c r="F5" s="1099">
        <v>0.5</v>
      </c>
    </row>
    <row r="6" spans="1:8" x14ac:dyDescent="0.25">
      <c r="A6" s="712">
        <v>2019</v>
      </c>
      <c r="B6" s="2">
        <v>155922</v>
      </c>
      <c r="C6" s="161"/>
      <c r="D6" s="2"/>
      <c r="E6" s="2"/>
      <c r="F6" s="1003">
        <f>ROUND(((+B6*0.485)*$F$5),0)</f>
        <v>37811</v>
      </c>
    </row>
    <row r="7" spans="1:8" x14ac:dyDescent="0.25">
      <c r="A7" s="712">
        <v>2020</v>
      </c>
      <c r="B7" s="2">
        <v>158729</v>
      </c>
      <c r="C7" s="159"/>
      <c r="D7" s="2"/>
      <c r="E7" s="2"/>
      <c r="F7" s="1003">
        <f t="shared" ref="F7:F30" si="0">ROUND(((+B7*0.485)*$F$5),0)</f>
        <v>38492</v>
      </c>
    </row>
    <row r="8" spans="1:8" x14ac:dyDescent="0.25">
      <c r="A8" s="712">
        <v>2021</v>
      </c>
      <c r="B8" s="2">
        <v>161586</v>
      </c>
      <c r="C8" s="159"/>
      <c r="D8" s="2"/>
      <c r="E8" s="2"/>
      <c r="F8" s="1003">
        <f t="shared" si="0"/>
        <v>39185</v>
      </c>
    </row>
    <row r="9" spans="1:8" x14ac:dyDescent="0.25">
      <c r="A9" s="712">
        <v>2022</v>
      </c>
      <c r="B9" s="2">
        <v>164494</v>
      </c>
      <c r="C9" s="159"/>
      <c r="D9" s="2"/>
      <c r="E9" s="2"/>
      <c r="F9" s="1003">
        <f t="shared" si="0"/>
        <v>39890</v>
      </c>
    </row>
    <row r="10" spans="1:8" x14ac:dyDescent="0.25">
      <c r="A10" s="712">
        <v>2023</v>
      </c>
      <c r="B10" s="2">
        <v>167455</v>
      </c>
      <c r="C10" s="159"/>
      <c r="D10" s="2"/>
      <c r="E10" s="2"/>
      <c r="F10" s="1003">
        <f t="shared" si="0"/>
        <v>40608</v>
      </c>
    </row>
    <row r="11" spans="1:8" x14ac:dyDescent="0.25">
      <c r="A11" s="712">
        <v>2024</v>
      </c>
      <c r="B11" s="2">
        <v>170469</v>
      </c>
      <c r="C11" s="159"/>
      <c r="D11" s="2"/>
      <c r="E11" s="2"/>
      <c r="F11" s="1003">
        <f t="shared" si="0"/>
        <v>41339</v>
      </c>
    </row>
    <row r="12" spans="1:8" x14ac:dyDescent="0.25">
      <c r="A12" s="1100">
        <v>2025</v>
      </c>
      <c r="B12" s="1003">
        <f>-17000+173538</f>
        <v>156538</v>
      </c>
      <c r="C12" s="1101"/>
      <c r="D12" s="1003"/>
      <c r="E12" s="1003"/>
      <c r="F12" s="1003">
        <f t="shared" si="0"/>
        <v>37960</v>
      </c>
      <c r="G12" s="202" t="s">
        <v>2175</v>
      </c>
    </row>
    <row r="13" spans="1:8" x14ac:dyDescent="0.25">
      <c r="A13" s="712">
        <v>2026</v>
      </c>
      <c r="B13" s="2">
        <f>-17000+176661</f>
        <v>159661</v>
      </c>
      <c r="C13" s="159"/>
      <c r="D13" s="2"/>
      <c r="E13" s="2"/>
      <c r="F13" s="1003">
        <f t="shared" si="0"/>
        <v>38718</v>
      </c>
      <c r="G13" t="s">
        <v>2183</v>
      </c>
    </row>
    <row r="14" spans="1:8" x14ac:dyDescent="0.25">
      <c r="A14" s="712">
        <v>2027</v>
      </c>
      <c r="B14" s="2">
        <f>-17000+179841</f>
        <v>162841</v>
      </c>
      <c r="C14" s="159"/>
      <c r="D14" s="2"/>
      <c r="E14" s="2"/>
      <c r="F14" s="1003">
        <f t="shared" si="0"/>
        <v>39489</v>
      </c>
    </row>
    <row r="15" spans="1:8" x14ac:dyDescent="0.25">
      <c r="A15" s="712">
        <v>2028</v>
      </c>
      <c r="B15" s="2">
        <f>-17000+183079</f>
        <v>166079</v>
      </c>
      <c r="C15" s="159"/>
      <c r="D15" s="2"/>
      <c r="E15" s="2"/>
      <c r="F15" s="1003">
        <f t="shared" si="0"/>
        <v>40274</v>
      </c>
    </row>
    <row r="16" spans="1:8" x14ac:dyDescent="0.25">
      <c r="A16" s="712">
        <v>2029</v>
      </c>
      <c r="B16" s="2">
        <f>-17000+186374</f>
        <v>169374</v>
      </c>
      <c r="C16" s="159"/>
      <c r="D16" s="2"/>
      <c r="E16" s="2"/>
      <c r="F16" s="1003">
        <f t="shared" si="0"/>
        <v>41073</v>
      </c>
    </row>
    <row r="17" spans="1:6" x14ac:dyDescent="0.25">
      <c r="A17" s="712">
        <v>2030</v>
      </c>
      <c r="B17" s="2">
        <v>189729</v>
      </c>
      <c r="C17" s="159"/>
      <c r="D17" s="2"/>
      <c r="E17" s="2"/>
      <c r="F17" s="1003">
        <f t="shared" si="0"/>
        <v>46009</v>
      </c>
    </row>
    <row r="18" spans="1:6" x14ac:dyDescent="0.25">
      <c r="A18" s="712">
        <v>2031</v>
      </c>
      <c r="B18" s="2">
        <v>193144</v>
      </c>
      <c r="C18" s="159"/>
      <c r="D18" s="2"/>
      <c r="E18" s="2"/>
      <c r="F18" s="1003">
        <f t="shared" si="0"/>
        <v>46837</v>
      </c>
    </row>
    <row r="19" spans="1:6" x14ac:dyDescent="0.25">
      <c r="A19" s="712">
        <v>2032</v>
      </c>
      <c r="B19" s="2">
        <v>196620</v>
      </c>
      <c r="C19" s="159"/>
      <c r="D19" s="2"/>
      <c r="E19" s="2"/>
      <c r="F19" s="1003">
        <f t="shared" si="0"/>
        <v>47680</v>
      </c>
    </row>
    <row r="20" spans="1:6" x14ac:dyDescent="0.25">
      <c r="A20" s="712">
        <v>2033</v>
      </c>
      <c r="B20" s="2">
        <v>200160</v>
      </c>
      <c r="C20" s="159"/>
      <c r="D20" s="2"/>
      <c r="E20" s="2"/>
      <c r="F20" s="1003">
        <f t="shared" si="0"/>
        <v>48539</v>
      </c>
    </row>
    <row r="21" spans="1:6" x14ac:dyDescent="0.25">
      <c r="A21" s="712">
        <v>2034</v>
      </c>
      <c r="B21" s="2">
        <v>203762</v>
      </c>
      <c r="C21" s="159"/>
      <c r="D21" s="2"/>
      <c r="E21" s="2"/>
      <c r="F21" s="1003">
        <f t="shared" si="0"/>
        <v>49412</v>
      </c>
    </row>
    <row r="22" spans="1:6" x14ac:dyDescent="0.25">
      <c r="A22" s="712">
        <v>2035</v>
      </c>
      <c r="B22" s="2">
        <v>207430</v>
      </c>
      <c r="C22" s="159"/>
      <c r="D22" s="2"/>
      <c r="E22" s="2"/>
      <c r="F22" s="1003">
        <f t="shared" si="0"/>
        <v>50302</v>
      </c>
    </row>
    <row r="23" spans="1:6" x14ac:dyDescent="0.25">
      <c r="A23" s="712">
        <v>2036</v>
      </c>
      <c r="B23" s="2">
        <v>211164</v>
      </c>
      <c r="C23" s="159"/>
      <c r="D23" s="2"/>
      <c r="E23" s="2"/>
      <c r="F23" s="1003">
        <f t="shared" si="0"/>
        <v>51207</v>
      </c>
    </row>
    <row r="24" spans="1:6" x14ac:dyDescent="0.25">
      <c r="A24" s="712">
        <v>2037</v>
      </c>
      <c r="B24" s="2">
        <v>214965</v>
      </c>
      <c r="C24" s="159"/>
      <c r="D24" s="2"/>
      <c r="E24" s="2"/>
      <c r="F24" s="1003">
        <f t="shared" si="0"/>
        <v>52129</v>
      </c>
    </row>
    <row r="25" spans="1:6" x14ac:dyDescent="0.25">
      <c r="A25" s="712">
        <v>2038</v>
      </c>
      <c r="B25" s="2">
        <v>218834</v>
      </c>
      <c r="C25" s="159"/>
      <c r="D25" s="2"/>
      <c r="E25" s="2"/>
      <c r="F25" s="1003">
        <f t="shared" si="0"/>
        <v>53067</v>
      </c>
    </row>
    <row r="26" spans="1:6" x14ac:dyDescent="0.25">
      <c r="A26" s="712">
        <v>2039</v>
      </c>
      <c r="B26" s="2">
        <v>222773</v>
      </c>
      <c r="C26" s="159"/>
      <c r="D26" s="2"/>
      <c r="E26" s="2"/>
      <c r="F26" s="1003">
        <f t="shared" si="0"/>
        <v>54022</v>
      </c>
    </row>
    <row r="27" spans="1:6" x14ac:dyDescent="0.25">
      <c r="A27" s="712">
        <v>2040</v>
      </c>
      <c r="B27" s="2">
        <v>226783</v>
      </c>
      <c r="C27" s="159"/>
      <c r="D27" s="2"/>
      <c r="E27" s="2"/>
      <c r="F27" s="1003">
        <f t="shared" si="0"/>
        <v>54995</v>
      </c>
    </row>
    <row r="28" spans="1:6" x14ac:dyDescent="0.25">
      <c r="A28" s="712">
        <v>2041</v>
      </c>
      <c r="B28" s="2">
        <v>230865</v>
      </c>
      <c r="C28" s="159"/>
      <c r="D28" s="2"/>
      <c r="E28" s="2"/>
      <c r="F28" s="1003">
        <f t="shared" si="0"/>
        <v>55985</v>
      </c>
    </row>
    <row r="29" spans="1:6" x14ac:dyDescent="0.25">
      <c r="A29" s="712">
        <v>2042</v>
      </c>
      <c r="B29" s="2">
        <v>235021</v>
      </c>
      <c r="C29" s="159"/>
      <c r="D29" s="2"/>
      <c r="E29" s="2"/>
      <c r="F29" s="1003">
        <f t="shared" si="0"/>
        <v>56993</v>
      </c>
    </row>
    <row r="30" spans="1:6" x14ac:dyDescent="0.25">
      <c r="A30" s="712">
        <v>2043</v>
      </c>
      <c r="B30" s="53">
        <v>239251</v>
      </c>
      <c r="C30" s="159"/>
      <c r="D30" s="2"/>
      <c r="E30" s="2"/>
      <c r="F30" s="1003">
        <f t="shared" si="0"/>
        <v>58018</v>
      </c>
    </row>
    <row r="31" spans="1:6" x14ac:dyDescent="0.25">
      <c r="B31" s="2">
        <f>SUM(B6:B30)</f>
        <v>4783649</v>
      </c>
    </row>
    <row r="34" spans="1:5" x14ac:dyDescent="0.25">
      <c r="B34" s="202"/>
    </row>
    <row r="35" spans="1:5" x14ac:dyDescent="0.25">
      <c r="A35" s="744"/>
      <c r="B35" s="2"/>
    </row>
    <row r="36" spans="1:5" x14ac:dyDescent="0.25">
      <c r="A36" s="744"/>
      <c r="B36" s="2"/>
    </row>
    <row r="37" spans="1:5" x14ac:dyDescent="0.25">
      <c r="A37" s="744"/>
      <c r="B37" s="202"/>
      <c r="C37" s="202"/>
      <c r="D37" s="202"/>
    </row>
    <row r="38" spans="1:5" x14ac:dyDescent="0.25">
      <c r="A38" s="744"/>
      <c r="B38" s="2"/>
      <c r="C38" s="2"/>
      <c r="D38" s="123"/>
    </row>
    <row r="39" spans="1:5" x14ac:dyDescent="0.25">
      <c r="A39" s="744"/>
      <c r="B39" s="2"/>
      <c r="C39" s="2"/>
      <c r="D39" s="123"/>
    </row>
    <row r="40" spans="1:5" x14ac:dyDescent="0.25">
      <c r="A40" s="744"/>
      <c r="B40" s="2"/>
      <c r="C40" s="2"/>
      <c r="D40" s="123"/>
    </row>
    <row r="41" spans="1:5" x14ac:dyDescent="0.25">
      <c r="A41" s="744"/>
      <c r="B41" s="2"/>
      <c r="C41" s="2"/>
      <c r="D41" s="123"/>
    </row>
    <row r="42" spans="1:5" x14ac:dyDescent="0.25">
      <c r="A42" s="744"/>
      <c r="B42" s="2"/>
      <c r="C42" s="2"/>
      <c r="D42" s="123"/>
    </row>
    <row r="43" spans="1:5" x14ac:dyDescent="0.25">
      <c r="A43" s="744"/>
      <c r="B43" s="2"/>
      <c r="C43" s="2"/>
      <c r="D43" s="123"/>
    </row>
    <row r="44" spans="1:5" x14ac:dyDescent="0.25">
      <c r="A44" s="744"/>
      <c r="B44" s="2"/>
      <c r="C44" s="2"/>
      <c r="D44" s="123"/>
    </row>
    <row r="47" spans="1:5" x14ac:dyDescent="0.25">
      <c r="A47" s="744"/>
      <c r="E47" s="202"/>
    </row>
    <row r="48" spans="1:5" x14ac:dyDescent="0.25">
      <c r="A48" s="744"/>
      <c r="B48" s="348"/>
    </row>
    <row r="49" spans="1:6" x14ac:dyDescent="0.25">
      <c r="A49" s="744"/>
      <c r="B49" s="348"/>
      <c r="C49" s="348"/>
      <c r="D49" s="123"/>
    </row>
    <row r="50" spans="1:6" x14ac:dyDescent="0.25">
      <c r="A50" s="744"/>
      <c r="B50" s="348"/>
      <c r="C50" s="348"/>
      <c r="D50" s="123"/>
    </row>
    <row r="51" spans="1:6" x14ac:dyDescent="0.25">
      <c r="A51" s="744"/>
      <c r="B51" s="348"/>
      <c r="C51" s="348"/>
      <c r="D51" s="123"/>
    </row>
    <row r="52" spans="1:6" x14ac:dyDescent="0.25">
      <c r="A52" s="744"/>
      <c r="B52" s="348"/>
      <c r="C52" s="348"/>
      <c r="D52" s="123"/>
    </row>
    <row r="53" spans="1:6" x14ac:dyDescent="0.25">
      <c r="A53" s="744"/>
      <c r="B53" s="348"/>
      <c r="C53" s="348"/>
      <c r="D53" s="123"/>
      <c r="E53" s="348"/>
      <c r="F53" s="123"/>
    </row>
    <row r="56" spans="1:6" x14ac:dyDescent="0.25">
      <c r="A56" s="744" t="s">
        <v>1773</v>
      </c>
    </row>
    <row r="57" spans="1:6" x14ac:dyDescent="0.25">
      <c r="A57" s="744" t="s">
        <v>243</v>
      </c>
      <c r="B57" s="348">
        <v>7488710</v>
      </c>
    </row>
    <row r="58" spans="1:6" x14ac:dyDescent="0.25">
      <c r="A58" s="744" t="s">
        <v>244</v>
      </c>
      <c r="B58" s="348">
        <v>7965557</v>
      </c>
      <c r="C58" s="348">
        <f>+B58-B57</f>
        <v>476847</v>
      </c>
      <c r="D58" s="123">
        <f>ROUND((+C58/B57),4)</f>
        <v>6.3700000000000007E-2</v>
      </c>
    </row>
    <row r="59" spans="1:6" x14ac:dyDescent="0.25">
      <c r="A59" s="744" t="s">
        <v>245</v>
      </c>
      <c r="B59" s="348">
        <v>8136058</v>
      </c>
      <c r="C59" s="348">
        <f>+B59-B58</f>
        <v>170501</v>
      </c>
      <c r="D59" s="123">
        <f>ROUND((+C59/B58),4)</f>
        <v>2.1399999999999999E-2</v>
      </c>
    </row>
    <row r="60" spans="1:6" x14ac:dyDescent="0.25">
      <c r="A60" s="744" t="s">
        <v>246</v>
      </c>
      <c r="B60" s="348">
        <v>8373806</v>
      </c>
      <c r="C60" s="348">
        <f>+B60-B59</f>
        <v>237748</v>
      </c>
      <c r="D60" s="123">
        <f>ROUND((+C60/B59),4)</f>
        <v>2.92E-2</v>
      </c>
    </row>
    <row r="61" spans="1:6" x14ac:dyDescent="0.25">
      <c r="A61" s="744" t="s">
        <v>247</v>
      </c>
      <c r="B61" s="348">
        <v>8725506</v>
      </c>
      <c r="C61" s="348">
        <f>+B61-B60</f>
        <v>351700</v>
      </c>
      <c r="D61" s="123">
        <f>ROUND((+C61/B60),4)</f>
        <v>4.2000000000000003E-2</v>
      </c>
    </row>
    <row r="62" spans="1:6" x14ac:dyDescent="0.25">
      <c r="A62" s="744" t="s">
        <v>248</v>
      </c>
      <c r="B62" s="348">
        <v>8993941</v>
      </c>
      <c r="C62" s="348">
        <f>+B62-B61</f>
        <v>268435</v>
      </c>
      <c r="D62" s="123">
        <f>ROUND((+C62/B61),4)</f>
        <v>3.0800000000000001E-2</v>
      </c>
      <c r="E62" s="348">
        <f>+B62-B57</f>
        <v>1505231</v>
      </c>
      <c r="F62" s="123">
        <f>ROUND((+E62/B57),4)</f>
        <v>0.20100000000000001</v>
      </c>
    </row>
  </sheetData>
  <pageMargins left="0.7" right="0.7" top="0.75" bottom="0.75" header="0.3" footer="0.3"/>
  <pageSetup orientation="portrait" r:id="rId1"/>
  <headerFooter>
    <oddFooter>&amp;L&amp;D &amp;T&amp;C&amp;F&amp;R&amp;A&amp;P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000"/>
  </sheetPr>
  <dimension ref="A1:K129"/>
  <sheetViews>
    <sheetView topLeftCell="A38" workbookViewId="0">
      <selection activeCell="B35" sqref="B35"/>
    </sheetView>
  </sheetViews>
  <sheetFormatPr defaultRowHeight="13.2" x14ac:dyDescent="0.25"/>
  <cols>
    <col min="1" max="1" width="3.77734375" style="4" customWidth="1"/>
    <col min="2" max="2" width="34.44140625" style="4" customWidth="1"/>
    <col min="3" max="3" width="6.109375" style="703" customWidth="1"/>
    <col min="4" max="4" width="15.109375" style="4" bestFit="1" customWidth="1"/>
    <col min="5" max="5" width="14.6640625" style="4" customWidth="1"/>
    <col min="6" max="6" width="4.6640625" style="4" customWidth="1"/>
    <col min="7" max="7" width="30.6640625" customWidth="1"/>
    <col min="8" max="8" width="6.33203125" style="712" customWidth="1"/>
    <col min="9" max="9" width="14.33203125" customWidth="1"/>
    <col min="10" max="10" width="13.77734375" customWidth="1"/>
  </cols>
  <sheetData>
    <row r="1" spans="1:9" x14ac:dyDescent="0.25">
      <c r="A1" s="1359" t="s">
        <v>1774</v>
      </c>
      <c r="B1" s="1359"/>
      <c r="C1" s="1359"/>
      <c r="D1" s="1359"/>
      <c r="E1" s="1359"/>
      <c r="F1" s="1359"/>
    </row>
    <row r="3" spans="1:9" ht="13.8" x14ac:dyDescent="0.25">
      <c r="D3" s="187" t="s">
        <v>1345</v>
      </c>
      <c r="G3" s="203"/>
      <c r="H3" s="714"/>
      <c r="I3" s="204"/>
    </row>
    <row r="4" spans="1:9" ht="13.8" x14ac:dyDescent="0.25">
      <c r="B4" s="545" t="s">
        <v>1775</v>
      </c>
      <c r="C4" s="782" t="s">
        <v>1776</v>
      </c>
      <c r="D4" s="546" t="s">
        <v>1777</v>
      </c>
      <c r="G4" s="205"/>
      <c r="H4" s="784"/>
      <c r="I4" s="206"/>
    </row>
    <row r="5" spans="1:9" x14ac:dyDescent="0.25">
      <c r="A5" s="74" t="s">
        <v>1778</v>
      </c>
      <c r="B5" s="74"/>
      <c r="C5" s="783"/>
    </row>
    <row r="6" spans="1:9" x14ac:dyDescent="0.25">
      <c r="B6" s="4" t="s">
        <v>772</v>
      </c>
      <c r="C6" s="783">
        <v>10</v>
      </c>
      <c r="D6" s="148">
        <f>+'122 Selectboard'!R42</f>
        <v>108710</v>
      </c>
    </row>
    <row r="7" spans="1:9" x14ac:dyDescent="0.25">
      <c r="B7" s="4" t="s">
        <v>2152</v>
      </c>
      <c r="C7" s="703">
        <v>3</v>
      </c>
      <c r="D7" s="148">
        <f>+'122 Selectboard'!R43</f>
        <v>103828</v>
      </c>
    </row>
    <row r="8" spans="1:9" x14ac:dyDescent="0.25">
      <c r="B8" s="4" t="s">
        <v>1779</v>
      </c>
      <c r="C8" s="783">
        <v>10</v>
      </c>
      <c r="D8" s="148">
        <f>+'122 Selectboard'!R44</f>
        <v>56262.95</v>
      </c>
    </row>
    <row r="9" spans="1:9" x14ac:dyDescent="0.25">
      <c r="B9" s="4" t="s">
        <v>2153</v>
      </c>
      <c r="C9" s="1088">
        <v>2</v>
      </c>
      <c r="D9" s="148">
        <f>+'122 Selectboard'!R45</f>
        <v>21150.799999999999</v>
      </c>
    </row>
    <row r="11" spans="1:9" x14ac:dyDescent="0.25">
      <c r="A11" s="74" t="s">
        <v>796</v>
      </c>
    </row>
    <row r="12" spans="1:9" x14ac:dyDescent="0.25">
      <c r="B12" s="4" t="s">
        <v>796</v>
      </c>
      <c r="C12" s="783">
        <v>10</v>
      </c>
      <c r="D12" s="148">
        <f>+'135 Acct'!R34</f>
        <v>82394</v>
      </c>
    </row>
    <row r="14" spans="1:9" x14ac:dyDescent="0.25">
      <c r="A14" s="74" t="s">
        <v>1780</v>
      </c>
    </row>
    <row r="15" spans="1:9" x14ac:dyDescent="0.25">
      <c r="B15" s="4" t="s">
        <v>832</v>
      </c>
      <c r="C15" s="783">
        <v>10</v>
      </c>
      <c r="D15" s="148">
        <f>+'141 BOA'!R48</f>
        <v>82394</v>
      </c>
    </row>
    <row r="16" spans="1:9" x14ac:dyDescent="0.25">
      <c r="B16" s="4" t="s">
        <v>833</v>
      </c>
      <c r="C16" s="703">
        <v>6</v>
      </c>
      <c r="D16" s="148">
        <f>+'141 BOA'!R49</f>
        <v>40903.550000000003</v>
      </c>
    </row>
    <row r="18" spans="1:5" x14ac:dyDescent="0.25">
      <c r="A18" s="74" t="s">
        <v>1781</v>
      </c>
    </row>
    <row r="19" spans="1:5" x14ac:dyDescent="0.25">
      <c r="B19" s="4" t="s">
        <v>1781</v>
      </c>
      <c r="C19" s="703">
        <v>10</v>
      </c>
      <c r="D19" s="148">
        <f>+'145 Treas'!R42+'145 Treas'!R43</f>
        <v>82394</v>
      </c>
    </row>
    <row r="20" spans="1:5" x14ac:dyDescent="0.25">
      <c r="B20" s="4" t="s">
        <v>1782</v>
      </c>
      <c r="C20" s="703">
        <v>8</v>
      </c>
      <c r="D20" s="148">
        <f>+'145 Treas'!R45</f>
        <v>49899.77</v>
      </c>
    </row>
    <row r="21" spans="1:5" x14ac:dyDescent="0.25">
      <c r="B21" s="4" t="s">
        <v>1783</v>
      </c>
      <c r="C21" s="783">
        <v>2</v>
      </c>
      <c r="D21" s="148">
        <f>+'145 Treas'!R44</f>
        <v>0</v>
      </c>
    </row>
    <row r="23" spans="1:5" x14ac:dyDescent="0.25">
      <c r="A23" s="74" t="s">
        <v>924</v>
      </c>
    </row>
    <row r="24" spans="1:5" x14ac:dyDescent="0.25">
      <c r="B24" s="4" t="s">
        <v>924</v>
      </c>
      <c r="C24" s="703">
        <v>6</v>
      </c>
      <c r="D24" s="148">
        <f>+'161 Clerk'!R54+'161 Clerk'!R55+'161 Clerk'!R56</f>
        <v>76646</v>
      </c>
      <c r="E24" s="4" t="s">
        <v>1784</v>
      </c>
    </row>
    <row r="25" spans="1:5" x14ac:dyDescent="0.25">
      <c r="B25" s="4" t="s">
        <v>927</v>
      </c>
      <c r="C25" s="703">
        <v>7</v>
      </c>
      <c r="D25" s="148">
        <f>+'161 Clerk'!R58</f>
        <v>48894.09</v>
      </c>
    </row>
    <row r="26" spans="1:5" x14ac:dyDescent="0.25">
      <c r="B26" s="4" t="s">
        <v>1798</v>
      </c>
      <c r="C26" s="1088">
        <v>2</v>
      </c>
      <c r="D26" s="148">
        <f>+'161 Clerk'!R59</f>
        <v>37008.839999999997</v>
      </c>
    </row>
    <row r="28" spans="1:5" x14ac:dyDescent="0.25">
      <c r="A28" s="74" t="s">
        <v>1785</v>
      </c>
    </row>
    <row r="29" spans="1:5" x14ac:dyDescent="0.25">
      <c r="B29" s="4" t="s">
        <v>1786</v>
      </c>
      <c r="C29" s="703">
        <v>10</v>
      </c>
      <c r="D29" s="148">
        <f>+'175 Planning'!R38</f>
        <v>82394</v>
      </c>
    </row>
    <row r="30" spans="1:5" x14ac:dyDescent="0.25">
      <c r="B30" s="4" t="s">
        <v>938</v>
      </c>
      <c r="C30" s="703">
        <v>7</v>
      </c>
      <c r="D30" s="148">
        <f>+'175 Planning'!R39</f>
        <v>48894.09</v>
      </c>
    </row>
    <row r="32" spans="1:5" x14ac:dyDescent="0.25">
      <c r="A32" s="74" t="s">
        <v>1787</v>
      </c>
    </row>
    <row r="33" spans="2:11" x14ac:dyDescent="0.25">
      <c r="B33" s="4" t="s">
        <v>1788</v>
      </c>
      <c r="C33" s="783">
        <v>10</v>
      </c>
      <c r="D33" s="148">
        <f>+'211 Police'!U68+'211 Police'!R68</f>
        <v>132904.79999999999</v>
      </c>
      <c r="E33" s="4" t="s">
        <v>1789</v>
      </c>
    </row>
    <row r="34" spans="2:11" x14ac:dyDescent="0.25">
      <c r="B34" s="4" t="s">
        <v>2163</v>
      </c>
      <c r="C34" s="783">
        <v>10</v>
      </c>
      <c r="D34" s="148">
        <f>+'211 Police'!U69+'211 Police'!R69</f>
        <v>118598.39999999999</v>
      </c>
    </row>
    <row r="35" spans="2:11" x14ac:dyDescent="0.25">
      <c r="B35" s="4" t="s">
        <v>1676</v>
      </c>
      <c r="C35" s="783">
        <v>5</v>
      </c>
      <c r="D35" s="148">
        <f>+'211 Police'!R70+'211 Police'!U70</f>
        <v>105119.375</v>
      </c>
    </row>
    <row r="36" spans="2:11" x14ac:dyDescent="0.25">
      <c r="B36" s="4" t="s">
        <v>1675</v>
      </c>
      <c r="C36" s="783">
        <v>5</v>
      </c>
      <c r="D36" s="148">
        <f>+'211 Police'!U71+'211 Police'!R71</f>
        <v>83293.649999999994</v>
      </c>
    </row>
    <row r="37" spans="2:11" x14ac:dyDescent="0.25">
      <c r="B37" s="4" t="s">
        <v>1675</v>
      </c>
      <c r="C37" s="783">
        <v>5</v>
      </c>
      <c r="D37" s="148">
        <f>+'211 Police'!U72+'211 Police'!R72</f>
        <v>75721.5</v>
      </c>
    </row>
    <row r="38" spans="2:11" x14ac:dyDescent="0.25">
      <c r="B38" s="4" t="s">
        <v>1675</v>
      </c>
      <c r="C38" s="783">
        <v>5</v>
      </c>
      <c r="D38" s="148">
        <f>+'211 Police'!U73+'211 Police'!R73</f>
        <v>83293.649999999994</v>
      </c>
    </row>
    <row r="39" spans="2:11" x14ac:dyDescent="0.25">
      <c r="B39" s="4" t="s">
        <v>1675</v>
      </c>
      <c r="C39" s="703">
        <v>4</v>
      </c>
      <c r="D39" s="148">
        <f>+'211 Police'!R74</f>
        <v>72818.25</v>
      </c>
    </row>
    <row r="40" spans="2:11" x14ac:dyDescent="0.25">
      <c r="B40" s="4" t="s">
        <v>1674</v>
      </c>
      <c r="C40" s="783">
        <v>8</v>
      </c>
      <c r="D40" s="148">
        <f>+'211 Police'!U75+'211 Police'!R75</f>
        <v>78144.824999999997</v>
      </c>
    </row>
    <row r="41" spans="2:11" x14ac:dyDescent="0.25">
      <c r="B41" s="4" t="s">
        <v>1674</v>
      </c>
      <c r="C41" s="703">
        <v>7</v>
      </c>
      <c r="D41" s="148">
        <f>+'211 Police'!U76+'211 Police'!R76</f>
        <v>81930.899999999994</v>
      </c>
      <c r="K41" s="202"/>
    </row>
    <row r="42" spans="2:11" x14ac:dyDescent="0.25">
      <c r="B42" s="4" t="s">
        <v>1790</v>
      </c>
      <c r="C42" s="783">
        <v>8</v>
      </c>
      <c r="D42" s="148">
        <f>+'211 Police'!U77+'211 Police'!R77</f>
        <v>65491</v>
      </c>
      <c r="K42" s="202"/>
    </row>
    <row r="43" spans="2:11" x14ac:dyDescent="0.25">
      <c r="B43" s="4" t="s">
        <v>1790</v>
      </c>
      <c r="C43" s="783">
        <v>8</v>
      </c>
      <c r="D43" s="148">
        <f>+'211 Police'!U78+'211 Police'!R78</f>
        <v>65491</v>
      </c>
    </row>
    <row r="44" spans="2:11" x14ac:dyDescent="0.25">
      <c r="B44" s="4" t="s">
        <v>1791</v>
      </c>
      <c r="C44" s="783">
        <v>8</v>
      </c>
      <c r="D44" s="148">
        <f>+'211 Police'!U79+'211 Police'!R79</f>
        <v>72040.100000000006</v>
      </c>
    </row>
    <row r="45" spans="2:11" x14ac:dyDescent="0.25">
      <c r="B45" s="4" t="s">
        <v>1791</v>
      </c>
      <c r="C45" s="783">
        <v>8</v>
      </c>
      <c r="D45" s="148">
        <f>+'211 Police'!U80+'211 Police'!R80</f>
        <v>72040.100000000006</v>
      </c>
    </row>
    <row r="46" spans="2:11" x14ac:dyDescent="0.25">
      <c r="B46" s="4" t="s">
        <v>1791</v>
      </c>
      <c r="C46" s="783">
        <v>8</v>
      </c>
      <c r="D46" s="148">
        <f>+'211 Police'!U81+'211 Police'!R81</f>
        <v>65491</v>
      </c>
    </row>
    <row r="47" spans="2:11" x14ac:dyDescent="0.25">
      <c r="B47" s="4" t="s">
        <v>1791</v>
      </c>
      <c r="C47" s="783">
        <v>8</v>
      </c>
      <c r="D47" s="148">
        <f>+'211 Police'!U82+'211 Police'!R82</f>
        <v>65491</v>
      </c>
      <c r="E47" s="148"/>
    </row>
    <row r="48" spans="2:11" x14ac:dyDescent="0.25">
      <c r="B48" s="4" t="s">
        <v>1791</v>
      </c>
      <c r="C48" s="703">
        <v>7</v>
      </c>
      <c r="D48" s="148">
        <f>+'211 Police'!U83+'211 Police'!R83</f>
        <v>69281.024999999994</v>
      </c>
      <c r="E48" s="148"/>
    </row>
    <row r="49" spans="1:5" x14ac:dyDescent="0.25">
      <c r="B49" s="4" t="s">
        <v>1791</v>
      </c>
      <c r="C49" s="783">
        <v>8</v>
      </c>
      <c r="D49" s="148">
        <f>+'211 Police'!R85+'211 Police'!U85</f>
        <v>78589.2</v>
      </c>
      <c r="E49" s="148"/>
    </row>
    <row r="50" spans="1:5" x14ac:dyDescent="0.25">
      <c r="B50" s="4" t="s">
        <v>1791</v>
      </c>
      <c r="C50" s="703">
        <v>5</v>
      </c>
      <c r="D50" s="148">
        <f>+'211 Police'!U84+'211 Police'!R84</f>
        <v>69891.3</v>
      </c>
      <c r="E50" s="148"/>
    </row>
    <row r="51" spans="1:5" x14ac:dyDescent="0.25">
      <c r="B51" s="4" t="s">
        <v>1792</v>
      </c>
      <c r="C51" s="783">
        <v>10</v>
      </c>
      <c r="D51" s="148">
        <f>+'211 Police'!R86</f>
        <v>16805.3</v>
      </c>
      <c r="E51" s="4" t="s">
        <v>1793</v>
      </c>
    </row>
    <row r="52" spans="1:5" x14ac:dyDescent="0.25">
      <c r="D52" s="148"/>
    </row>
    <row r="53" spans="1:5" x14ac:dyDescent="0.25">
      <c r="B53" s="4" t="s">
        <v>1794</v>
      </c>
    </row>
    <row r="54" spans="1:5" x14ac:dyDescent="0.25">
      <c r="E54" s="148"/>
    </row>
    <row r="55" spans="1:5" x14ac:dyDescent="0.25">
      <c r="A55" s="74" t="s">
        <v>103</v>
      </c>
    </row>
    <row r="56" spans="1:5" x14ac:dyDescent="0.25">
      <c r="B56" s="4" t="s">
        <v>1795</v>
      </c>
      <c r="C56" s="783">
        <v>10</v>
      </c>
      <c r="D56" s="148">
        <f>+'212 Dispatch'!R36</f>
        <v>64247.76</v>
      </c>
    </row>
    <row r="57" spans="1:5" x14ac:dyDescent="0.25">
      <c r="B57" s="4" t="s">
        <v>1796</v>
      </c>
      <c r="C57" s="703">
        <v>4</v>
      </c>
      <c r="D57" s="148">
        <f>+'212 Dispatch'!R37</f>
        <v>49256.5</v>
      </c>
    </row>
    <row r="58" spans="1:5" x14ac:dyDescent="0.25">
      <c r="B58" s="4" t="s">
        <v>1796</v>
      </c>
      <c r="C58" s="703">
        <v>8</v>
      </c>
      <c r="D58" s="148">
        <f>+'212 Dispatch'!R38</f>
        <v>53897.75</v>
      </c>
    </row>
    <row r="59" spans="1:5" x14ac:dyDescent="0.25">
      <c r="B59" s="4" t="s">
        <v>1796</v>
      </c>
      <c r="C59" s="783">
        <v>10</v>
      </c>
      <c r="D59" s="148">
        <f>+'212 Dispatch'!R39</f>
        <v>56307.25</v>
      </c>
    </row>
    <row r="60" spans="1:5" x14ac:dyDescent="0.25">
      <c r="B60" s="4" t="s">
        <v>1796</v>
      </c>
      <c r="C60" s="783">
        <v>10</v>
      </c>
      <c r="D60" s="148">
        <f>+'212 Dispatch'!R40</f>
        <v>56307.25</v>
      </c>
    </row>
    <row r="61" spans="1:5" x14ac:dyDescent="0.25">
      <c r="B61" s="4" t="s">
        <v>1796</v>
      </c>
      <c r="C61" s="703">
        <v>3</v>
      </c>
      <c r="D61" s="148">
        <f>+'212 Dispatch'!R41</f>
        <v>48051.75</v>
      </c>
    </row>
    <row r="63" spans="1:5" x14ac:dyDescent="0.25">
      <c r="A63" s="74" t="s">
        <v>104</v>
      </c>
    </row>
    <row r="64" spans="1:5" x14ac:dyDescent="0.25">
      <c r="B64" s="4" t="s">
        <v>1797</v>
      </c>
      <c r="C64" s="703">
        <v>5</v>
      </c>
      <c r="D64" s="148">
        <f>+'241 Bldg'!R42</f>
        <v>74261</v>
      </c>
    </row>
    <row r="65" spans="1:9" x14ac:dyDescent="0.25">
      <c r="B65" s="4" t="s">
        <v>1798</v>
      </c>
      <c r="C65" s="783">
        <v>10</v>
      </c>
      <c r="D65" s="148">
        <f>+'241 Bldg'!R43</f>
        <v>44450.84</v>
      </c>
    </row>
    <row r="67" spans="1:9" x14ac:dyDescent="0.25">
      <c r="A67" s="74" t="s">
        <v>200</v>
      </c>
    </row>
    <row r="68" spans="1:9" x14ac:dyDescent="0.25">
      <c r="B68" s="4" t="s">
        <v>1799</v>
      </c>
      <c r="C68" s="783">
        <v>10</v>
      </c>
      <c r="D68" s="148">
        <f>+'420 DPW'!R70</f>
        <v>105239</v>
      </c>
    </row>
    <row r="69" spans="1:9" x14ac:dyDescent="0.25">
      <c r="B69" s="4" t="s">
        <v>1800</v>
      </c>
      <c r="C69" s="703">
        <v>8</v>
      </c>
      <c r="D69" s="148">
        <f>+'420 DPW'!R71</f>
        <v>61550.5</v>
      </c>
    </row>
    <row r="70" spans="1:9" x14ac:dyDescent="0.25">
      <c r="B70" s="4" t="s">
        <v>1801</v>
      </c>
      <c r="C70" s="703">
        <v>8</v>
      </c>
      <c r="D70" s="148">
        <f>+'420 DPW'!R72</f>
        <v>72711.100000000006</v>
      </c>
      <c r="I70" s="64"/>
    </row>
    <row r="71" spans="1:9" x14ac:dyDescent="0.25">
      <c r="B71" s="4" t="s">
        <v>1802</v>
      </c>
      <c r="C71" s="703">
        <v>6</v>
      </c>
      <c r="D71" s="148">
        <f>+'420 DPW'!R73</f>
        <v>60317.4</v>
      </c>
    </row>
    <row r="72" spans="1:9" x14ac:dyDescent="0.25">
      <c r="B72" s="4" t="s">
        <v>1803</v>
      </c>
      <c r="C72" s="703">
        <v>4</v>
      </c>
      <c r="D72" s="148">
        <f>+'420 DPW'!R74</f>
        <v>55071.5</v>
      </c>
      <c r="G72" s="202" t="s">
        <v>1804</v>
      </c>
      <c r="H72" s="712">
        <v>91</v>
      </c>
    </row>
    <row r="73" spans="1:9" x14ac:dyDescent="0.25">
      <c r="B73" s="4" t="s">
        <v>1805</v>
      </c>
      <c r="C73" s="783">
        <v>10</v>
      </c>
      <c r="D73" s="148">
        <f>+'420 DPW'!R75</f>
        <v>54674.400000000001</v>
      </c>
      <c r="G73" s="202" t="s">
        <v>2024</v>
      </c>
      <c r="H73" s="712">
        <v>36</v>
      </c>
      <c r="I73" s="289">
        <f>ROUND((+H73/$H$72),4)</f>
        <v>0.39560000000000001</v>
      </c>
    </row>
    <row r="74" spans="1:9" x14ac:dyDescent="0.25">
      <c r="B74" s="4" t="s">
        <v>1805</v>
      </c>
      <c r="C74" s="703">
        <v>4</v>
      </c>
      <c r="D74" s="148">
        <f>+'420 DPW'!R76</f>
        <v>48049.1</v>
      </c>
      <c r="G74" s="202" t="s">
        <v>1806</v>
      </c>
      <c r="H74" s="712">
        <v>40</v>
      </c>
      <c r="I74" s="289">
        <f>ROUND((+H74/$H$72),4)</f>
        <v>0.43959999999999999</v>
      </c>
    </row>
    <row r="75" spans="1:9" x14ac:dyDescent="0.25">
      <c r="B75" s="4" t="s">
        <v>1807</v>
      </c>
      <c r="C75" s="1088">
        <v>2</v>
      </c>
      <c r="D75" s="148">
        <f>+'420 DPW'!R77</f>
        <v>43095.8</v>
      </c>
    </row>
    <row r="76" spans="1:9" x14ac:dyDescent="0.25">
      <c r="B76" s="4" t="s">
        <v>1808</v>
      </c>
      <c r="C76" s="703">
        <v>9</v>
      </c>
      <c r="D76" s="148">
        <f>+'420 DPW'!R80</f>
        <v>58415.5</v>
      </c>
    </row>
    <row r="77" spans="1:9" x14ac:dyDescent="0.25">
      <c r="B77" s="4" t="s">
        <v>1809</v>
      </c>
      <c r="C77" s="703">
        <v>3</v>
      </c>
      <c r="D77" s="148">
        <f>+'420 DPW'!R78</f>
        <v>46920.5</v>
      </c>
    </row>
    <row r="78" spans="1:9" x14ac:dyDescent="0.25">
      <c r="B78" s="4" t="s">
        <v>1809</v>
      </c>
      <c r="C78" s="703">
        <v>3</v>
      </c>
      <c r="D78" s="148">
        <f>+'420 DPW'!R79</f>
        <v>46920.5</v>
      </c>
    </row>
    <row r="79" spans="1:9" x14ac:dyDescent="0.25">
      <c r="B79" s="4" t="s">
        <v>1810</v>
      </c>
      <c r="C79" s="703">
        <v>4</v>
      </c>
      <c r="D79" s="148">
        <f>+'420 DPW'!R81</f>
        <v>14125.8</v>
      </c>
      <c r="E79" s="4" t="s">
        <v>1811</v>
      </c>
    </row>
    <row r="80" spans="1:9" x14ac:dyDescent="0.25">
      <c r="B80" s="4" t="s">
        <v>1987</v>
      </c>
      <c r="C80" s="703">
        <v>5</v>
      </c>
      <c r="D80" s="148">
        <f>+'420 DPW'!R82</f>
        <v>57976.6</v>
      </c>
    </row>
    <row r="81" spans="1:5" x14ac:dyDescent="0.25">
      <c r="B81" s="4" t="s">
        <v>2023</v>
      </c>
      <c r="C81" s="703">
        <v>4</v>
      </c>
      <c r="D81" s="148">
        <f>+'420 DPW'!R86</f>
        <v>58415.5</v>
      </c>
    </row>
    <row r="82" spans="1:5" x14ac:dyDescent="0.25">
      <c r="B82" s="4" t="s">
        <v>1812</v>
      </c>
      <c r="C82" s="703">
        <v>6</v>
      </c>
      <c r="D82" s="148">
        <f>+'420 DPW'!R85</f>
        <v>55071.5</v>
      </c>
    </row>
    <row r="83" spans="1:5" x14ac:dyDescent="0.25">
      <c r="B83" s="4" t="s">
        <v>1812</v>
      </c>
      <c r="C83" s="703">
        <v>5</v>
      </c>
      <c r="D83" s="148">
        <f>+'420 DPW'!R84</f>
        <v>53733.9</v>
      </c>
    </row>
    <row r="84" spans="1:5" x14ac:dyDescent="0.25">
      <c r="B84" s="4" t="s">
        <v>1813</v>
      </c>
      <c r="C84" s="703">
        <v>2</v>
      </c>
      <c r="D84" s="148">
        <f>+'420 DPW'!R87</f>
        <v>44642.400000000001</v>
      </c>
    </row>
    <row r="85" spans="1:5" x14ac:dyDescent="0.25">
      <c r="B85" s="4" t="s">
        <v>1814</v>
      </c>
      <c r="C85" s="703">
        <v>2</v>
      </c>
      <c r="D85" s="148">
        <f>+'420 DPW'!R88</f>
        <v>45750.1</v>
      </c>
    </row>
    <row r="86" spans="1:5" x14ac:dyDescent="0.25">
      <c r="A86" s="148"/>
      <c r="B86" s="4" t="s">
        <v>1815</v>
      </c>
      <c r="C86" s="703">
        <v>2</v>
      </c>
      <c r="D86" s="148">
        <f>+'420 DPW'!R89</f>
        <v>44642.400000000001</v>
      </c>
      <c r="E86" s="148"/>
    </row>
    <row r="87" spans="1:5" x14ac:dyDescent="0.25">
      <c r="A87" s="148"/>
      <c r="B87" s="4" t="s">
        <v>1814</v>
      </c>
      <c r="C87" s="783">
        <v>10</v>
      </c>
      <c r="D87" s="148">
        <f>+'420 DPW'!R90</f>
        <v>54674.400000000001</v>
      </c>
      <c r="E87" s="148"/>
    </row>
    <row r="88" spans="1:5" x14ac:dyDescent="0.25">
      <c r="A88" s="148"/>
      <c r="B88" s="4" t="s">
        <v>1813</v>
      </c>
      <c r="C88" s="783">
        <v>10</v>
      </c>
      <c r="D88" s="148">
        <f>+'420 DPW'!R91</f>
        <v>44642.400000000001</v>
      </c>
      <c r="E88" s="148"/>
    </row>
    <row r="89" spans="1:5" x14ac:dyDescent="0.25">
      <c r="D89" s="148"/>
    </row>
    <row r="90" spans="1:5" x14ac:dyDescent="0.25">
      <c r="A90" s="74" t="s">
        <v>119</v>
      </c>
    </row>
    <row r="91" spans="1:5" x14ac:dyDescent="0.25">
      <c r="B91" s="4" t="s">
        <v>1276</v>
      </c>
      <c r="C91" s="703">
        <v>5</v>
      </c>
      <c r="D91" s="148">
        <f>+'511 BOH'!R49</f>
        <v>74261</v>
      </c>
    </row>
    <row r="92" spans="1:5" x14ac:dyDescent="0.25">
      <c r="B92" s="4" t="s">
        <v>1798</v>
      </c>
      <c r="C92" s="1088">
        <v>2</v>
      </c>
      <c r="D92" s="148">
        <f>+'511 BOH'!R50</f>
        <v>37008.839999999997</v>
      </c>
    </row>
    <row r="94" spans="1:5" x14ac:dyDescent="0.25">
      <c r="A94" s="74" t="s">
        <v>120</v>
      </c>
    </row>
    <row r="95" spans="1:5" x14ac:dyDescent="0.25">
      <c r="B95" s="4" t="s">
        <v>1816</v>
      </c>
      <c r="C95" s="783">
        <v>10</v>
      </c>
      <c r="D95" s="148">
        <f>+'541 COA'!R32</f>
        <v>46556.68</v>
      </c>
      <c r="E95" s="4" t="s">
        <v>1817</v>
      </c>
    </row>
    <row r="97" spans="1:5" x14ac:dyDescent="0.25">
      <c r="A97" s="74" t="s">
        <v>122</v>
      </c>
    </row>
    <row r="98" spans="1:5" x14ac:dyDescent="0.25">
      <c r="B98" s="4" t="s">
        <v>1312</v>
      </c>
      <c r="C98" s="783">
        <v>10</v>
      </c>
      <c r="D98" s="148">
        <f>+'610 Library'!R55</f>
        <v>82394</v>
      </c>
    </row>
    <row r="99" spans="1:5" x14ac:dyDescent="0.25">
      <c r="B99" s="4" t="s">
        <v>1818</v>
      </c>
      <c r="C99" s="783">
        <v>10</v>
      </c>
      <c r="D99" s="148">
        <f>+'610 Library'!R56+'610 Library'!R57</f>
        <v>59716.79</v>
      </c>
      <c r="E99" s="4" t="s">
        <v>1819</v>
      </c>
    </row>
    <row r="100" spans="1:5" x14ac:dyDescent="0.25">
      <c r="B100" s="4" t="s">
        <v>1820</v>
      </c>
      <c r="C100" s="703">
        <v>7</v>
      </c>
      <c r="D100" s="148">
        <f>+'610 Library'!R58</f>
        <v>41637.33</v>
      </c>
    </row>
    <row r="101" spans="1:5" x14ac:dyDescent="0.25">
      <c r="B101" s="4" t="s">
        <v>1821</v>
      </c>
      <c r="C101" s="703">
        <v>2</v>
      </c>
      <c r="D101" s="148">
        <f>+'610 Library'!R59</f>
        <v>10937.29</v>
      </c>
      <c r="E101" s="4" t="s">
        <v>1822</v>
      </c>
    </row>
    <row r="102" spans="1:5" x14ac:dyDescent="0.25">
      <c r="B102" s="4" t="s">
        <v>1821</v>
      </c>
      <c r="C102" s="703">
        <v>5</v>
      </c>
      <c r="D102" s="148">
        <f>+'610 Library'!R60</f>
        <v>25275.83</v>
      </c>
      <c r="E102" s="4" t="s">
        <v>1823</v>
      </c>
    </row>
    <row r="103" spans="1:5" x14ac:dyDescent="0.25">
      <c r="B103" s="4" t="s">
        <v>1821</v>
      </c>
      <c r="C103" s="783">
        <v>10</v>
      </c>
      <c r="D103" s="148">
        <f>+'610 Library'!R61</f>
        <v>9959.4599999999991</v>
      </c>
      <c r="E103" s="4" t="s">
        <v>1824</v>
      </c>
    </row>
    <row r="104" spans="1:5" x14ac:dyDescent="0.25">
      <c r="B104" s="4" t="s">
        <v>1821</v>
      </c>
      <c r="C104" s="783">
        <v>10</v>
      </c>
      <c r="D104" s="148">
        <f>+'610 Library'!R62</f>
        <v>29899</v>
      </c>
      <c r="E104" s="4" t="s">
        <v>1825</v>
      </c>
    </row>
    <row r="105" spans="1:5" x14ac:dyDescent="0.25">
      <c r="B105" s="4" t="s">
        <v>1821</v>
      </c>
      <c r="C105" s="703">
        <v>5</v>
      </c>
      <c r="D105" s="148">
        <f>+'610 Library'!R63</f>
        <v>20468.43</v>
      </c>
      <c r="E105" s="4" t="s">
        <v>1826</v>
      </c>
    </row>
    <row r="106" spans="1:5" x14ac:dyDescent="0.25">
      <c r="B106" s="4" t="s">
        <v>1821</v>
      </c>
      <c r="C106" s="703">
        <v>4</v>
      </c>
      <c r="D106" s="148">
        <f>+'610 Library'!R64</f>
        <v>15271.41</v>
      </c>
      <c r="E106" s="4" t="s">
        <v>1827</v>
      </c>
    </row>
    <row r="107" spans="1:5" x14ac:dyDescent="0.25">
      <c r="A107" s="148"/>
      <c r="B107" s="4" t="s">
        <v>1821</v>
      </c>
      <c r="C107" s="703">
        <v>7</v>
      </c>
      <c r="D107" s="148">
        <f>+'610 Library'!R65</f>
        <v>7828.65</v>
      </c>
      <c r="E107" s="4" t="s">
        <v>2154</v>
      </c>
    </row>
    <row r="108" spans="1:5" x14ac:dyDescent="0.25">
      <c r="A108" s="148"/>
      <c r="B108" s="4" t="s">
        <v>1821</v>
      </c>
      <c r="C108" s="703">
        <v>2</v>
      </c>
      <c r="D108" s="148">
        <f>+'610 Library'!R66</f>
        <v>5614.59</v>
      </c>
      <c r="E108" s="4" t="s">
        <v>2155</v>
      </c>
    </row>
    <row r="109" spans="1:5" x14ac:dyDescent="0.25">
      <c r="A109" s="148"/>
      <c r="B109" s="4" t="s">
        <v>1821</v>
      </c>
      <c r="C109" s="703">
        <v>2</v>
      </c>
      <c r="D109" s="148">
        <f>+'610 Library'!R68</f>
        <v>11864.47</v>
      </c>
      <c r="E109" s="4" t="s">
        <v>1824</v>
      </c>
    </row>
    <row r="110" spans="1:5" x14ac:dyDescent="0.25">
      <c r="A110" s="148"/>
      <c r="B110" s="4" t="s">
        <v>1828</v>
      </c>
      <c r="C110" s="703">
        <v>2</v>
      </c>
      <c r="D110" s="148">
        <f>+'610 Library'!R67</f>
        <v>15220.48</v>
      </c>
      <c r="E110" s="4" t="s">
        <v>2156</v>
      </c>
    </row>
    <row r="112" spans="1:5" x14ac:dyDescent="0.25">
      <c r="A112" s="74" t="s">
        <v>1829</v>
      </c>
    </row>
    <row r="113" spans="1:5" x14ac:dyDescent="0.25">
      <c r="B113" s="4" t="s">
        <v>1326</v>
      </c>
      <c r="C113" s="783">
        <v>10</v>
      </c>
      <c r="D113" s="148">
        <f>+'630 Recreation'!R38</f>
        <v>82394</v>
      </c>
    </row>
    <row r="114" spans="1:5" x14ac:dyDescent="0.25">
      <c r="B114" s="4" t="s">
        <v>1798</v>
      </c>
      <c r="C114" s="783">
        <v>10</v>
      </c>
      <c r="D114" s="148">
        <f>+'630 Recreation'!R39</f>
        <v>25282.400000000001</v>
      </c>
      <c r="E114" s="4" t="s">
        <v>1817</v>
      </c>
    </row>
    <row r="116" spans="1:5" x14ac:dyDescent="0.25">
      <c r="A116" s="74" t="s">
        <v>131</v>
      </c>
    </row>
    <row r="117" spans="1:5" x14ac:dyDescent="0.25">
      <c r="B117" s="4" t="s">
        <v>1830</v>
      </c>
      <c r="C117" s="783">
        <v>10</v>
      </c>
      <c r="D117" s="148">
        <f>+'600 482 Airport'!R62</f>
        <v>64247.76</v>
      </c>
      <c r="E117" s="4" t="s">
        <v>1831</v>
      </c>
    </row>
    <row r="118" spans="1:5" x14ac:dyDescent="0.25">
      <c r="B118" s="4" t="s">
        <v>1832</v>
      </c>
      <c r="C118" s="703">
        <v>2</v>
      </c>
      <c r="D118" s="23">
        <f>+'600 482 Airport'!S10</f>
        <v>0</v>
      </c>
      <c r="E118" s="4" t="s">
        <v>1831</v>
      </c>
    </row>
    <row r="120" spans="1:5" x14ac:dyDescent="0.25">
      <c r="A120" s="74" t="s">
        <v>1833</v>
      </c>
    </row>
    <row r="121" spans="1:5" x14ac:dyDescent="0.25">
      <c r="B121" s="4" t="s">
        <v>1834</v>
      </c>
      <c r="C121" s="783">
        <v>10</v>
      </c>
      <c r="D121" s="148">
        <f>+'661 440 CWF'!R78</f>
        <v>105239</v>
      </c>
    </row>
    <row r="122" spans="1:5" x14ac:dyDescent="0.25">
      <c r="B122" s="4" t="s">
        <v>1835</v>
      </c>
      <c r="C122" s="703">
        <v>5</v>
      </c>
      <c r="D122" s="148">
        <f>+'661 440 CWF'!R80</f>
        <v>69822.720000000001</v>
      </c>
    </row>
    <row r="123" spans="1:5" x14ac:dyDescent="0.25">
      <c r="B123" s="4" t="s">
        <v>1836</v>
      </c>
      <c r="C123" s="703">
        <v>3</v>
      </c>
      <c r="D123" s="148">
        <f>+'661 440 CWF'!R81</f>
        <v>55144.08</v>
      </c>
    </row>
    <row r="124" spans="1:5" x14ac:dyDescent="0.25">
      <c r="B124" s="4" t="s">
        <v>1803</v>
      </c>
      <c r="C124" s="783">
        <v>10</v>
      </c>
      <c r="D124" s="148">
        <f>+'661 440 CWF'!R82</f>
        <v>64289.52</v>
      </c>
    </row>
    <row r="125" spans="1:5" x14ac:dyDescent="0.25">
      <c r="B125" s="4" t="s">
        <v>1837</v>
      </c>
      <c r="C125" s="703">
        <v>3</v>
      </c>
      <c r="D125" s="148">
        <f>+'661 440 CWF'!R83</f>
        <v>51051.6</v>
      </c>
    </row>
    <row r="126" spans="1:5" x14ac:dyDescent="0.25">
      <c r="B126" s="4" t="s">
        <v>1837</v>
      </c>
      <c r="C126" s="703">
        <v>3</v>
      </c>
      <c r="D126" s="148">
        <f>+'661 440 CWF'!R84</f>
        <v>43555.68</v>
      </c>
    </row>
    <row r="127" spans="1:5" x14ac:dyDescent="0.25">
      <c r="B127" s="4" t="s">
        <v>1838</v>
      </c>
      <c r="C127" s="703">
        <v>5</v>
      </c>
      <c r="D127" s="148">
        <f>+'661 440 CWF'!R85</f>
        <v>45748.08</v>
      </c>
    </row>
    <row r="128" spans="1:5" x14ac:dyDescent="0.25">
      <c r="B128" s="4" t="s">
        <v>1839</v>
      </c>
      <c r="C128" s="703">
        <v>3</v>
      </c>
      <c r="D128" s="148">
        <f>+'661 440 CWF'!R86</f>
        <v>50801.04</v>
      </c>
    </row>
    <row r="129" spans="2:4" x14ac:dyDescent="0.25">
      <c r="B129" s="4" t="s">
        <v>1798</v>
      </c>
      <c r="C129" s="703">
        <v>5</v>
      </c>
      <c r="D129" s="23">
        <f>+'661 440 CWF'!R79</f>
        <v>45518.400000000001</v>
      </c>
    </row>
  </sheetData>
  <mergeCells count="1">
    <mergeCell ref="A1:F1"/>
  </mergeCells>
  <phoneticPr fontId="15" type="noConversion"/>
  <printOptions horizontalCentered="1"/>
  <pageMargins left="0.75" right="0.75" top="1" bottom="1" header="0.5" footer="0.5"/>
  <pageSetup scale="97" fitToHeight="3" orientation="portrait" r:id="rId1"/>
  <headerFooter alignWithMargins="0">
    <oddFooter>&amp;L&amp;D &amp;T&amp;C&amp;F&amp;R&amp;A&amp;P</oddFooter>
  </headerFooter>
  <rowBreaks count="1" manualBreakCount="1">
    <brk id="89" max="5"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P150"/>
  <sheetViews>
    <sheetView zoomScaleNormal="100" workbookViewId="0">
      <selection sqref="A1:O90"/>
    </sheetView>
  </sheetViews>
  <sheetFormatPr defaultRowHeight="15.6" x14ac:dyDescent="0.3"/>
  <cols>
    <col min="1" max="1" width="5.33203125" style="743" customWidth="1"/>
    <col min="2" max="2" width="26.33203125" style="485" customWidth="1"/>
    <col min="3" max="9" width="16.77734375" style="292" hidden="1" customWidth="1"/>
    <col min="10" max="10" width="12.77734375" style="292" hidden="1" customWidth="1"/>
    <col min="11" max="12" width="12.77734375" style="292" customWidth="1"/>
    <col min="13" max="13" width="12.44140625" style="485" customWidth="1"/>
    <col min="14" max="14" width="10.33203125" style="485" customWidth="1"/>
    <col min="15" max="15" width="9.109375" style="485" customWidth="1"/>
    <col min="16" max="16" width="8.88671875" style="947"/>
  </cols>
  <sheetData>
    <row r="1" spans="1:16" ht="14.4" x14ac:dyDescent="0.3">
      <c r="A1" s="1360" t="s">
        <v>1840</v>
      </c>
      <c r="B1" s="1360"/>
      <c r="C1" s="1360"/>
      <c r="D1" s="1360"/>
      <c r="E1" s="1360"/>
      <c r="F1" s="1360"/>
      <c r="G1" s="1360"/>
      <c r="H1" s="1360"/>
      <c r="I1" s="1360"/>
      <c r="J1" s="1360"/>
      <c r="K1" s="1360"/>
      <c r="L1" s="1360"/>
      <c r="M1" s="1360"/>
      <c r="N1" s="1362"/>
      <c r="O1" s="1362"/>
    </row>
    <row r="2" spans="1:16" ht="14.4" x14ac:dyDescent="0.3">
      <c r="A2" s="1360" t="s">
        <v>1841</v>
      </c>
      <c r="B2" s="1360"/>
      <c r="C2" s="1360"/>
      <c r="D2" s="1360"/>
      <c r="E2" s="1360"/>
      <c r="F2" s="1360"/>
      <c r="G2" s="1360"/>
      <c r="H2" s="1360"/>
      <c r="I2" s="1360"/>
      <c r="J2" s="1360"/>
      <c r="K2" s="1360"/>
      <c r="L2" s="1360"/>
      <c r="M2" s="1360"/>
      <c r="N2" s="1362"/>
      <c r="O2" s="1362"/>
    </row>
    <row r="3" spans="1:16" ht="14.4" x14ac:dyDescent="0.3">
      <c r="A3" s="740"/>
      <c r="B3" s="1036"/>
      <c r="C3" s="1037"/>
      <c r="D3" s="1037"/>
      <c r="E3" s="1037"/>
      <c r="F3" s="1037"/>
      <c r="G3" s="1037"/>
      <c r="H3" s="1037"/>
      <c r="I3" s="1037"/>
      <c r="J3" s="1037"/>
      <c r="K3" s="1037"/>
      <c r="L3" s="1037"/>
      <c r="M3" s="1038" t="s">
        <v>514</v>
      </c>
      <c r="N3" s="1036"/>
      <c r="O3" s="1036"/>
    </row>
    <row r="4" spans="1:16" ht="14.4" x14ac:dyDescent="0.3">
      <c r="A4" s="740"/>
      <c r="B4" s="1036"/>
      <c r="C4" s="1037"/>
      <c r="D4" s="1037"/>
      <c r="E4" s="1037"/>
      <c r="F4" s="1037"/>
      <c r="G4" s="1037"/>
      <c r="H4" s="1037"/>
      <c r="I4" s="1037"/>
      <c r="J4" s="1037"/>
      <c r="K4" s="1037"/>
      <c r="L4" s="1037"/>
      <c r="M4" s="1038" t="s">
        <v>1842</v>
      </c>
      <c r="N4" s="1036"/>
      <c r="O4" s="1036"/>
    </row>
    <row r="5" spans="1:16" ht="14.4" x14ac:dyDescent="0.3">
      <c r="A5" s="740" t="s">
        <v>1843</v>
      </c>
      <c r="B5" s="1036"/>
      <c r="C5" s="1038" t="s">
        <v>1844</v>
      </c>
      <c r="D5" s="1038" t="s">
        <v>1844</v>
      </c>
      <c r="E5" s="1038" t="s">
        <v>1844</v>
      </c>
      <c r="F5" s="1038" t="s">
        <v>1844</v>
      </c>
      <c r="G5" s="1038" t="s">
        <v>1844</v>
      </c>
      <c r="H5" s="1038" t="s">
        <v>1844</v>
      </c>
      <c r="I5" s="1038" t="s">
        <v>1844</v>
      </c>
      <c r="J5" s="1038" t="s">
        <v>1844</v>
      </c>
      <c r="K5" s="1038" t="s">
        <v>1845</v>
      </c>
      <c r="L5" s="1038" t="s">
        <v>1846</v>
      </c>
      <c r="M5" s="1038" t="s">
        <v>1847</v>
      </c>
      <c r="N5" s="1038" t="s">
        <v>730</v>
      </c>
      <c r="O5" s="1038" t="s">
        <v>731</v>
      </c>
      <c r="P5" s="947" t="s">
        <v>2465</v>
      </c>
    </row>
    <row r="6" spans="1:16" ht="14.4" x14ac:dyDescent="0.3">
      <c r="A6" s="740" t="s">
        <v>1848</v>
      </c>
      <c r="B6" s="1036"/>
      <c r="C6" s="1038" t="s">
        <v>461</v>
      </c>
      <c r="D6" s="1038" t="s">
        <v>462</v>
      </c>
      <c r="E6" s="1038" t="s">
        <v>1141</v>
      </c>
      <c r="F6" s="1038" t="s">
        <v>465</v>
      </c>
      <c r="G6" s="1038" t="s">
        <v>466</v>
      </c>
      <c r="H6" s="1038" t="s">
        <v>467</v>
      </c>
      <c r="I6" s="1038" t="s">
        <v>468</v>
      </c>
      <c r="J6" s="1038" t="s">
        <v>251</v>
      </c>
      <c r="K6" s="1038" t="s">
        <v>469</v>
      </c>
      <c r="L6" s="1038" t="s">
        <v>1345</v>
      </c>
      <c r="M6" s="1038" t="s">
        <v>1345</v>
      </c>
      <c r="N6" s="1039" t="s">
        <v>380</v>
      </c>
      <c r="O6" s="1039" t="s">
        <v>380</v>
      </c>
    </row>
    <row r="7" spans="1:16" ht="14.4" x14ac:dyDescent="0.3">
      <c r="A7" s="740"/>
      <c r="B7" s="1036" t="str">
        <f>+'Working Budget with funding det'!B38</f>
        <v>GENERAL GOVERNMENT</v>
      </c>
      <c r="C7" s="1037"/>
      <c r="D7" s="1037"/>
      <c r="E7" s="1037"/>
      <c r="F7" s="1037"/>
      <c r="G7" s="1037"/>
      <c r="H7" s="1037"/>
      <c r="I7" s="1037"/>
      <c r="J7" s="1037"/>
      <c r="K7" s="1037"/>
      <c r="L7" s="1037"/>
      <c r="M7" s="1036"/>
      <c r="N7" s="1036"/>
      <c r="O7" s="1036"/>
    </row>
    <row r="8" spans="1:16" ht="14.4" x14ac:dyDescent="0.3">
      <c r="A8" s="740">
        <f>+'Working Budget with funding det'!A39</f>
        <v>113</v>
      </c>
      <c r="B8" s="1036" t="str">
        <f>+'Working Budget with funding det'!B39</f>
        <v>TOWN MEETING</v>
      </c>
      <c r="C8" s="1037">
        <f>+'113 Town Mtg'!C23</f>
        <v>1561.73</v>
      </c>
      <c r="D8" s="1037">
        <f>+'113 Town Mtg'!D23</f>
        <v>1423.38</v>
      </c>
      <c r="E8" s="1037">
        <f>+'113 Town Mtg'!E23</f>
        <v>1614.6</v>
      </c>
      <c r="F8" s="1037">
        <f>+'113 Town Mtg'!G23</f>
        <v>1581.73</v>
      </c>
      <c r="G8" s="1037">
        <f>+'113 Town Mtg'!H23</f>
        <v>1783.82</v>
      </c>
      <c r="H8" s="1037">
        <f>+'113 Town Mtg'!I23</f>
        <v>1800</v>
      </c>
      <c r="I8" s="1037">
        <f>+'113 Town Mtg'!J23</f>
        <v>4037.63</v>
      </c>
      <c r="J8" s="1037">
        <f>+'113 Town Mtg'!L23</f>
        <v>1403.7</v>
      </c>
      <c r="K8" s="1037">
        <f>+'Working Budget with funding det'!Q39</f>
        <v>2980</v>
      </c>
      <c r="L8" s="1037">
        <f>+'Working Budget with funding det'!R39</f>
        <v>3180</v>
      </c>
      <c r="M8" s="1037">
        <f>+'Working Budget with funding det'!S39</f>
        <v>3180</v>
      </c>
      <c r="N8" s="1037">
        <f>+M8-K8</f>
        <v>200</v>
      </c>
      <c r="O8" s="1040">
        <f>ROUND((+N8/K8),4)</f>
        <v>6.7100000000000007E-2</v>
      </c>
      <c r="P8" s="947" t="s">
        <v>2466</v>
      </c>
    </row>
    <row r="9" spans="1:16" ht="14.4" x14ac:dyDescent="0.3">
      <c r="A9" s="740">
        <f>+'Working Budget with funding det'!A40</f>
        <v>122</v>
      </c>
      <c r="B9" s="1036" t="str">
        <f>+'Working Budget with funding det'!B40</f>
        <v>SELECTBOARD</v>
      </c>
      <c r="C9" s="1037">
        <f>+'122 Selectboard'!C36</f>
        <v>129636.18999999999</v>
      </c>
      <c r="D9" s="1037">
        <f>+'122 Selectboard'!D36</f>
        <v>141863.65000000002</v>
      </c>
      <c r="E9" s="1037">
        <f>+'122 Selectboard'!E36</f>
        <v>148667.49</v>
      </c>
      <c r="F9" s="1037">
        <f>+'122 Selectboard'!G36</f>
        <v>193441</v>
      </c>
      <c r="G9" s="1037">
        <f>+'122 Selectboard'!H36</f>
        <v>175165.72999999998</v>
      </c>
      <c r="H9" s="1037">
        <f>+'122 Selectboard'!I36</f>
        <v>172490.09999999998</v>
      </c>
      <c r="I9" s="1037">
        <f>+'122 Selectboard'!J36</f>
        <v>181145.66999999998</v>
      </c>
      <c r="J9" s="1037">
        <f>+'122 Selectboard'!L36</f>
        <v>189784.35</v>
      </c>
      <c r="K9" s="1037">
        <f>+'Working Budget with funding det'!Q40</f>
        <v>330581</v>
      </c>
      <c r="L9" s="1037">
        <f>+'Working Budget with funding det'!R40</f>
        <v>326230</v>
      </c>
      <c r="M9" s="1037">
        <f>+'Working Budget with funding det'!S40</f>
        <v>326230</v>
      </c>
      <c r="N9" s="1037">
        <f>+M9-K9</f>
        <v>-4351</v>
      </c>
      <c r="O9" s="1040">
        <f>ROUND((+N9/K9),4)</f>
        <v>-1.32E-2</v>
      </c>
      <c r="P9" s="947" t="s">
        <v>2468</v>
      </c>
    </row>
    <row r="10" spans="1:16" ht="14.4" x14ac:dyDescent="0.3">
      <c r="A10" s="740">
        <f>+'Working Budget with funding det'!A41</f>
        <v>131</v>
      </c>
      <c r="B10" s="1036" t="str">
        <f>+'Working Budget with funding det'!B41</f>
        <v>FINANCE COMMITTEE</v>
      </c>
      <c r="C10" s="1037">
        <f>+'131 Fin Comm'!C20</f>
        <v>659.25</v>
      </c>
      <c r="D10" s="1037">
        <f>+'131 Fin Comm'!D20</f>
        <v>315.39999999999998</v>
      </c>
      <c r="E10" s="1037">
        <f>+'131 Fin Comm'!E20</f>
        <v>571.79999999999995</v>
      </c>
      <c r="F10" s="1037">
        <f>+'131 Fin Comm'!G20</f>
        <v>422</v>
      </c>
      <c r="G10" s="1037">
        <f>+'131 Fin Comm'!H20</f>
        <v>468</v>
      </c>
      <c r="H10" s="1037">
        <f>+'131 Fin Comm'!I20</f>
        <v>673.07999999999993</v>
      </c>
      <c r="I10" s="1037">
        <f>+'131 Fin Comm'!J20</f>
        <v>464.1</v>
      </c>
      <c r="J10" s="1037">
        <f>+'131 Fin Comm'!L20</f>
        <v>280</v>
      </c>
      <c r="K10" s="1037">
        <f>+'Working Budget with funding det'!Q41</f>
        <v>2000</v>
      </c>
      <c r="L10" s="1037">
        <f>+'Working Budget with funding det'!R41</f>
        <v>600</v>
      </c>
      <c r="M10" s="1037">
        <f>+'Working Budget with funding det'!S41</f>
        <v>600</v>
      </c>
      <c r="N10" s="1037">
        <f>+M10-K10</f>
        <v>-1400</v>
      </c>
      <c r="O10" s="1040">
        <f>ROUND((+N10/K10),4)</f>
        <v>-0.7</v>
      </c>
    </row>
    <row r="11" spans="1:16" ht="14.4" x14ac:dyDescent="0.3">
      <c r="A11" s="740">
        <f>+'Working Budget with funding det'!A42</f>
        <v>132</v>
      </c>
      <c r="B11" s="1036" t="str">
        <f>+'Working Budget with funding det'!B42</f>
        <v>RESERVE FUND</v>
      </c>
      <c r="C11" s="1037">
        <f>+'132 Reserve Fund'!C14</f>
        <v>44620</v>
      </c>
      <c r="D11" s="1037">
        <f>+'132 Reserve Fund'!D14</f>
        <v>24500</v>
      </c>
      <c r="E11" s="1037">
        <f>+'132 Reserve Fund'!E14</f>
        <v>41400</v>
      </c>
      <c r="F11" s="1037">
        <f>+'132 Reserve Fund'!G14</f>
        <v>58400.800000000003</v>
      </c>
      <c r="G11" s="1037">
        <f>+'132 Reserve Fund'!H14</f>
        <v>43309.74</v>
      </c>
      <c r="H11" s="1037">
        <f>+'132 Reserve Fund'!I14</f>
        <v>20200</v>
      </c>
      <c r="I11" s="1037">
        <f>+'132 Reserve Fund'!J14</f>
        <v>29700</v>
      </c>
      <c r="J11" s="1037">
        <f>+'132 Reserve Fund'!L14</f>
        <v>18500</v>
      </c>
      <c r="K11" s="1037">
        <f>+'Working Budget with funding det'!Q42</f>
        <v>50000</v>
      </c>
      <c r="L11" s="1037">
        <f>+'Working Budget with funding det'!R42</f>
        <v>50000</v>
      </c>
      <c r="M11" s="1037">
        <f>+'Working Budget with funding det'!S42</f>
        <v>50000</v>
      </c>
      <c r="N11" s="1037">
        <f>+M11-K11</f>
        <v>0</v>
      </c>
      <c r="O11" s="1040">
        <f>ROUND((+N11/K11),4)</f>
        <v>0</v>
      </c>
    </row>
    <row r="12" spans="1:16" ht="14.4" x14ac:dyDescent="0.3">
      <c r="A12" s="740">
        <f>+'Working Budget with funding det'!A43</f>
        <v>135</v>
      </c>
      <c r="B12" s="1036" t="str">
        <f>+'Working Budget with funding det'!B43</f>
        <v>TOWN ACCOUNTANT</v>
      </c>
      <c r="C12" s="1037">
        <f>+'135 Acct'!C29</f>
        <v>69678.560000000012</v>
      </c>
      <c r="D12" s="1037">
        <f>+'135 Acct'!D29</f>
        <v>69599.66</v>
      </c>
      <c r="E12" s="1037">
        <f>+'135 Acct'!E29</f>
        <v>73935.94</v>
      </c>
      <c r="F12" s="1037">
        <f>+'135 Acct'!G29</f>
        <v>75098.350000000006</v>
      </c>
      <c r="G12" s="1037">
        <f>+'135 Acct'!H29</f>
        <v>75900.149999999994</v>
      </c>
      <c r="H12" s="1037">
        <f>+'135 Acct'!I29</f>
        <v>77521.61</v>
      </c>
      <c r="I12" s="1037">
        <f>+'135 Acct'!J29</f>
        <v>80373.84</v>
      </c>
      <c r="J12" s="1037">
        <f>+'135 Acct'!L29</f>
        <v>81589.320000000007</v>
      </c>
      <c r="K12" s="1037">
        <f>+'Working Budget with funding det'!Q43</f>
        <v>90500</v>
      </c>
      <c r="L12" s="1037">
        <f>+'Working Budget with funding det'!R43</f>
        <v>93000</v>
      </c>
      <c r="M12" s="1037">
        <f>+'Working Budget with funding det'!S43</f>
        <v>93000</v>
      </c>
      <c r="N12" s="1037">
        <f>+M12-K12</f>
        <v>2500</v>
      </c>
      <c r="O12" s="1040">
        <f>ROUND((+N12/K12),4)</f>
        <v>2.76E-2</v>
      </c>
      <c r="P12" s="947" t="s">
        <v>2469</v>
      </c>
    </row>
    <row r="13" spans="1:16" ht="14.4" x14ac:dyDescent="0.3">
      <c r="A13" s="740">
        <f>+'Working Budget with funding det'!A44</f>
        <v>141</v>
      </c>
      <c r="B13" s="1036" t="str">
        <f>+'Working Budget with funding det'!B44</f>
        <v>ASSESSORS</v>
      </c>
      <c r="C13" s="1037">
        <f>+'141 BOA'!C42</f>
        <v>141651.54</v>
      </c>
      <c r="D13" s="1037">
        <f>+'141 BOA'!D42</f>
        <v>144985.04999999999</v>
      </c>
      <c r="E13" s="1037">
        <f>+'141 BOA'!E42</f>
        <v>151757</v>
      </c>
      <c r="F13" s="1037">
        <f>+'141 BOA'!G42</f>
        <v>163402.36000000002</v>
      </c>
      <c r="G13" s="1037">
        <f>+'141 BOA'!H42</f>
        <v>172805.62</v>
      </c>
      <c r="H13" s="1037">
        <f>+'141 BOA'!I42</f>
        <v>172698.83000000002</v>
      </c>
      <c r="I13" s="1037">
        <f>+'141 BOA'!J42</f>
        <v>184928.44</v>
      </c>
      <c r="J13" s="1037">
        <f>+'141 BOA'!L42</f>
        <v>169249.33</v>
      </c>
      <c r="K13" s="1037">
        <f>+'Working Budget with funding det'!Q44</f>
        <v>189801</v>
      </c>
      <c r="L13" s="1037">
        <f>+'Working Budget with funding det'!R44</f>
        <v>186059</v>
      </c>
      <c r="M13" s="1037">
        <f>+'Working Budget with funding det'!S44</f>
        <v>186059</v>
      </c>
      <c r="N13" s="1037">
        <f>+M13-K13</f>
        <v>-3742</v>
      </c>
      <c r="O13" s="1040">
        <f>ROUND((+N13/K13),4)</f>
        <v>-1.9699999999999999E-2</v>
      </c>
      <c r="P13" s="947" t="s">
        <v>2479</v>
      </c>
    </row>
    <row r="14" spans="1:16" ht="14.4" x14ac:dyDescent="0.3">
      <c r="A14" s="740">
        <f>+'Working Budget with funding det'!A46</f>
        <v>145</v>
      </c>
      <c r="B14" s="1036" t="str">
        <f>+'Working Budget with funding det'!B46</f>
        <v>TREASURER/COLLECTOR</v>
      </c>
      <c r="C14" s="1037">
        <f>+'145 Treas'!C34</f>
        <v>191039.90999999997</v>
      </c>
      <c r="D14" s="1037">
        <f>+'145 Treas'!D34</f>
        <v>197309.9</v>
      </c>
      <c r="E14" s="1037">
        <f>+'145 Treas'!E34</f>
        <v>206758.38</v>
      </c>
      <c r="F14" s="1037">
        <f>+'145 Treas'!G34</f>
        <v>213700.67</v>
      </c>
      <c r="G14" s="1037">
        <f>+'145 Treas'!H34</f>
        <v>208670.33</v>
      </c>
      <c r="H14" s="1037">
        <f>+'145 Treas'!I34</f>
        <v>206826.21</v>
      </c>
      <c r="I14" s="1037">
        <f>+'145 Treas'!J34</f>
        <v>219412.09000000003</v>
      </c>
      <c r="J14" s="1037">
        <f>+'145 Treas'!L34</f>
        <v>223197.94</v>
      </c>
      <c r="K14" s="1037">
        <f>+'Working Budget with funding det'!Q46</f>
        <v>231048</v>
      </c>
      <c r="L14" s="1037">
        <f>+'Working Budget with funding det'!R46</f>
        <v>206965</v>
      </c>
      <c r="M14" s="1037">
        <f>+'Working Budget with funding det'!S46</f>
        <v>206965</v>
      </c>
      <c r="N14" s="1037">
        <f>+M14-K14</f>
        <v>-24083</v>
      </c>
      <c r="O14" s="1040">
        <f>ROUND((+N14/K14),4)</f>
        <v>-0.1042</v>
      </c>
      <c r="P14" s="947" t="s">
        <v>2471</v>
      </c>
    </row>
    <row r="15" spans="1:16" ht="14.4" x14ac:dyDescent="0.3">
      <c r="A15" s="740">
        <f>+'Working Budget with funding det'!A47</f>
        <v>151</v>
      </c>
      <c r="B15" s="1036" t="str">
        <f>+'Working Budget with funding det'!B47</f>
        <v>TOWN COUNSEL</v>
      </c>
      <c r="C15" s="1037">
        <f>+'151 Counsel'!C16</f>
        <v>79291.739999999991</v>
      </c>
      <c r="D15" s="1037">
        <f>+'151 Counsel'!D16</f>
        <v>68222.33</v>
      </c>
      <c r="E15" s="1037">
        <f>+'151 Counsel'!E16</f>
        <v>104258.47</v>
      </c>
      <c r="F15" s="1037">
        <f>+'151 Counsel'!G16</f>
        <v>94990.93</v>
      </c>
      <c r="G15" s="1037">
        <f>+'151 Counsel'!H16</f>
        <v>78752.53</v>
      </c>
      <c r="H15" s="1037">
        <f>+'151 Counsel'!I16</f>
        <v>62050.99</v>
      </c>
      <c r="I15" s="1037">
        <f>+'151 Counsel'!J16</f>
        <v>47390.289999999994</v>
      </c>
      <c r="J15" s="1037">
        <f>+'151 Counsel'!L16</f>
        <v>51028.08</v>
      </c>
      <c r="K15" s="1037">
        <f>+'Working Budget with funding det'!Q47</f>
        <v>80000</v>
      </c>
      <c r="L15" s="1037">
        <f>+'Working Budget with funding det'!R47</f>
        <v>87475</v>
      </c>
      <c r="M15" s="1037">
        <f>+'Working Budget with funding det'!S47</f>
        <v>87475</v>
      </c>
      <c r="N15" s="1037">
        <f>+M15-K15</f>
        <v>7475</v>
      </c>
      <c r="O15" s="1040">
        <f>ROUND((+N15/K15),4)</f>
        <v>9.3399999999999997E-2</v>
      </c>
      <c r="P15" s="947" t="s">
        <v>2472</v>
      </c>
    </row>
    <row r="16" spans="1:16" ht="14.4" x14ac:dyDescent="0.3">
      <c r="A16" s="740">
        <v>155</v>
      </c>
      <c r="B16" s="1036" t="s">
        <v>522</v>
      </c>
      <c r="C16" s="1037">
        <f>+'155 IT'!C30</f>
        <v>21070.73</v>
      </c>
      <c r="D16" s="1037">
        <f>+'155 IT'!D30</f>
        <v>21720.39</v>
      </c>
      <c r="E16" s="1037">
        <f>+'155 IT'!E30</f>
        <v>22312.94</v>
      </c>
      <c r="F16" s="1037">
        <f>+'155 IT'!G30</f>
        <v>33814.289999999994</v>
      </c>
      <c r="G16" s="1037">
        <f>+'155 IT'!H30</f>
        <v>43349.700000000004</v>
      </c>
      <c r="H16" s="1037">
        <f>+'155 IT'!I30</f>
        <v>46323.6</v>
      </c>
      <c r="I16" s="1037">
        <f>+'155 IT'!J30</f>
        <v>56002.240000000005</v>
      </c>
      <c r="J16" s="1037">
        <f>+'155 IT'!L30</f>
        <v>71280.13</v>
      </c>
      <c r="K16" s="1037">
        <f>+'Working Budget with funding det'!Q48</f>
        <v>80500</v>
      </c>
      <c r="L16" s="1037">
        <f>+'Working Budget with funding det'!R48</f>
        <v>92252</v>
      </c>
      <c r="M16" s="1037">
        <f>+'Working Budget with funding det'!S48</f>
        <v>92252</v>
      </c>
      <c r="N16" s="1037">
        <f>+M16-K16</f>
        <v>11752</v>
      </c>
      <c r="O16" s="1040">
        <f>ROUND((+N16/K16),4)</f>
        <v>0.14599999999999999</v>
      </c>
      <c r="P16" s="947" t="s">
        <v>2473</v>
      </c>
    </row>
    <row r="17" spans="1:16" ht="14.4" x14ac:dyDescent="0.3">
      <c r="A17" s="740">
        <f>+'Working Budget with funding det'!A49</f>
        <v>159</v>
      </c>
      <c r="B17" s="1036" t="str">
        <f>+'Working Budget with funding det'!B49</f>
        <v>SHARED COSTS</v>
      </c>
      <c r="C17" s="1037">
        <f>+'159 Shared Costs'!C22</f>
        <v>41297.370000000003</v>
      </c>
      <c r="D17" s="1037">
        <f>+'159 Shared Costs'!D22</f>
        <v>40543.560000000005</v>
      </c>
      <c r="E17" s="1037">
        <f>+'159 Shared Costs'!E24</f>
        <v>43387.42</v>
      </c>
      <c r="F17" s="1037">
        <f>+'159 Shared Costs'!G22</f>
        <v>43321.19</v>
      </c>
      <c r="G17" s="1037">
        <f>+'159 Shared Costs'!H22</f>
        <v>72116.45</v>
      </c>
      <c r="H17" s="1037">
        <f>+'159 Shared Costs'!I22</f>
        <v>81055.099999999991</v>
      </c>
      <c r="I17" s="1037">
        <f>+'159 Shared Costs'!J22</f>
        <v>59453.41</v>
      </c>
      <c r="J17" s="1037">
        <f>+'159 Shared Costs'!L22</f>
        <v>62336.41</v>
      </c>
      <c r="K17" s="1037">
        <f>+'Working Budget with funding det'!Q49</f>
        <v>85907</v>
      </c>
      <c r="L17" s="1037">
        <f>+'Working Budget with funding det'!R49</f>
        <v>93499</v>
      </c>
      <c r="M17" s="1037">
        <f>+'Working Budget with funding det'!S49</f>
        <v>93499</v>
      </c>
      <c r="N17" s="1037">
        <f>+M17-K17</f>
        <v>7592</v>
      </c>
      <c r="O17" s="1040">
        <f>ROUND((+N17/K17),4)</f>
        <v>8.8400000000000006E-2</v>
      </c>
      <c r="P17" s="947" t="s">
        <v>1639</v>
      </c>
    </row>
    <row r="18" spans="1:16" ht="14.4" x14ac:dyDescent="0.3">
      <c r="A18" s="740">
        <f>+'Working Budget with funding det'!A50</f>
        <v>161</v>
      </c>
      <c r="B18" s="1036" t="str">
        <f>+'Working Budget with funding det'!B50</f>
        <v>TOWN CLERK</v>
      </c>
      <c r="C18" s="1037">
        <f>+'161 Clerk'!C41</f>
        <v>130503.54</v>
      </c>
      <c r="D18" s="1037">
        <f>+'161 Clerk'!D41</f>
        <v>113509.36</v>
      </c>
      <c r="E18" s="1037">
        <f>+'161 Clerk'!E41</f>
        <v>134637.65</v>
      </c>
      <c r="F18" s="1037">
        <f>+'161 Clerk'!G41</f>
        <v>142245.75999999998</v>
      </c>
      <c r="G18" s="1037">
        <f>+'161 Clerk'!H41</f>
        <v>134774.06</v>
      </c>
      <c r="H18" s="1037">
        <f>+'161 Clerk'!I41</f>
        <v>164798.6</v>
      </c>
      <c r="I18" s="1037">
        <f>+'161 Clerk'!J41</f>
        <v>152976.47999999998</v>
      </c>
      <c r="J18" s="1037">
        <f>+'161 Clerk'!L41</f>
        <v>163415.98000000001</v>
      </c>
      <c r="K18" s="1037">
        <f>+'Working Budget with funding det'!Q50</f>
        <v>243041</v>
      </c>
      <c r="L18" s="1037">
        <f>+'Working Budget with funding det'!R50</f>
        <v>237224</v>
      </c>
      <c r="M18" s="1037">
        <f>+'Working Budget with funding det'!S50</f>
        <v>237224</v>
      </c>
      <c r="N18" s="1037">
        <f>+M18-K18</f>
        <v>-5817</v>
      </c>
      <c r="O18" s="1040">
        <f>ROUND((+N18/K18),4)</f>
        <v>-2.3900000000000001E-2</v>
      </c>
      <c r="P18" s="947" t="s">
        <v>2474</v>
      </c>
    </row>
    <row r="19" spans="1:16" ht="14.4" x14ac:dyDescent="0.3">
      <c r="A19" s="740">
        <f>+'Working Budget with funding det'!A51</f>
        <v>175</v>
      </c>
      <c r="B19" s="1036" t="str">
        <f>+'Working Budget with funding det'!B51</f>
        <v>PLANNING</v>
      </c>
      <c r="C19" s="1037">
        <f>+'175 Planning'!C32</f>
        <v>64295.68</v>
      </c>
      <c r="D19" s="1037">
        <f>+'175 Planning'!D32</f>
        <v>74043.48</v>
      </c>
      <c r="E19" s="1037">
        <f>+'175 Planning'!E32</f>
        <v>76609.999999999985</v>
      </c>
      <c r="F19" s="1037">
        <f>+'175 Planning'!G32</f>
        <v>85614.25</v>
      </c>
      <c r="G19" s="1037">
        <f>+'175 Planning'!H32</f>
        <v>89106.83</v>
      </c>
      <c r="H19" s="1037">
        <f>+'175 Planning'!I32</f>
        <v>113367.35999999999</v>
      </c>
      <c r="I19" s="1037">
        <f>+'175 Planning'!J32</f>
        <v>123363.51</v>
      </c>
      <c r="J19" s="1037">
        <f>+'175 Planning'!L32</f>
        <v>119134.15999999999</v>
      </c>
      <c r="K19" s="1037">
        <f>+'Working Budget with funding det'!Q51</f>
        <v>134429</v>
      </c>
      <c r="L19" s="1037">
        <f>+'Working Budget with funding det'!R51</f>
        <v>140788</v>
      </c>
      <c r="M19" s="1037">
        <f>+'Working Budget with funding det'!S51</f>
        <v>140788</v>
      </c>
      <c r="N19" s="1037">
        <f>+M19-K19</f>
        <v>6359</v>
      </c>
      <c r="O19" s="1040">
        <f>ROUND((+N19/K19),4)</f>
        <v>4.7300000000000002E-2</v>
      </c>
      <c r="P19" s="947" t="s">
        <v>2475</v>
      </c>
    </row>
    <row r="20" spans="1:16" ht="14.4" x14ac:dyDescent="0.3">
      <c r="A20" s="740">
        <f>+'Working Budget with funding det'!A52</f>
        <v>176</v>
      </c>
      <c r="B20" s="1036" t="str">
        <f>+'Working Budget with funding det'!B52</f>
        <v>ZONING BOARD OF APPEALS</v>
      </c>
      <c r="C20" s="1037">
        <f>+'176 ZBA'!C18</f>
        <v>3437.02</v>
      </c>
      <c r="D20" s="1037">
        <f>+'176 ZBA'!D18</f>
        <v>1079.7</v>
      </c>
      <c r="E20" s="1037">
        <f>+'176 ZBA'!E18</f>
        <v>1238.56</v>
      </c>
      <c r="F20" s="1037">
        <f>+'176 ZBA'!G18</f>
        <v>2086.86</v>
      </c>
      <c r="G20" s="1037">
        <f>+'176 ZBA'!H18</f>
        <v>3065.5</v>
      </c>
      <c r="H20" s="1037">
        <f>+'176 ZBA'!I18</f>
        <v>611.48</v>
      </c>
      <c r="I20" s="1037">
        <f>+'176 ZBA'!J18</f>
        <v>789.57</v>
      </c>
      <c r="J20" s="1037">
        <f>+'176 ZBA'!L18</f>
        <v>214.56</v>
      </c>
      <c r="K20" s="1037">
        <f>+'Working Budget with funding det'!Q52</f>
        <v>700</v>
      </c>
      <c r="L20" s="1037">
        <f>+'Working Budget with funding det'!R52</f>
        <v>700</v>
      </c>
      <c r="M20" s="1037">
        <f>+'Working Budget with funding det'!S52</f>
        <v>700</v>
      </c>
      <c r="N20" s="1037">
        <f>+M20-K20</f>
        <v>0</v>
      </c>
      <c r="O20" s="1040">
        <f>ROUND((+N20/K20),4)</f>
        <v>0</v>
      </c>
    </row>
    <row r="21" spans="1:16" ht="14.4" x14ac:dyDescent="0.3">
      <c r="A21" s="740">
        <f>+'Working Budget with funding det'!A53</f>
        <v>190</v>
      </c>
      <c r="B21" s="1036" t="str">
        <f>+'Working Budget with funding det'!B53</f>
        <v>PUBLIC BLDG UTILITIES</v>
      </c>
      <c r="C21" s="1041">
        <f>+'190 Publ Bldg Utilities'!C41</f>
        <v>89938.37</v>
      </c>
      <c r="D21" s="1041">
        <f>+'190 Publ Bldg Utilities'!D41</f>
        <v>103744.03</v>
      </c>
      <c r="E21" s="1041">
        <f>+'190 Publ Bldg Utilities'!E41</f>
        <v>94949.29</v>
      </c>
      <c r="F21" s="1041">
        <f>+'190 Publ Bldg Utilities'!G41</f>
        <v>86631.79</v>
      </c>
      <c r="G21" s="1041">
        <f>+'190 Publ Bldg Utilities'!H41</f>
        <v>88374.909999999974</v>
      </c>
      <c r="H21" s="1041">
        <f>+'190 Publ Bldg Utilities'!I41</f>
        <v>92714.789999999964</v>
      </c>
      <c r="I21" s="1041">
        <f>+'190 Publ Bldg Utilities'!J41</f>
        <v>77501.360000000015</v>
      </c>
      <c r="J21" s="1041">
        <f>+'190 Publ Bldg Utilities'!L41</f>
        <v>85460.26</v>
      </c>
      <c r="K21" s="1037">
        <f>+'Working Budget with funding det'!Q53</f>
        <v>155932</v>
      </c>
      <c r="L21" s="1037">
        <f>+'Working Budget with funding det'!R53</f>
        <v>140050</v>
      </c>
      <c r="M21" s="1037">
        <f>+'Working Budget with funding det'!S53</f>
        <v>140050</v>
      </c>
      <c r="N21" s="1037">
        <f>+M21-K21</f>
        <v>-15882</v>
      </c>
      <c r="O21" s="1040">
        <f>ROUND((+N21/K21),4)</f>
        <v>-0.1019</v>
      </c>
      <c r="P21" s="947" t="s">
        <v>2476</v>
      </c>
    </row>
    <row r="22" spans="1:16" ht="14.4" x14ac:dyDescent="0.3">
      <c r="A22" s="740">
        <v>197</v>
      </c>
      <c r="B22" s="1036" t="s">
        <v>1938</v>
      </c>
      <c r="C22" s="1037">
        <f>+'197 Farm Mkt'!C17</f>
        <v>0</v>
      </c>
      <c r="D22" s="1037">
        <f>+'197 Farm Mkt'!D17</f>
        <v>0</v>
      </c>
      <c r="E22" s="1037">
        <f>+'197 Farm Mkt'!E17</f>
        <v>0</v>
      </c>
      <c r="F22" s="1037">
        <f>+'197 Farm Mkt'!G17</f>
        <v>0</v>
      </c>
      <c r="G22" s="1037">
        <f>+'197 Farm Mkt'!H17</f>
        <v>0</v>
      </c>
      <c r="H22" s="1037">
        <f>+'197 Farm Mkt'!I17</f>
        <v>0</v>
      </c>
      <c r="I22" s="1037">
        <f>+'197 Farm Mkt'!J17</f>
        <v>0</v>
      </c>
      <c r="J22" s="1037">
        <f>+'197 Farm Mkt'!L17</f>
        <v>0</v>
      </c>
      <c r="K22" s="1041">
        <f>+'Working Budget with funding det'!Q54</f>
        <v>5000</v>
      </c>
      <c r="L22" s="1041">
        <f>+'Working Budget with funding det'!R54</f>
        <v>5200</v>
      </c>
      <c r="M22" s="1041">
        <f>+'Working Budget with funding det'!S54</f>
        <v>5200</v>
      </c>
      <c r="N22" s="1041">
        <f>+M22-K22</f>
        <v>200</v>
      </c>
      <c r="O22" s="1042">
        <f>ROUND((+N22/K22),4)</f>
        <v>0.04</v>
      </c>
      <c r="P22" s="947" t="s">
        <v>2477</v>
      </c>
    </row>
    <row r="23" spans="1:16" ht="14.4" x14ac:dyDescent="0.3">
      <c r="A23" s="740"/>
      <c r="B23" s="1036" t="s">
        <v>1849</v>
      </c>
      <c r="C23" s="1037">
        <f t="shared" ref="C23:M23" si="0">SUM(C8:C22)</f>
        <v>1008681.63</v>
      </c>
      <c r="D23" s="1037">
        <f t="shared" si="0"/>
        <v>1002859.89</v>
      </c>
      <c r="E23" s="1037">
        <f t="shared" si="0"/>
        <v>1102099.54</v>
      </c>
      <c r="F23" s="1037">
        <f t="shared" si="0"/>
        <v>1194751.9800000002</v>
      </c>
      <c r="G23" s="1037">
        <f t="shared" si="0"/>
        <v>1187643.3699999999</v>
      </c>
      <c r="H23" s="1037">
        <f t="shared" si="0"/>
        <v>1213131.75</v>
      </c>
      <c r="I23" s="1037">
        <f t="shared" si="0"/>
        <v>1217538.6300000001</v>
      </c>
      <c r="J23" s="1037">
        <f t="shared" si="0"/>
        <v>1236874.22</v>
      </c>
      <c r="K23" s="1037">
        <f t="shared" si="0"/>
        <v>1682419</v>
      </c>
      <c r="L23" s="1037">
        <f t="shared" si="0"/>
        <v>1663222</v>
      </c>
      <c r="M23" s="1037">
        <f t="shared" si="0"/>
        <v>1663222</v>
      </c>
      <c r="N23" s="1037">
        <f>+M23-K23</f>
        <v>-19197</v>
      </c>
      <c r="O23" s="1040">
        <f>ROUND((+N23/K23),4)</f>
        <v>-1.14E-2</v>
      </c>
    </row>
    <row r="24" spans="1:16" ht="14.4" x14ac:dyDescent="0.3">
      <c r="A24" s="740"/>
      <c r="B24" s="1036"/>
      <c r="C24" s="1037"/>
      <c r="D24" s="1037"/>
      <c r="E24" s="1037"/>
      <c r="F24" s="1037"/>
      <c r="G24" s="1037"/>
      <c r="H24" s="1037"/>
      <c r="I24" s="1037"/>
      <c r="J24" s="1037"/>
      <c r="K24" s="1037"/>
      <c r="L24" s="1037"/>
      <c r="M24" s="1037"/>
      <c r="N24" s="1036"/>
      <c r="O24" s="1036"/>
    </row>
    <row r="25" spans="1:16" ht="14.4" x14ac:dyDescent="0.3">
      <c r="A25" s="740"/>
      <c r="B25" s="1036" t="str">
        <f>+'Working Budget with funding det'!B58</f>
        <v>PUBLIC SAFETY</v>
      </c>
      <c r="C25" s="1037"/>
      <c r="D25" s="1037"/>
      <c r="E25" s="1037"/>
      <c r="F25" s="1037"/>
      <c r="G25" s="1037"/>
      <c r="H25" s="1037"/>
      <c r="I25" s="1037"/>
      <c r="J25" s="1037"/>
      <c r="K25" s="1037"/>
      <c r="L25" s="1037"/>
      <c r="M25" s="1037"/>
      <c r="N25" s="1036"/>
      <c r="O25" s="1036"/>
    </row>
    <row r="26" spans="1:16" ht="14.4" x14ac:dyDescent="0.3">
      <c r="A26" s="740">
        <f>+'Working Budget with funding det'!A59</f>
        <v>211</v>
      </c>
      <c r="B26" s="1036" t="str">
        <f>+'Working Budget with funding det'!B59</f>
        <v>POLICE</v>
      </c>
      <c r="C26" s="1037">
        <f>+'211 Police'!C59-C27</f>
        <v>1203014.26</v>
      </c>
      <c r="D26" s="1037">
        <f>+'211 Police'!D59-D27</f>
        <v>1263124.29</v>
      </c>
      <c r="E26" s="1037">
        <f>+'211 Police'!E59-E27</f>
        <v>1370950.0999999999</v>
      </c>
      <c r="F26" s="1037">
        <f>+'211 Police'!G59-F27</f>
        <v>1470652.1500000001</v>
      </c>
      <c r="G26" s="1037">
        <f>+'211 Police'!H59-G27</f>
        <v>1309212.4100000001</v>
      </c>
      <c r="H26" s="1037">
        <f>+'211 Police'!I59-H27</f>
        <v>1550896.98</v>
      </c>
      <c r="I26" s="1037">
        <f>+'211 Police'!J59-I27</f>
        <v>1595325.69</v>
      </c>
      <c r="J26" s="1043">
        <f>+'211 Police'!L59-J27</f>
        <v>1627631.8900000001</v>
      </c>
      <c r="K26" s="1043">
        <f>+'Working Budget with funding det'!Q59</f>
        <v>1970054</v>
      </c>
      <c r="L26" s="1043">
        <f>+'Working Budget with funding det'!R59</f>
        <v>2067608</v>
      </c>
      <c r="M26" s="1043">
        <f>+'Working Budget with funding det'!S59</f>
        <v>2067608.105</v>
      </c>
      <c r="N26" s="1037">
        <f>+M26-K26</f>
        <v>97554.104999999981</v>
      </c>
      <c r="O26" s="1040">
        <f>ROUND((+N26/K26),4)</f>
        <v>4.9500000000000002E-2</v>
      </c>
      <c r="P26" s="947" t="s">
        <v>2475</v>
      </c>
    </row>
    <row r="27" spans="1:16" ht="14.4" x14ac:dyDescent="0.3">
      <c r="A27" s="740">
        <v>211</v>
      </c>
      <c r="B27" s="1036" t="s">
        <v>531</v>
      </c>
      <c r="C27" s="1037">
        <f>+'211 Police'!C57</f>
        <v>36895.4</v>
      </c>
      <c r="D27" s="1037">
        <f>+'211 Police'!D57</f>
        <v>39483.5</v>
      </c>
      <c r="E27" s="1037">
        <f>+'211 Police'!E57</f>
        <v>39102.5</v>
      </c>
      <c r="F27" s="1037">
        <f>+'211 Police'!G57</f>
        <v>39500</v>
      </c>
      <c r="G27" s="1037">
        <f>+'211 Police'!H57</f>
        <v>41424</v>
      </c>
      <c r="H27" s="1037">
        <f>+'211 Police'!I57</f>
        <v>34000</v>
      </c>
      <c r="I27" s="1037">
        <f>+'211 Police'!J57</f>
        <v>51600</v>
      </c>
      <c r="J27" s="1037">
        <f>+'211 Police'!L57</f>
        <v>22900</v>
      </c>
      <c r="K27" s="1043">
        <f>+'Working Budget with funding det'!Q60</f>
        <v>68100</v>
      </c>
      <c r="L27" s="1043">
        <f>+'Working Budget with funding det'!R60</f>
        <v>60000</v>
      </c>
      <c r="M27" s="1043">
        <f>+'Working Budget with funding det'!S60</f>
        <v>60000</v>
      </c>
      <c r="N27" s="1037">
        <f>+M27-K27</f>
        <v>-8100</v>
      </c>
      <c r="O27" s="1040">
        <f>ROUND((+N27/K27),4)</f>
        <v>-0.11890000000000001</v>
      </c>
    </row>
    <row r="28" spans="1:16" ht="14.4" x14ac:dyDescent="0.3">
      <c r="A28" s="740">
        <f>+'Working Budget with funding det'!A61</f>
        <v>212</v>
      </c>
      <c r="B28" s="1036" t="str">
        <f>+'Working Budget with funding det'!B61</f>
        <v>DISPATCH</v>
      </c>
      <c r="C28" s="1037">
        <f>+'212 Dispatch'!C26</f>
        <v>219830.37</v>
      </c>
      <c r="D28" s="1037">
        <f>+'212 Dispatch'!D26</f>
        <v>247066.76000000004</v>
      </c>
      <c r="E28" s="1037">
        <f>+'212 Dispatch'!E26</f>
        <v>261015.62</v>
      </c>
      <c r="F28" s="1037">
        <f>+'212 Dispatch'!G26</f>
        <v>268261.88000000006</v>
      </c>
      <c r="G28" s="1037">
        <f>+'212 Dispatch'!H26</f>
        <v>297260.07</v>
      </c>
      <c r="H28" s="1037">
        <f>+'212 Dispatch'!I26</f>
        <v>299708.75999999995</v>
      </c>
      <c r="I28" s="1037">
        <f>+'212 Dispatch'!J26</f>
        <v>313079.05999999994</v>
      </c>
      <c r="J28" s="1037">
        <f>+'212 Dispatch'!L26</f>
        <v>286236</v>
      </c>
      <c r="K28" s="1043">
        <f>+'Working Budget with funding det'!Q61</f>
        <v>395588</v>
      </c>
      <c r="L28" s="1043">
        <f>+'Working Budget with funding det'!R61</f>
        <v>410768</v>
      </c>
      <c r="M28" s="1043">
        <f>+'Working Budget with funding det'!S61</f>
        <v>410768</v>
      </c>
      <c r="N28" s="1037">
        <f>+M28-K28</f>
        <v>15180</v>
      </c>
      <c r="O28" s="1040">
        <f>ROUND((+N28/K28),4)</f>
        <v>3.8399999999999997E-2</v>
      </c>
      <c r="P28" s="947" t="s">
        <v>2475</v>
      </c>
    </row>
    <row r="29" spans="1:16" ht="14.4" hidden="1" x14ac:dyDescent="0.3">
      <c r="A29" s="1360" t="s">
        <v>1840</v>
      </c>
      <c r="B29" s="1360"/>
      <c r="C29" s="1360"/>
      <c r="D29" s="1360"/>
      <c r="E29" s="1360"/>
      <c r="F29" s="1360"/>
      <c r="G29" s="1360"/>
      <c r="H29" s="1360"/>
      <c r="I29" s="1360"/>
      <c r="J29" s="1360"/>
      <c r="K29" s="1360"/>
      <c r="L29" s="1360"/>
      <c r="M29" s="1360"/>
      <c r="N29" s="1360"/>
      <c r="O29" s="1360"/>
    </row>
    <row r="30" spans="1:16" ht="14.4" hidden="1" x14ac:dyDescent="0.3">
      <c r="A30" s="1360" t="s">
        <v>1841</v>
      </c>
      <c r="B30" s="1360"/>
      <c r="C30" s="1360"/>
      <c r="D30" s="1360"/>
      <c r="E30" s="1360"/>
      <c r="F30" s="1360"/>
      <c r="G30" s="1360"/>
      <c r="H30" s="1360"/>
      <c r="I30" s="1360"/>
      <c r="J30" s="1360"/>
      <c r="K30" s="1360"/>
      <c r="L30" s="1360"/>
      <c r="M30" s="1360"/>
      <c r="N30" s="1360"/>
      <c r="O30" s="1360"/>
    </row>
    <row r="31" spans="1:16" ht="14.4" hidden="1" x14ac:dyDescent="0.3">
      <c r="A31" s="740"/>
      <c r="B31" s="1036"/>
      <c r="C31" s="1037"/>
      <c r="D31" s="1037"/>
      <c r="E31" s="1037"/>
      <c r="F31" s="1037"/>
      <c r="G31" s="1037"/>
      <c r="H31" s="1037"/>
      <c r="I31" s="1037"/>
      <c r="J31" s="1037"/>
      <c r="K31" s="1037"/>
      <c r="L31" s="1037"/>
      <c r="M31" s="1038" t="s">
        <v>514</v>
      </c>
      <c r="N31" s="1036"/>
      <c r="O31" s="1036"/>
    </row>
    <row r="32" spans="1:16" ht="14.4" hidden="1" x14ac:dyDescent="0.3">
      <c r="A32" s="740"/>
      <c r="B32" s="1036"/>
      <c r="C32" s="1037"/>
      <c r="D32" s="1037"/>
      <c r="E32" s="1037"/>
      <c r="F32" s="1037"/>
      <c r="G32" s="1037"/>
      <c r="H32" s="1037"/>
      <c r="I32" s="1037"/>
      <c r="J32" s="1037"/>
      <c r="K32" s="1037"/>
      <c r="L32" s="1037"/>
      <c r="M32" s="1038" t="s">
        <v>1842</v>
      </c>
      <c r="N32" s="1036"/>
      <c r="O32" s="1036"/>
    </row>
    <row r="33" spans="1:16" ht="14.4" hidden="1" x14ac:dyDescent="0.3">
      <c r="A33" s="740" t="s">
        <v>1843</v>
      </c>
      <c r="B33" s="1036"/>
      <c r="C33" s="1038" t="s">
        <v>1844</v>
      </c>
      <c r="D33" s="1038" t="s">
        <v>1844</v>
      </c>
      <c r="E33" s="1038" t="s">
        <v>1844</v>
      </c>
      <c r="F33" s="1038" t="s">
        <v>1844</v>
      </c>
      <c r="G33" s="1038" t="s">
        <v>1844</v>
      </c>
      <c r="H33" s="1038" t="s">
        <v>1844</v>
      </c>
      <c r="I33" s="1038" t="s">
        <v>1844</v>
      </c>
      <c r="J33" s="1038" t="s">
        <v>1844</v>
      </c>
      <c r="K33" s="1038" t="s">
        <v>1845</v>
      </c>
      <c r="L33" s="1038" t="s">
        <v>1846</v>
      </c>
      <c r="M33" s="1038" t="s">
        <v>1847</v>
      </c>
      <c r="N33" s="1038" t="s">
        <v>730</v>
      </c>
      <c r="O33" s="1038" t="s">
        <v>731</v>
      </c>
    </row>
    <row r="34" spans="1:16" ht="14.4" hidden="1" x14ac:dyDescent="0.3">
      <c r="A34" s="740" t="s">
        <v>1848</v>
      </c>
      <c r="B34" s="1036"/>
      <c r="C34" s="1038" t="s">
        <v>461</v>
      </c>
      <c r="D34" s="1038" t="s">
        <v>462</v>
      </c>
      <c r="E34" s="1038" t="s">
        <v>1141</v>
      </c>
      <c r="F34" s="1038" t="s">
        <v>465</v>
      </c>
      <c r="G34" s="1038" t="s">
        <v>466</v>
      </c>
      <c r="H34" s="1038" t="s">
        <v>467</v>
      </c>
      <c r="I34" s="1038" t="s">
        <v>468</v>
      </c>
      <c r="J34" s="1038" t="s">
        <v>251</v>
      </c>
      <c r="K34" s="1038" t="s">
        <v>469</v>
      </c>
      <c r="L34" s="1038" t="s">
        <v>1345</v>
      </c>
      <c r="M34" s="1038" t="s">
        <v>1345</v>
      </c>
      <c r="N34" s="1039" t="s">
        <v>380</v>
      </c>
      <c r="O34" s="1039" t="s">
        <v>380</v>
      </c>
    </row>
    <row r="35" spans="1:16" ht="14.4" hidden="1" x14ac:dyDescent="0.3">
      <c r="A35" s="740"/>
      <c r="B35" s="1036" t="s">
        <v>529</v>
      </c>
      <c r="C35" s="1037"/>
      <c r="D35" s="1037"/>
      <c r="E35" s="1037"/>
      <c r="F35" s="1037"/>
      <c r="G35" s="1037"/>
      <c r="H35" s="1037"/>
      <c r="I35" s="1037"/>
      <c r="J35" s="1037"/>
      <c r="K35" s="1037"/>
      <c r="L35" s="1037"/>
      <c r="M35" s="1037"/>
      <c r="N35" s="1037"/>
      <c r="O35" s="1040"/>
    </row>
    <row r="36" spans="1:16" ht="14.4" x14ac:dyDescent="0.3">
      <c r="A36" s="740">
        <f>+'Working Budget with funding det'!A62</f>
        <v>241</v>
      </c>
      <c r="B36" s="1036" t="str">
        <f>+'Working Budget with funding det'!B62</f>
        <v>BUILDING INSPECTOR</v>
      </c>
      <c r="C36" s="1037">
        <f>+'241 Bldg'!C35</f>
        <v>111725.37000000001</v>
      </c>
      <c r="D36" s="1037">
        <f>+'241 Bldg'!D35</f>
        <v>114463.61999999998</v>
      </c>
      <c r="E36" s="1037">
        <f>+'241 Bldg'!E35</f>
        <v>118337.56</v>
      </c>
      <c r="F36" s="1037">
        <f>+'241 Bldg'!G35</f>
        <v>124191.90999999999</v>
      </c>
      <c r="G36" s="1037">
        <f>+'241 Bldg'!H35</f>
        <v>142151.04999999999</v>
      </c>
      <c r="H36" s="1037">
        <f>+'241 Bldg'!I35</f>
        <v>124218.98</v>
      </c>
      <c r="I36" s="1037">
        <f>+'241 Bldg'!J35</f>
        <v>135195.35999999999</v>
      </c>
      <c r="J36" s="1037">
        <f>+'241 Bldg'!L35</f>
        <v>139843.77000000002</v>
      </c>
      <c r="K36" s="1037">
        <f>+'Working Budget with funding det'!Q62</f>
        <v>148621</v>
      </c>
      <c r="L36" s="1037">
        <f>+'Working Budget with funding det'!R62</f>
        <v>155082</v>
      </c>
      <c r="M36" s="1037">
        <f>+'Working Budget with funding det'!S62</f>
        <v>155082</v>
      </c>
      <c r="N36" s="1037">
        <f>+M36-K36</f>
        <v>6461</v>
      </c>
      <c r="O36" s="1040">
        <f>ROUND((+N36/K36),4)</f>
        <v>4.3499999999999997E-2</v>
      </c>
      <c r="P36" s="947" t="s">
        <v>2478</v>
      </c>
    </row>
    <row r="37" spans="1:16" ht="14.4" x14ac:dyDescent="0.3">
      <c r="A37" s="740">
        <f>+'Working Budget with funding det'!A63</f>
        <v>244</v>
      </c>
      <c r="B37" s="1036" t="str">
        <f>+'Working Budget with funding det'!B63</f>
        <v xml:space="preserve">SEALER OF WEIGHTS </v>
      </c>
      <c r="C37" s="1037">
        <f>+'244 Sealer'!C12</f>
        <v>2750</v>
      </c>
      <c r="D37" s="1037">
        <f>+'244 Sealer'!D12</f>
        <v>2750</v>
      </c>
      <c r="E37" s="1037">
        <f>+'244 Sealer'!E12</f>
        <v>2750</v>
      </c>
      <c r="F37" s="1037">
        <f>+'244 Sealer'!G12</f>
        <v>2750</v>
      </c>
      <c r="G37" s="1037">
        <f>+'244 Sealer'!H12</f>
        <v>2750</v>
      </c>
      <c r="H37" s="1037">
        <f>+'244 Sealer'!I12</f>
        <v>2750</v>
      </c>
      <c r="I37" s="1037">
        <f>+'244 Sealer'!J12</f>
        <v>2750</v>
      </c>
      <c r="J37" s="1037">
        <f>+'244 Sealer'!L12</f>
        <v>2750</v>
      </c>
      <c r="K37" s="1037">
        <f>+'Working Budget with funding det'!Q63</f>
        <v>7182</v>
      </c>
      <c r="L37" s="1037">
        <f>+'Working Budget with funding det'!R63</f>
        <v>7182</v>
      </c>
      <c r="M37" s="1037">
        <f>+'Working Budget with funding det'!S63</f>
        <v>7182</v>
      </c>
      <c r="N37" s="1037">
        <f>+M37-K37</f>
        <v>0</v>
      </c>
      <c r="O37" s="1040">
        <f>ROUND((+N37/K37),4)</f>
        <v>0</v>
      </c>
    </row>
    <row r="38" spans="1:16" ht="14.4" x14ac:dyDescent="0.3">
      <c r="A38" s="740">
        <f>+'Working Budget with funding det'!A64</f>
        <v>291</v>
      </c>
      <c r="B38" s="1036" t="str">
        <f>+'Working Budget with funding det'!B64</f>
        <v>EMERGENCY MANAGEMENT</v>
      </c>
      <c r="C38" s="1037">
        <f>+'291 Emergency'!C16</f>
        <v>5490</v>
      </c>
      <c r="D38" s="1037">
        <f>+'291 Emergency'!D16</f>
        <v>5590</v>
      </c>
      <c r="E38" s="1037">
        <f>+'291 Emergency'!E16</f>
        <v>5590</v>
      </c>
      <c r="F38" s="1037">
        <f>+'291 Emergency'!G16</f>
        <v>5490</v>
      </c>
      <c r="G38" s="1037">
        <f>+'291 Emergency'!H16</f>
        <v>5490</v>
      </c>
      <c r="H38" s="1037">
        <f>+'291 Emergency'!I16</f>
        <v>5490</v>
      </c>
      <c r="I38" s="1037">
        <f>+'291 Emergency'!J16</f>
        <v>5765</v>
      </c>
      <c r="J38" s="1037">
        <f>+'291 Emergency'!L16</f>
        <v>5765</v>
      </c>
      <c r="K38" s="1037">
        <f>+'Working Budget with funding det'!Q64</f>
        <v>6265</v>
      </c>
      <c r="L38" s="1037">
        <f>+'Working Budget with funding det'!R64</f>
        <v>6944</v>
      </c>
      <c r="M38" s="1037">
        <f>+'Working Budget with funding det'!S64</f>
        <v>6944</v>
      </c>
      <c r="N38" s="1037">
        <f>+M38-K38</f>
        <v>679</v>
      </c>
      <c r="O38" s="1040">
        <f>ROUND((+N38/K38),4)</f>
        <v>0.1084</v>
      </c>
      <c r="P38" s="947" t="s">
        <v>2475</v>
      </c>
    </row>
    <row r="39" spans="1:16" ht="14.4" x14ac:dyDescent="0.3">
      <c r="A39" s="740">
        <f>+'Working Budget with funding det'!A65</f>
        <v>292</v>
      </c>
      <c r="B39" s="1036" t="str">
        <f>+'Working Budget with funding det'!B65</f>
        <v>ANIMAL CONTROL</v>
      </c>
      <c r="C39" s="1037">
        <f>+'292 Animal'!C21</f>
        <v>3869.81</v>
      </c>
      <c r="D39" s="1037">
        <f>+'292 Animal'!D21</f>
        <v>12240.720000000001</v>
      </c>
      <c r="E39" s="1037">
        <f>+'292 Animal'!E21</f>
        <v>16352.41</v>
      </c>
      <c r="F39" s="1037">
        <f>+'292 Animal'!G21</f>
        <v>17994.600000000002</v>
      </c>
      <c r="G39" s="1037">
        <f>+'292 Animal'!H21</f>
        <v>26165.239999999998</v>
      </c>
      <c r="H39" s="1037">
        <f>+'292 Animal'!I21</f>
        <v>19156.59</v>
      </c>
      <c r="I39" s="1037">
        <f>+'292 Animal'!J21</f>
        <v>20200.080000000002</v>
      </c>
      <c r="J39" s="1037">
        <f>+'292 Animal'!L21</f>
        <v>20141.48</v>
      </c>
      <c r="K39" s="1037">
        <f>+'Working Budget with funding det'!Q65</f>
        <v>23112</v>
      </c>
      <c r="L39" s="1037">
        <f>+'Working Budget with funding det'!R65</f>
        <v>23658</v>
      </c>
      <c r="M39" s="1037">
        <f>+'Working Budget with funding det'!S65</f>
        <v>23658</v>
      </c>
      <c r="N39" s="1037">
        <f>+M39-K39</f>
        <v>546</v>
      </c>
      <c r="O39" s="1040">
        <f>ROUND((+N39/K39),4)</f>
        <v>2.3599999999999999E-2</v>
      </c>
      <c r="P39" s="947" t="s">
        <v>2450</v>
      </c>
    </row>
    <row r="40" spans="1:16" ht="14.4" x14ac:dyDescent="0.3">
      <c r="A40" s="740">
        <f>+'Working Budget with funding det'!A67</f>
        <v>294</v>
      </c>
      <c r="B40" s="1036" t="str">
        <f>+'Working Budget with funding det'!B67</f>
        <v>FOREST WARDEN</v>
      </c>
      <c r="C40" s="1037">
        <f>+'294 Forest Warden'!C12</f>
        <v>1584</v>
      </c>
      <c r="D40" s="1037">
        <f>+'294 Forest Warden'!D12</f>
        <v>1631</v>
      </c>
      <c r="E40" s="1037">
        <f>+'294 Forest Warden'!E12</f>
        <v>1631</v>
      </c>
      <c r="F40" s="1037">
        <f>+'294 Forest Warden'!G12</f>
        <v>1631</v>
      </c>
      <c r="G40" s="1037">
        <f>+'294 Forest Warden'!H12</f>
        <v>1631</v>
      </c>
      <c r="H40" s="1037">
        <f>+'294 Forest Warden'!I12</f>
        <v>1631</v>
      </c>
      <c r="I40" s="1037">
        <f>+'294 Forest Warden'!J12</f>
        <v>1710</v>
      </c>
      <c r="J40" s="1037">
        <f>+'294 Forest Warden'!L12</f>
        <v>1710</v>
      </c>
      <c r="K40" s="1037">
        <f>+'Working Budget with funding det'!Q67</f>
        <v>1710</v>
      </c>
      <c r="L40" s="1037">
        <f>+'Working Budget with funding det'!R67</f>
        <v>1882</v>
      </c>
      <c r="M40" s="1037">
        <f>+'Working Budget with funding det'!S67</f>
        <v>1882</v>
      </c>
      <c r="N40" s="1037">
        <f>+M40-K40</f>
        <v>172</v>
      </c>
      <c r="O40" s="1040">
        <f>ROUND((+N40/K40),4)</f>
        <v>0.10059999999999999</v>
      </c>
      <c r="P40" s="947" t="s">
        <v>2475</v>
      </c>
    </row>
    <row r="41" spans="1:16" ht="14.4" x14ac:dyDescent="0.3">
      <c r="A41" s="740">
        <f>+'Working Budget with funding det'!A68</f>
        <v>299</v>
      </c>
      <c r="B41" s="1036" t="str">
        <f>+'Working Budget with funding det'!B68</f>
        <v>TREE WARDEN</v>
      </c>
      <c r="C41" s="1041">
        <f>+'299 Tree Warden'!C19</f>
        <v>11817.089999999998</v>
      </c>
      <c r="D41" s="1041">
        <f>+'299 Tree Warden'!D19</f>
        <v>11889.699999999999</v>
      </c>
      <c r="E41" s="1041">
        <f>+'299 Tree Warden'!E19</f>
        <v>12951.44</v>
      </c>
      <c r="F41" s="1041">
        <f>+'299 Tree Warden'!G19</f>
        <v>13716</v>
      </c>
      <c r="G41" s="1041">
        <f>+'299 Tree Warden'!H19</f>
        <v>16680.8</v>
      </c>
      <c r="H41" s="1041">
        <f>+'299 Tree Warden'!I19</f>
        <v>17045.5</v>
      </c>
      <c r="I41" s="1041">
        <f>+'299 Tree Warden'!J19</f>
        <v>15710</v>
      </c>
      <c r="J41" s="1041">
        <f>+'299 Tree Warden'!L19</f>
        <v>19260</v>
      </c>
      <c r="K41" s="1041">
        <f>+'Working Budget with funding det'!Q68</f>
        <v>30285</v>
      </c>
      <c r="L41" s="1041">
        <f>+'Working Budget with funding det'!R68</f>
        <v>30474</v>
      </c>
      <c r="M41" s="1041">
        <f>+'Working Budget with funding det'!S68</f>
        <v>30474</v>
      </c>
      <c r="N41" s="1041">
        <f>+M41-K41</f>
        <v>189</v>
      </c>
      <c r="O41" s="1042">
        <f>ROUND((+N41/K41),4)</f>
        <v>6.1999999999999998E-3</v>
      </c>
      <c r="P41" s="947" t="s">
        <v>2475</v>
      </c>
    </row>
    <row r="42" spans="1:16" ht="14.4" x14ac:dyDescent="0.3">
      <c r="A42" s="740"/>
      <c r="B42" s="1036" t="str">
        <f>+'Working Budget with funding det'!B70</f>
        <v>TOTAL PUBLIC SAFETY</v>
      </c>
      <c r="C42" s="1037">
        <f t="shared" ref="C42:M42" si="1">SUM(C26:C41)</f>
        <v>1596976.3</v>
      </c>
      <c r="D42" s="1037">
        <f t="shared" si="1"/>
        <v>1698239.5899999999</v>
      </c>
      <c r="E42" s="1037">
        <f t="shared" si="1"/>
        <v>1828680.6299999997</v>
      </c>
      <c r="F42" s="1037">
        <f t="shared" si="1"/>
        <v>1944187.5400000003</v>
      </c>
      <c r="G42" s="1037">
        <f t="shared" si="1"/>
        <v>1842764.5700000003</v>
      </c>
      <c r="H42" s="1037">
        <f t="shared" si="1"/>
        <v>2054897.81</v>
      </c>
      <c r="I42" s="1037">
        <f t="shared" si="1"/>
        <v>2141335.19</v>
      </c>
      <c r="J42" s="1037">
        <f t="shared" si="1"/>
        <v>2126238.14</v>
      </c>
      <c r="K42" s="1037">
        <f t="shared" si="1"/>
        <v>2650917</v>
      </c>
      <c r="L42" s="1037">
        <f t="shared" si="1"/>
        <v>2763598</v>
      </c>
      <c r="M42" s="1037">
        <f t="shared" si="1"/>
        <v>2763598.105</v>
      </c>
      <c r="N42" s="1037">
        <f>+M42-K42</f>
        <v>112681.10499999998</v>
      </c>
      <c r="O42" s="1040">
        <f>ROUND((+N42/K42),4)</f>
        <v>4.2500000000000003E-2</v>
      </c>
    </row>
    <row r="43" spans="1:16" ht="14.4" x14ac:dyDescent="0.3">
      <c r="A43" s="740"/>
      <c r="B43" s="1036"/>
      <c r="C43" s="1037"/>
      <c r="D43" s="1037"/>
      <c r="E43" s="1037"/>
      <c r="F43" s="1037"/>
      <c r="G43" s="1037"/>
      <c r="H43" s="1037"/>
      <c r="I43" s="1037"/>
      <c r="J43" s="1037"/>
      <c r="K43" s="1037"/>
      <c r="L43" s="1037"/>
      <c r="M43" s="1037"/>
      <c r="N43" s="1037"/>
      <c r="O43" s="1040"/>
    </row>
    <row r="44" spans="1:16" ht="14.4" x14ac:dyDescent="0.3">
      <c r="A44" s="740"/>
      <c r="B44" s="1036" t="str">
        <f>+'Working Budget with funding det'!B72</f>
        <v>PUBLIC WORKS</v>
      </c>
      <c r="C44" s="1037"/>
      <c r="D44" s="1037"/>
      <c r="E44" s="1037"/>
      <c r="F44" s="1037"/>
      <c r="G44" s="1037"/>
      <c r="H44" s="1037"/>
      <c r="I44" s="1037"/>
      <c r="J44" s="1037"/>
      <c r="K44" s="1037"/>
      <c r="L44" s="1037"/>
      <c r="M44" s="1037"/>
      <c r="N44" s="1036"/>
      <c r="O44" s="1036"/>
    </row>
    <row r="45" spans="1:16" ht="14.4" x14ac:dyDescent="0.3">
      <c r="A45" s="740">
        <f>+'Working Budget with funding det'!A73</f>
        <v>420</v>
      </c>
      <c r="B45" s="1036" t="str">
        <f>+'Working Budget with funding det'!B73</f>
        <v>DEPT OF PUBLIC WORKS</v>
      </c>
      <c r="C45" s="1037">
        <f>+'420 DPW'!C61</f>
        <v>961847.43</v>
      </c>
      <c r="D45" s="1037">
        <f>+'420 DPW'!D61</f>
        <v>1059583.8599999999</v>
      </c>
      <c r="E45" s="1037">
        <f>+'420 DPW'!E61</f>
        <v>1131643.6700000004</v>
      </c>
      <c r="F45" s="1037">
        <f>+'420 DPW'!G61</f>
        <v>1120246.68</v>
      </c>
      <c r="G45" s="1037">
        <f>+'420 DPW'!H61</f>
        <v>1203442.93</v>
      </c>
      <c r="H45" s="1037">
        <f>+'420 DPW'!I61</f>
        <v>1313961.4099999999</v>
      </c>
      <c r="I45" s="1037">
        <f>+'420 DPW'!J61</f>
        <v>1376050.41</v>
      </c>
      <c r="J45" s="1037">
        <f>+'420 DPW'!L56+'420 DPW'!L17</f>
        <v>1353859.55</v>
      </c>
      <c r="K45" s="1037">
        <f>+'Working Budget with funding det'!Q73</f>
        <v>1747506</v>
      </c>
      <c r="L45" s="1037">
        <f>+'Working Budget with funding det'!R73</f>
        <v>1772006</v>
      </c>
      <c r="M45" s="1037">
        <f>+'Working Budget with funding det'!S73</f>
        <v>1772005.5</v>
      </c>
      <c r="N45" s="1037">
        <f>+M45-K45</f>
        <v>24499.5</v>
      </c>
      <c r="O45" s="1040">
        <f>ROUND((+N45/K45),4)</f>
        <v>1.4E-2</v>
      </c>
      <c r="P45" s="947" t="s">
        <v>2475</v>
      </c>
    </row>
    <row r="46" spans="1:16" ht="14.4" hidden="1" x14ac:dyDescent="0.3">
      <c r="A46" s="740">
        <v>420</v>
      </c>
      <c r="B46" s="1036" t="s">
        <v>1850</v>
      </c>
      <c r="C46" s="1037"/>
      <c r="D46" s="1037"/>
      <c r="E46" s="1037"/>
      <c r="F46" s="1037"/>
      <c r="G46" s="1037"/>
      <c r="H46" s="1037"/>
      <c r="I46" s="1037"/>
      <c r="J46" s="1037">
        <f>+'420 DPW'!L58</f>
        <v>21320.41</v>
      </c>
      <c r="K46" s="1037">
        <f>+'420 DPW'!O58</f>
        <v>40000</v>
      </c>
      <c r="L46" s="1037">
        <f>+'422 Maintenance'!S53</f>
        <v>0</v>
      </c>
      <c r="M46" s="1037">
        <f>+'422 Maintenance'!U53</f>
        <v>0</v>
      </c>
      <c r="N46" s="1037">
        <f>+M46-K46</f>
        <v>-40000</v>
      </c>
      <c r="O46" s="1040">
        <f>ROUND((+N46/K46),4)</f>
        <v>-1</v>
      </c>
    </row>
    <row r="47" spans="1:16" ht="14.4" x14ac:dyDescent="0.3">
      <c r="A47" s="740">
        <f>+'Working Budget with funding det'!A75</f>
        <v>423</v>
      </c>
      <c r="B47" s="1036" t="str">
        <f>+'Working Budget with funding det'!B75</f>
        <v>SNOW &amp; ICE</v>
      </c>
      <c r="C47" s="1037">
        <f>+'423 Snow'!C20</f>
        <v>160444.29999999999</v>
      </c>
      <c r="D47" s="1037">
        <f>+'423 Snow'!D20</f>
        <v>210140.56</v>
      </c>
      <c r="E47" s="1037">
        <f>+'423 Snow'!E20</f>
        <v>219244.89</v>
      </c>
      <c r="F47" s="1037">
        <f>+'423 Snow'!G20</f>
        <v>205328.90000000002</v>
      </c>
      <c r="G47" s="1037">
        <f>+'423 Snow'!H20</f>
        <v>222597.99</v>
      </c>
      <c r="H47" s="1037">
        <f>+'423 Snow'!I20</f>
        <v>200141.16999999998</v>
      </c>
      <c r="I47" s="1037">
        <f>+'423 Snow'!J20</f>
        <v>183319.78999999998</v>
      </c>
      <c r="J47" s="1037">
        <f>+'423 Snow'!L20</f>
        <v>161279.20000000001</v>
      </c>
      <c r="K47" s="1037">
        <f>+'Working Budget with funding det'!Q75</f>
        <v>311250</v>
      </c>
      <c r="L47" s="1037">
        <f>+'Working Budget with funding det'!R75</f>
        <v>321250</v>
      </c>
      <c r="M47" s="1037">
        <f>+'Working Budget with funding det'!S75</f>
        <v>321250</v>
      </c>
      <c r="N47" s="1037">
        <f>+M47-K47</f>
        <v>10000</v>
      </c>
      <c r="O47" s="1040">
        <f>ROUND((+N47/K47),4)</f>
        <v>3.2099999999999997E-2</v>
      </c>
      <c r="P47" s="947" t="s">
        <v>2480</v>
      </c>
    </row>
    <row r="48" spans="1:16" ht="14.4" x14ac:dyDescent="0.3">
      <c r="A48" s="740">
        <f>+'Working Budget with funding det'!A76</f>
        <v>433</v>
      </c>
      <c r="B48" s="1036" t="str">
        <f>+'Working Budget with funding det'!B76</f>
        <v>SOLID WASTE</v>
      </c>
      <c r="C48" s="1037">
        <f>+'433 Solid Waste'!C27</f>
        <v>429438.93999999994</v>
      </c>
      <c r="D48" s="1037">
        <f>+'433 Solid Waste'!D27</f>
        <v>431107.1</v>
      </c>
      <c r="E48" s="1037">
        <f>+'433 Solid Waste'!E27</f>
        <v>408831.09</v>
      </c>
      <c r="F48" s="1037">
        <f>+'433 Solid Waste'!G27</f>
        <v>424079.87999999995</v>
      </c>
      <c r="G48" s="1037">
        <f>+'433 Solid Waste'!H27</f>
        <v>441302.8</v>
      </c>
      <c r="H48" s="1037">
        <f>+'433 Solid Waste'!I27</f>
        <v>458147.52</v>
      </c>
      <c r="I48" s="1037">
        <f>+'433 Solid Waste'!J27</f>
        <v>517898.2900000001</v>
      </c>
      <c r="J48" s="1037">
        <f>+'433 Solid Waste'!L27</f>
        <v>564292.41999999993</v>
      </c>
      <c r="K48" s="1037">
        <f>+'Working Budget with funding det'!Q76</f>
        <v>679221</v>
      </c>
      <c r="L48" s="1037">
        <f>+'Working Budget with funding det'!R76</f>
        <v>802776</v>
      </c>
      <c r="M48" s="1037">
        <f>+'Working Budget with funding det'!S76</f>
        <v>802776</v>
      </c>
      <c r="N48" s="1037">
        <f>+M48-K48</f>
        <v>123555</v>
      </c>
      <c r="O48" s="1040">
        <f>ROUND((+N48/K48),4)</f>
        <v>0.18190000000000001</v>
      </c>
      <c r="P48" s="947" t="s">
        <v>2481</v>
      </c>
    </row>
    <row r="49" spans="1:16" ht="14.4" x14ac:dyDescent="0.3">
      <c r="A49" s="740">
        <v>480</v>
      </c>
      <c r="B49" s="1036" t="s">
        <v>546</v>
      </c>
      <c r="C49" s="1037"/>
      <c r="D49" s="1037"/>
      <c r="E49" s="1037"/>
      <c r="F49" s="1037"/>
      <c r="G49" s="1037"/>
      <c r="H49" s="1037"/>
      <c r="I49" s="1037"/>
      <c r="J49" s="1037">
        <f>+'480 Charging Stations'!L15</f>
        <v>3227.64</v>
      </c>
      <c r="K49" s="1037">
        <f>+'Working Budget with funding det'!Q77</f>
        <v>7380</v>
      </c>
      <c r="L49" s="1037">
        <f>+'Working Budget with funding det'!R77</f>
        <v>11980</v>
      </c>
      <c r="M49" s="1037">
        <f>+'Working Budget with funding det'!S77</f>
        <v>11980</v>
      </c>
      <c r="N49" s="1037">
        <f>+M49-K49</f>
        <v>4600</v>
      </c>
      <c r="O49" s="1040">
        <f>ROUND((+N49/K49),4)</f>
        <v>0.62329999999999997</v>
      </c>
      <c r="P49" s="947" t="s">
        <v>2482</v>
      </c>
    </row>
    <row r="50" spans="1:16" ht="14.4" x14ac:dyDescent="0.3">
      <c r="A50" s="740">
        <f>+'Working Budget with funding det'!A78</f>
        <v>491</v>
      </c>
      <c r="B50" s="1036" t="str">
        <f>+'Working Budget with funding det'!B78</f>
        <v>CEMETERIES</v>
      </c>
      <c r="C50" s="1041">
        <f>+'491 Cemetery'!C22</f>
        <v>4741</v>
      </c>
      <c r="D50" s="1041">
        <f>+'491 Cemetery'!D22</f>
        <v>2715</v>
      </c>
      <c r="E50" s="1041">
        <f>+'491 Cemetery'!E22</f>
        <v>5850</v>
      </c>
      <c r="F50" s="1041">
        <f>+'491 Cemetery'!G22</f>
        <v>6040</v>
      </c>
      <c r="G50" s="1041">
        <f>+'491 Cemetery'!H22</f>
        <v>5440</v>
      </c>
      <c r="H50" s="1041">
        <f>+'491 Cemetery'!I22</f>
        <v>6955</v>
      </c>
      <c r="I50" s="1041">
        <f>+'491 Cemetery'!J22</f>
        <v>6845</v>
      </c>
      <c r="J50" s="1041">
        <f>+'491 Cemetery'!L22</f>
        <v>3227.64</v>
      </c>
      <c r="K50" s="1041">
        <f>+'Working Budget with funding det'!Q78</f>
        <v>30150</v>
      </c>
      <c r="L50" s="1041">
        <f>+'Working Budget with funding det'!R78</f>
        <v>32150</v>
      </c>
      <c r="M50" s="1041">
        <f>+'Working Budget with funding det'!S78</f>
        <v>32150</v>
      </c>
      <c r="N50" s="1041">
        <f>+M50-K50</f>
        <v>2000</v>
      </c>
      <c r="O50" s="1042">
        <f>ROUND((+N50/K50),4)</f>
        <v>6.6299999999999998E-2</v>
      </c>
      <c r="P50" s="947" t="s">
        <v>2354</v>
      </c>
    </row>
    <row r="51" spans="1:16" ht="14.4" x14ac:dyDescent="0.3">
      <c r="A51" s="740"/>
      <c r="B51" s="1036" t="str">
        <f>+'Working Budget with funding det'!B80</f>
        <v>TOTAL PUBLIC WORKS</v>
      </c>
      <c r="C51" s="1037">
        <f t="shared" ref="C51:M51" si="2">SUM(C45:C50)</f>
        <v>1556471.67</v>
      </c>
      <c r="D51" s="1037">
        <f t="shared" si="2"/>
        <v>1703546.52</v>
      </c>
      <c r="E51" s="1037">
        <f t="shared" si="2"/>
        <v>1765569.6500000006</v>
      </c>
      <c r="F51" s="1037">
        <f t="shared" si="2"/>
        <v>1755695.46</v>
      </c>
      <c r="G51" s="1037">
        <f t="shared" si="2"/>
        <v>1872783.72</v>
      </c>
      <c r="H51" s="1037">
        <f t="shared" si="2"/>
        <v>1979205.0999999999</v>
      </c>
      <c r="I51" s="1037">
        <f t="shared" si="2"/>
        <v>2084113.49</v>
      </c>
      <c r="J51" s="1037">
        <f t="shared" si="2"/>
        <v>2107206.8600000003</v>
      </c>
      <c r="K51" s="1037">
        <f t="shared" si="2"/>
        <v>2815507</v>
      </c>
      <c r="L51" s="1037">
        <f t="shared" si="2"/>
        <v>2940162</v>
      </c>
      <c r="M51" s="1037">
        <f t="shared" si="2"/>
        <v>2940161.5</v>
      </c>
      <c r="N51" s="1037">
        <f>+M51-K51</f>
        <v>124654.5</v>
      </c>
      <c r="O51" s="1040">
        <f>ROUND((+N51/K51),4)</f>
        <v>4.4299999999999999E-2</v>
      </c>
    </row>
    <row r="52" spans="1:16" ht="14.4" x14ac:dyDescent="0.3">
      <c r="A52" s="740"/>
      <c r="B52" s="1036"/>
      <c r="C52" s="1037"/>
      <c r="D52" s="1037"/>
      <c r="E52" s="1037"/>
      <c r="F52" s="1037"/>
      <c r="G52" s="1037"/>
      <c r="H52" s="1037"/>
      <c r="I52" s="1037"/>
      <c r="J52" s="1037"/>
      <c r="K52" s="1037"/>
      <c r="L52" s="1037"/>
      <c r="M52" s="1037"/>
      <c r="N52" s="1037"/>
      <c r="O52" s="1040"/>
    </row>
    <row r="53" spans="1:16" ht="14.4" x14ac:dyDescent="0.3">
      <c r="A53" s="740"/>
      <c r="B53" s="1036" t="str">
        <f>+'Working Budget with funding det'!B82</f>
        <v>HUMAN SERVICES</v>
      </c>
      <c r="C53" s="1037"/>
      <c r="D53" s="1037"/>
      <c r="E53" s="1037"/>
      <c r="F53" s="1037"/>
      <c r="G53" s="1037"/>
      <c r="H53" s="1037"/>
      <c r="I53" s="1037"/>
      <c r="J53" s="1037"/>
      <c r="K53" s="1037"/>
      <c r="L53" s="1037"/>
      <c r="M53" s="1037"/>
      <c r="N53" s="1036"/>
      <c r="O53" s="1036"/>
    </row>
    <row r="54" spans="1:16" ht="14.4" x14ac:dyDescent="0.3">
      <c r="A54" s="740">
        <f>+'Working Budget with funding det'!A84</f>
        <v>511</v>
      </c>
      <c r="B54" s="1036" t="str">
        <f>+'Working Budget with funding det'!B84</f>
        <v>BOARD OF HEALTH</v>
      </c>
      <c r="C54" s="1037">
        <f>+'511 BOH'!C41</f>
        <v>97293.04</v>
      </c>
      <c r="D54" s="1037">
        <f>+'511 BOH'!D41</f>
        <v>98685.689999999988</v>
      </c>
      <c r="E54" s="1037">
        <f>+'511 BOH'!E41</f>
        <v>103003.68</v>
      </c>
      <c r="F54" s="1037">
        <f>+'511 BOH'!G41</f>
        <v>99526.229999999981</v>
      </c>
      <c r="G54" s="1037">
        <f>+'511 BOH'!H41</f>
        <v>101704.90000000001</v>
      </c>
      <c r="H54" s="1037">
        <f>+'511 BOH'!I41</f>
        <v>118527.73000000001</v>
      </c>
      <c r="I54" s="1037">
        <f>+'511 BOH'!J41</f>
        <v>122512.12</v>
      </c>
      <c r="J54" s="1037">
        <f>+'511 BOH'!L41</f>
        <v>135821.25</v>
      </c>
      <c r="K54" s="1037">
        <f>+'Working Budget with funding det'!Q84</f>
        <v>175444</v>
      </c>
      <c r="L54" s="1037">
        <f>+'Working Budget with funding det'!R84</f>
        <v>168004</v>
      </c>
      <c r="M54" s="1037">
        <f>+'Working Budget with funding det'!S84</f>
        <v>168004</v>
      </c>
      <c r="N54" s="1037">
        <f>+M54-K54</f>
        <v>-7440</v>
      </c>
      <c r="O54" s="1040">
        <f>ROUND((+N54/K54),4)</f>
        <v>-4.24E-2</v>
      </c>
    </row>
    <row r="55" spans="1:16" ht="14.4" x14ac:dyDescent="0.3">
      <c r="A55" s="1360" t="s">
        <v>1840</v>
      </c>
      <c r="B55" s="1360"/>
      <c r="C55" s="1360"/>
      <c r="D55" s="1360"/>
      <c r="E55" s="1360"/>
      <c r="F55" s="1360"/>
      <c r="G55" s="1360"/>
      <c r="H55" s="1360"/>
      <c r="I55" s="1360"/>
      <c r="J55" s="1360"/>
      <c r="K55" s="1360"/>
      <c r="L55" s="1360"/>
      <c r="M55" s="1360"/>
      <c r="N55" s="1362"/>
      <c r="O55" s="1362"/>
    </row>
    <row r="56" spans="1:16" ht="14.4" x14ac:dyDescent="0.3">
      <c r="A56" s="1360" t="s">
        <v>1841</v>
      </c>
      <c r="B56" s="1360"/>
      <c r="C56" s="1360"/>
      <c r="D56" s="1360"/>
      <c r="E56" s="1360"/>
      <c r="F56" s="1360"/>
      <c r="G56" s="1360"/>
      <c r="H56" s="1360"/>
      <c r="I56" s="1360"/>
      <c r="J56" s="1360"/>
      <c r="K56" s="1360"/>
      <c r="L56" s="1360"/>
      <c r="M56" s="1360"/>
      <c r="N56" s="1362"/>
      <c r="O56" s="1362"/>
    </row>
    <row r="57" spans="1:16" ht="14.4" x14ac:dyDescent="0.3">
      <c r="A57" s="740"/>
      <c r="B57" s="1036"/>
      <c r="C57" s="1037"/>
      <c r="D57" s="1037"/>
      <c r="E57" s="1037"/>
      <c r="F57" s="1037"/>
      <c r="G57" s="1037"/>
      <c r="H57" s="1037"/>
      <c r="I57" s="1037"/>
      <c r="J57" s="1037"/>
      <c r="K57" s="1037"/>
      <c r="L57" s="1037"/>
      <c r="M57" s="1038" t="s">
        <v>514</v>
      </c>
      <c r="N57" s="1036"/>
      <c r="O57" s="1036"/>
    </row>
    <row r="58" spans="1:16" ht="14.4" x14ac:dyDescent="0.3">
      <c r="A58" s="740"/>
      <c r="B58" s="1036"/>
      <c r="C58" s="1037"/>
      <c r="D58" s="1037"/>
      <c r="E58" s="1037"/>
      <c r="F58" s="1037"/>
      <c r="G58" s="1037"/>
      <c r="H58" s="1037"/>
      <c r="I58" s="1037"/>
      <c r="J58" s="1037"/>
      <c r="K58" s="1037"/>
      <c r="L58" s="1037"/>
      <c r="M58" s="1038" t="s">
        <v>1842</v>
      </c>
      <c r="N58" s="1036"/>
      <c r="O58" s="1036"/>
    </row>
    <row r="59" spans="1:16" ht="14.4" x14ac:dyDescent="0.3">
      <c r="A59" s="740" t="s">
        <v>1843</v>
      </c>
      <c r="B59" s="1036"/>
      <c r="C59" s="1038" t="s">
        <v>1844</v>
      </c>
      <c r="D59" s="1038" t="s">
        <v>1844</v>
      </c>
      <c r="E59" s="1038" t="s">
        <v>1844</v>
      </c>
      <c r="F59" s="1038" t="s">
        <v>1844</v>
      </c>
      <c r="G59" s="1038" t="s">
        <v>1844</v>
      </c>
      <c r="H59" s="1038" t="s">
        <v>1844</v>
      </c>
      <c r="I59" s="1038" t="s">
        <v>1844</v>
      </c>
      <c r="J59" s="1038" t="s">
        <v>1844</v>
      </c>
      <c r="K59" s="1038" t="s">
        <v>1845</v>
      </c>
      <c r="L59" s="1038" t="s">
        <v>1846</v>
      </c>
      <c r="M59" s="1038" t="s">
        <v>1847</v>
      </c>
      <c r="N59" s="1038" t="s">
        <v>730</v>
      </c>
      <c r="O59" s="1038" t="s">
        <v>731</v>
      </c>
    </row>
    <row r="60" spans="1:16" ht="14.4" x14ac:dyDescent="0.3">
      <c r="A60" s="740" t="s">
        <v>1848</v>
      </c>
      <c r="B60" s="1036"/>
      <c r="C60" s="1038" t="s">
        <v>461</v>
      </c>
      <c r="D60" s="1038" t="s">
        <v>462</v>
      </c>
      <c r="E60" s="1038" t="s">
        <v>1141</v>
      </c>
      <c r="F60" s="1038" t="s">
        <v>465</v>
      </c>
      <c r="G60" s="1038" t="s">
        <v>466</v>
      </c>
      <c r="H60" s="1038" t="s">
        <v>467</v>
      </c>
      <c r="I60" s="1038" t="s">
        <v>468</v>
      </c>
      <c r="J60" s="1038" t="s">
        <v>251</v>
      </c>
      <c r="K60" s="1038" t="s">
        <v>469</v>
      </c>
      <c r="L60" s="1038" t="s">
        <v>1345</v>
      </c>
      <c r="M60" s="1038" t="s">
        <v>1345</v>
      </c>
      <c r="N60" s="1039" t="s">
        <v>380</v>
      </c>
      <c r="O60" s="1039" t="s">
        <v>380</v>
      </c>
    </row>
    <row r="61" spans="1:16" x14ac:dyDescent="0.3">
      <c r="B61" s="1036" t="str">
        <f>+'Working Budget with funding det'!B82</f>
        <v>HUMAN SERVICES</v>
      </c>
      <c r="P61" s="947" t="s">
        <v>2483</v>
      </c>
    </row>
    <row r="62" spans="1:16" ht="14.4" x14ac:dyDescent="0.3">
      <c r="A62" s="740">
        <f>+'Working Budget with funding det'!A85</f>
        <v>541</v>
      </c>
      <c r="B62" s="1036" t="str">
        <f>+'Working Budget with funding det'!B85</f>
        <v>COUNCIL ON AGING</v>
      </c>
      <c r="C62" s="1037">
        <f>+'541 COA'!C26</f>
        <v>27212.79</v>
      </c>
      <c r="D62" s="1037">
        <f>+'541 COA'!D26</f>
        <v>36745</v>
      </c>
      <c r="E62" s="1037">
        <f>+'541 COA'!E26</f>
        <v>37843.519999999997</v>
      </c>
      <c r="F62" s="1037">
        <f>+'541 COA'!G26</f>
        <v>42457.31</v>
      </c>
      <c r="G62" s="1037">
        <f>+'541 COA'!H26</f>
        <v>42878.82</v>
      </c>
      <c r="H62" s="1037">
        <f>+'541 COA'!I26</f>
        <v>43889</v>
      </c>
      <c r="I62" s="1037">
        <f>+'541 COA'!J26</f>
        <v>42131.199999999997</v>
      </c>
      <c r="J62" s="1037">
        <f>+'541 COA'!L26</f>
        <v>38774.019999999997</v>
      </c>
      <c r="K62" s="1037">
        <f>+'Working Budget with funding det'!Q85</f>
        <v>58593</v>
      </c>
      <c r="L62" s="1037">
        <f>+'Working Budget with funding det'!R85</f>
        <v>59272</v>
      </c>
      <c r="M62" s="1037">
        <f>+'Working Budget with funding det'!S85</f>
        <v>59272</v>
      </c>
      <c r="N62" s="1037">
        <f>+M62-K62</f>
        <v>679</v>
      </c>
      <c r="O62" s="1040">
        <f>ROUND((+N62/K62),4)</f>
        <v>1.1599999999999999E-2</v>
      </c>
      <c r="P62" s="947" t="s">
        <v>2475</v>
      </c>
    </row>
    <row r="63" spans="1:16" ht="14.4" x14ac:dyDescent="0.3">
      <c r="A63" s="740">
        <f>+'Working Budget with funding det'!A86</f>
        <v>543</v>
      </c>
      <c r="B63" s="1036" t="str">
        <f>+'Working Budget with funding det'!B86</f>
        <v>VETERANS' SERVICES</v>
      </c>
      <c r="C63" s="1041">
        <f>+'543 Vets'!C15</f>
        <v>143993.04</v>
      </c>
      <c r="D63" s="1041">
        <f>+'543 Vets'!D15</f>
        <v>154826.14000000001</v>
      </c>
      <c r="E63" s="1041">
        <f>+'543 Vets'!E15</f>
        <v>161951.34</v>
      </c>
      <c r="F63" s="1041">
        <f>+'543 Vets'!G15</f>
        <v>113174.07</v>
      </c>
      <c r="G63" s="1041">
        <f>+'543 Vets'!H15</f>
        <v>84869.32</v>
      </c>
      <c r="H63" s="1041">
        <f>+'543 Vets'!I15</f>
        <v>74175.16</v>
      </c>
      <c r="I63" s="1041">
        <f>+'543 Vets'!J15</f>
        <v>74474.489999999991</v>
      </c>
      <c r="J63" s="1041">
        <f>+'543 Vets'!L15</f>
        <v>73756.39</v>
      </c>
      <c r="K63" s="1041">
        <f>+'Working Budget with funding det'!Q86</f>
        <v>76500</v>
      </c>
      <c r="L63" s="1041">
        <f>+'Working Budget with funding det'!R86</f>
        <v>77897</v>
      </c>
      <c r="M63" s="1041">
        <f>+'Working Budget with funding det'!S86</f>
        <v>77897</v>
      </c>
      <c r="N63" s="1041">
        <f>+M63-K63</f>
        <v>1397</v>
      </c>
      <c r="O63" s="1042">
        <f>ROUND((+N63/K63),4)</f>
        <v>1.83E-2</v>
      </c>
      <c r="P63" s="947" t="s">
        <v>2484</v>
      </c>
    </row>
    <row r="64" spans="1:16" ht="14.4" x14ac:dyDescent="0.3">
      <c r="A64" s="740"/>
      <c r="B64" s="1036" t="str">
        <f>+'Working Budget with funding det'!B88</f>
        <v>TOTAL HUMAN SERVICES</v>
      </c>
      <c r="C64" s="1037">
        <f t="shared" ref="C64:I64" si="3">SUM(C62:C63)</f>
        <v>171205.83000000002</v>
      </c>
      <c r="D64" s="1037">
        <f t="shared" si="3"/>
        <v>191571.14</v>
      </c>
      <c r="E64" s="1037">
        <f t="shared" si="3"/>
        <v>199794.86</v>
      </c>
      <c r="F64" s="1037">
        <f t="shared" si="3"/>
        <v>155631.38</v>
      </c>
      <c r="G64" s="1037">
        <f t="shared" si="3"/>
        <v>127748.14000000001</v>
      </c>
      <c r="H64" s="1037">
        <f t="shared" si="3"/>
        <v>118064.16</v>
      </c>
      <c r="I64" s="1037">
        <f t="shared" si="3"/>
        <v>116605.68999999999</v>
      </c>
      <c r="J64" s="1037">
        <f>SUM(J54:J63)</f>
        <v>248351.65999999997</v>
      </c>
      <c r="K64" s="1037">
        <f>SUM(K54:K63)</f>
        <v>310537</v>
      </c>
      <c r="L64" s="1037">
        <f>SUM(L54:L63)</f>
        <v>305173</v>
      </c>
      <c r="M64" s="1037">
        <f>SUM(M54:M63)</f>
        <v>305173</v>
      </c>
      <c r="N64" s="1037">
        <f>+M64-K64</f>
        <v>-5364</v>
      </c>
      <c r="O64" s="1040">
        <f>ROUND((+N64/K64),4)</f>
        <v>-1.7299999999999999E-2</v>
      </c>
    </row>
    <row r="65" spans="1:16" ht="14.4" x14ac:dyDescent="0.3">
      <c r="A65" s="740"/>
      <c r="B65" s="1036"/>
      <c r="C65" s="1037"/>
      <c r="D65" s="1037"/>
      <c r="E65" s="1037"/>
      <c r="F65" s="1037"/>
      <c r="G65" s="1037"/>
      <c r="H65" s="1037"/>
      <c r="I65" s="1037"/>
      <c r="J65" s="1037"/>
      <c r="K65" s="1037"/>
      <c r="L65" s="1037"/>
      <c r="M65" s="1037"/>
      <c r="N65" s="1037"/>
      <c r="O65" s="1040"/>
    </row>
    <row r="66" spans="1:16" ht="14.4" x14ac:dyDescent="0.3">
      <c r="A66" s="740"/>
      <c r="B66" s="1036" t="str">
        <f>+'Working Budget with funding det'!B90</f>
        <v>CULTURE &amp; RECREATION</v>
      </c>
      <c r="C66" s="1037"/>
      <c r="D66" s="1037"/>
      <c r="E66" s="1037"/>
      <c r="F66" s="1037"/>
      <c r="G66" s="1037"/>
      <c r="H66" s="1037"/>
      <c r="I66" s="1037"/>
      <c r="J66" s="1037"/>
      <c r="K66" s="1037"/>
      <c r="L66" s="1037"/>
      <c r="M66" s="1037"/>
      <c r="N66" s="1036"/>
      <c r="O66" s="1036"/>
    </row>
    <row r="67" spans="1:16" ht="14.4" x14ac:dyDescent="0.3">
      <c r="A67" s="740">
        <f>+'Working Budget with funding det'!A91</f>
        <v>610</v>
      </c>
      <c r="B67" s="1036" t="str">
        <f>+'Working Budget with funding det'!B91</f>
        <v>LIBRARIES</v>
      </c>
      <c r="C67" s="1037">
        <f>+'610 Library'!C46</f>
        <v>303901</v>
      </c>
      <c r="D67" s="1037">
        <f>+'610 Library'!D46</f>
        <v>325233</v>
      </c>
      <c r="E67" s="1037">
        <f>+'610 Library'!E46</f>
        <v>337643</v>
      </c>
      <c r="F67" s="1037">
        <f>+'610 Library'!G46</f>
        <v>364970</v>
      </c>
      <c r="G67" s="1037">
        <f>+'610 Library'!H46</f>
        <v>386328.00000000006</v>
      </c>
      <c r="H67" s="1037">
        <f>+'610 Library'!I46</f>
        <v>401962</v>
      </c>
      <c r="I67" s="1037">
        <f>+'610 Library'!J46</f>
        <v>411071</v>
      </c>
      <c r="J67" s="1037">
        <f>+'610 Library'!L46</f>
        <v>426453.92999999993</v>
      </c>
      <c r="K67" s="1037">
        <f>+'Working Budget with funding det'!Q91</f>
        <v>503336</v>
      </c>
      <c r="L67" s="1037">
        <f>+'Working Budget with funding det'!R91</f>
        <v>518233</v>
      </c>
      <c r="M67" s="1037">
        <f>+'Working Budget with funding det'!S91</f>
        <v>518233</v>
      </c>
      <c r="N67" s="1037">
        <f>+M67-K67</f>
        <v>14897</v>
      </c>
      <c r="O67" s="1040">
        <f>ROUND((+N67/K67),4)</f>
        <v>2.9600000000000001E-2</v>
      </c>
      <c r="P67" s="947" t="s">
        <v>2485</v>
      </c>
    </row>
    <row r="68" spans="1:16" ht="14.4" x14ac:dyDescent="0.3">
      <c r="A68" s="740">
        <f>+'Working Budget with funding det'!A92</f>
        <v>630</v>
      </c>
      <c r="B68" s="1036" t="str">
        <f>+'Working Budget with funding det'!B92</f>
        <v>PARKS &amp; RECREATION</v>
      </c>
      <c r="C68" s="1037">
        <f>+'630 Recreation'!C29</f>
        <v>93539.86</v>
      </c>
      <c r="D68" s="1037">
        <f>+'630 Recreation'!D29</f>
        <v>101235.73999999999</v>
      </c>
      <c r="E68" s="1037">
        <f>+'630 Recreation'!E29</f>
        <v>104042.40999999999</v>
      </c>
      <c r="F68" s="1037">
        <f>+'630 Recreation'!G29</f>
        <v>120911.25</v>
      </c>
      <c r="G68" s="1037">
        <f>+'630 Recreation'!H29</f>
        <v>128193.00000000001</v>
      </c>
      <c r="H68" s="1037">
        <f>+'630 Recreation'!I29</f>
        <v>130539.37</v>
      </c>
      <c r="I68" s="1037">
        <f>+'630 Recreation'!J29</f>
        <v>141325.91</v>
      </c>
      <c r="J68" s="1037">
        <f>+'630 Recreation'!L29</f>
        <v>143294.66999999998</v>
      </c>
      <c r="K68" s="1037">
        <f>+'Working Budget with funding det'!Q92</f>
        <v>160703</v>
      </c>
      <c r="L68" s="1037">
        <f>+'Working Budget with funding det'!R92</f>
        <v>164826</v>
      </c>
      <c r="M68" s="1037">
        <f>+'Working Budget with funding det'!S92</f>
        <v>164826</v>
      </c>
      <c r="N68" s="1037">
        <f>+M68-K68</f>
        <v>4123</v>
      </c>
      <c r="O68" s="1040">
        <f>ROUND((+N68/K68),4)</f>
        <v>2.5700000000000001E-2</v>
      </c>
      <c r="P68" s="947" t="s">
        <v>2475</v>
      </c>
    </row>
    <row r="69" spans="1:16" ht="14.4" x14ac:dyDescent="0.3">
      <c r="A69" s="740">
        <f>+'Working Budget with funding det'!A93</f>
        <v>691</v>
      </c>
      <c r="B69" s="1036" t="str">
        <f>+'Working Budget with funding det'!B93</f>
        <v>HISTORICAL COMMISSION</v>
      </c>
      <c r="C69" s="1037">
        <f>+'691 Historical Comm'!C15</f>
        <v>253.28</v>
      </c>
      <c r="D69" s="1037">
        <f>+'691 Historical Comm'!D15</f>
        <v>0</v>
      </c>
      <c r="E69" s="1037">
        <f>+'691 Historical Comm'!E15</f>
        <v>434.33</v>
      </c>
      <c r="F69" s="1037">
        <f>+'691 Historical Comm'!G15</f>
        <v>0</v>
      </c>
      <c r="G69" s="1037">
        <f>+'691 Historical Comm'!H15</f>
        <v>253.19</v>
      </c>
      <c r="H69" s="1037">
        <f>+'691 Historical Comm'!I15</f>
        <v>0</v>
      </c>
      <c r="I69" s="1037">
        <f>+'691 Historical Comm'!J15</f>
        <v>0</v>
      </c>
      <c r="J69" s="1037">
        <f>+'691 Historical Comm'!KQ15</f>
        <v>0</v>
      </c>
      <c r="K69" s="1037">
        <f>+'Working Budget with funding det'!Q93</f>
        <v>500</v>
      </c>
      <c r="L69" s="1037">
        <f>+'Working Budget with funding det'!R93</f>
        <v>500</v>
      </c>
      <c r="M69" s="1037">
        <f>+'Working Budget with funding det'!S93</f>
        <v>500</v>
      </c>
      <c r="N69" s="1037">
        <f>+M69-K69</f>
        <v>0</v>
      </c>
      <c r="O69" s="1040">
        <f>ROUND((+N69/K69),4)</f>
        <v>0</v>
      </c>
    </row>
    <row r="70" spans="1:16" ht="14.4" x14ac:dyDescent="0.3">
      <c r="A70" s="740">
        <f>+'Working Budget with funding det'!A94</f>
        <v>693</v>
      </c>
      <c r="B70" s="1036" t="str">
        <f>+'Working Budget with funding det'!B94</f>
        <v>WAR MEMORIALS</v>
      </c>
      <c r="C70" s="1041">
        <f>+'693 Memorials'!C14</f>
        <v>1230.25</v>
      </c>
      <c r="D70" s="1041">
        <f>+'693 Memorials'!D14</f>
        <v>819.41</v>
      </c>
      <c r="E70" s="1041">
        <f>+'693 Memorials'!E14</f>
        <v>1049.43</v>
      </c>
      <c r="F70" s="1041">
        <f>+'693 Memorials'!G14</f>
        <v>1188.96</v>
      </c>
      <c r="G70" s="1041">
        <f>+'693 Memorials'!H14</f>
        <v>1200</v>
      </c>
      <c r="H70" s="1041">
        <f>+'693 Memorials'!I14</f>
        <v>800.77</v>
      </c>
      <c r="I70" s="1041">
        <f>+'693 Memorials'!J14</f>
        <v>937.62</v>
      </c>
      <c r="J70" s="1041">
        <f>+'693 Memorials'!L14</f>
        <v>791.89</v>
      </c>
      <c r="K70" s="1041">
        <f>+'Working Budget with funding det'!Q94</f>
        <v>1600</v>
      </c>
      <c r="L70" s="1041">
        <f>+'Working Budget with funding det'!R94</f>
        <v>1600</v>
      </c>
      <c r="M70" s="1041">
        <f>+'Working Budget with funding det'!S94</f>
        <v>1600</v>
      </c>
      <c r="N70" s="1041">
        <f>+M70-K70</f>
        <v>0</v>
      </c>
      <c r="O70" s="1042">
        <f>ROUND((+N70/K70),4)</f>
        <v>0</v>
      </c>
    </row>
    <row r="71" spans="1:16" ht="14.4" x14ac:dyDescent="0.3">
      <c r="A71" s="740"/>
      <c r="B71" s="1036" t="s">
        <v>1851</v>
      </c>
      <c r="C71" s="1037">
        <f t="shared" ref="C71:M71" si="4">SUM(C67:C70)</f>
        <v>398924.39</v>
      </c>
      <c r="D71" s="1037">
        <f t="shared" si="4"/>
        <v>427288.14999999997</v>
      </c>
      <c r="E71" s="1037">
        <f t="shared" si="4"/>
        <v>443169.17</v>
      </c>
      <c r="F71" s="1037">
        <f t="shared" si="4"/>
        <v>487070.21</v>
      </c>
      <c r="G71" s="1037">
        <f t="shared" si="4"/>
        <v>515974.19000000006</v>
      </c>
      <c r="H71" s="1037">
        <f t="shared" si="4"/>
        <v>533302.14</v>
      </c>
      <c r="I71" s="1037">
        <f t="shared" si="4"/>
        <v>553334.53</v>
      </c>
      <c r="J71" s="1037">
        <f t="shared" si="4"/>
        <v>570540.48999999987</v>
      </c>
      <c r="K71" s="1037">
        <f t="shared" si="4"/>
        <v>666139</v>
      </c>
      <c r="L71" s="1037">
        <f t="shared" si="4"/>
        <v>685159</v>
      </c>
      <c r="M71" s="1037">
        <f t="shared" si="4"/>
        <v>685159</v>
      </c>
      <c r="N71" s="1037">
        <f>+M71-K71</f>
        <v>19020</v>
      </c>
      <c r="O71" s="1040">
        <f>ROUND((+N71/K71),4)</f>
        <v>2.86E-2</v>
      </c>
    </row>
    <row r="72" spans="1:16" ht="14.4" x14ac:dyDescent="0.3">
      <c r="A72" s="740"/>
      <c r="B72" s="1036"/>
      <c r="C72" s="1037"/>
      <c r="D72" s="1037"/>
      <c r="E72" s="1037"/>
      <c r="F72" s="1037"/>
      <c r="G72" s="1037"/>
      <c r="H72" s="1037"/>
      <c r="I72" s="1037"/>
      <c r="J72" s="1037"/>
      <c r="K72" s="1037"/>
      <c r="L72" s="1037"/>
      <c r="M72" s="1037"/>
      <c r="N72" s="1036"/>
      <c r="O72" s="1036"/>
    </row>
    <row r="73" spans="1:16" ht="14.4" x14ac:dyDescent="0.3">
      <c r="A73" s="740"/>
      <c r="B73" s="1036" t="str">
        <f>+'Working Budget with funding det'!B98</f>
        <v>DEBT SERVICE</v>
      </c>
      <c r="C73" s="1037"/>
      <c r="D73" s="1037"/>
      <c r="E73" s="1037"/>
      <c r="F73" s="1037"/>
      <c r="G73" s="1037"/>
      <c r="H73" s="1037"/>
      <c r="I73" s="1037"/>
      <c r="J73" s="1037"/>
      <c r="K73" s="1037"/>
      <c r="L73" s="1037"/>
      <c r="M73" s="1037"/>
      <c r="N73" s="1036"/>
      <c r="O73" s="1036"/>
    </row>
    <row r="74" spans="1:16" ht="14.4" x14ac:dyDescent="0.3">
      <c r="A74" s="740">
        <f>+'Working Budget with funding det'!A99</f>
        <v>700</v>
      </c>
      <c r="B74" s="1036" t="str">
        <f>+'Working Budget with funding det'!B99</f>
        <v>DEBT SERVICE</v>
      </c>
      <c r="C74" s="1037">
        <f>+'700 Debt '!C64</f>
        <v>624059.19999999995</v>
      </c>
      <c r="D74" s="1037">
        <f>+'700 Debt '!D64</f>
        <v>627106.03000000014</v>
      </c>
      <c r="E74" s="1037">
        <f>+'700 Debt '!E64</f>
        <v>653275.82999999996</v>
      </c>
      <c r="F74" s="1037">
        <f>+'700 Debt '!G64</f>
        <v>655052.56000000006</v>
      </c>
      <c r="G74" s="1037">
        <f>+'700 Debt '!H64</f>
        <v>630911.34</v>
      </c>
      <c r="H74" s="1037">
        <f>+'700 Debt '!I64</f>
        <v>625348.28</v>
      </c>
      <c r="I74" s="1037">
        <f>+'700 Debt '!J64</f>
        <v>824346.28999999992</v>
      </c>
      <c r="J74" s="1037">
        <f>+'700 Debt '!L64</f>
        <v>1057873.57</v>
      </c>
      <c r="K74" s="1037">
        <f>+'Working Budget with funding det'!Q99</f>
        <v>1154319</v>
      </c>
      <c r="L74" s="1037">
        <f>+'Working Budget with funding det'!R99</f>
        <v>1158857</v>
      </c>
      <c r="M74" s="1037">
        <f>+'Working Budget with funding det'!S99</f>
        <v>1158857</v>
      </c>
      <c r="N74" s="1037">
        <f>+M74-K74</f>
        <v>4538</v>
      </c>
      <c r="O74" s="1040">
        <f>ROUND((+N74/K74),4)</f>
        <v>3.8999999999999998E-3</v>
      </c>
    </row>
    <row r="75" spans="1:16" ht="14.4" x14ac:dyDescent="0.3">
      <c r="A75" s="740"/>
      <c r="B75" s="1036" t="str">
        <f>+'Working Budget with funding det'!B101</f>
        <v>INTERGOVERNMENTAL</v>
      </c>
      <c r="C75" s="1037"/>
      <c r="D75" s="1037"/>
      <c r="E75" s="1037"/>
      <c r="F75" s="1037"/>
      <c r="G75" s="1037"/>
      <c r="H75" s="1037"/>
      <c r="I75" s="1037"/>
      <c r="J75" s="1037"/>
      <c r="K75" s="1037"/>
      <c r="L75" s="1037"/>
      <c r="M75" s="1037"/>
      <c r="N75" s="1036"/>
      <c r="O75" s="1036"/>
    </row>
    <row r="76" spans="1:16" ht="14.4" x14ac:dyDescent="0.3">
      <c r="A76" s="740"/>
      <c r="B76" s="1036"/>
      <c r="C76" s="1037"/>
      <c r="D76" s="1037"/>
      <c r="E76" s="1037"/>
      <c r="F76" s="1037"/>
      <c r="G76" s="1037"/>
      <c r="H76" s="1037"/>
      <c r="I76" s="1037"/>
      <c r="J76" s="1037"/>
      <c r="K76" s="1037"/>
      <c r="L76" s="1037"/>
      <c r="M76" s="1037"/>
      <c r="N76" s="1036"/>
      <c r="O76" s="1036"/>
    </row>
    <row r="77" spans="1:16" ht="14.4" x14ac:dyDescent="0.3">
      <c r="A77" s="740">
        <f>+'Working Budget with funding det'!A102</f>
        <v>840</v>
      </c>
      <c r="B77" s="1036" t="str">
        <f>+'Working Budget with funding det'!B102</f>
        <v>INTERGOVERNMENTAL</v>
      </c>
      <c r="C77" s="1037">
        <f>+'840 Intergovt'!C16</f>
        <v>83074.820000000007</v>
      </c>
      <c r="D77" s="1037">
        <f>+'840 Intergovt'!D16</f>
        <v>87874.209999999992</v>
      </c>
      <c r="E77" s="1037">
        <f>+'840 Intergovt'!E16</f>
        <v>71938.12</v>
      </c>
      <c r="F77" s="1037">
        <f>+'840 Intergovt'!G16</f>
        <v>92495.299999999988</v>
      </c>
      <c r="G77" s="1037">
        <f>+'840 Intergovt'!H16</f>
        <v>99251.89</v>
      </c>
      <c r="H77" s="1037">
        <f>+'840 Intergovt'!I16</f>
        <v>100824.36000000002</v>
      </c>
      <c r="I77" s="1037">
        <f>+'840 Intergovt'!J16</f>
        <v>104701.44</v>
      </c>
      <c r="J77" s="1037">
        <f>+'840 Intergovt'!L16</f>
        <v>111175.8</v>
      </c>
      <c r="K77" s="1037">
        <f>+'Working Budget with funding det'!Q102</f>
        <v>113924</v>
      </c>
      <c r="L77" s="1037">
        <f>+'Working Budget with funding det'!R102</f>
        <v>116874</v>
      </c>
      <c r="M77" s="1037">
        <f>+'Working Budget with funding det'!S102</f>
        <v>116874</v>
      </c>
      <c r="N77" s="1037">
        <f>+M77-K77</f>
        <v>2950</v>
      </c>
      <c r="O77" s="1040">
        <f>ROUND((+N77/K77),4)</f>
        <v>2.5899999999999999E-2</v>
      </c>
      <c r="P77" s="947" t="s">
        <v>2486</v>
      </c>
    </row>
    <row r="78" spans="1:16" ht="14.4" hidden="1" x14ac:dyDescent="0.3">
      <c r="A78" s="1360" t="s">
        <v>1840</v>
      </c>
      <c r="B78" s="1360"/>
      <c r="C78" s="1360"/>
      <c r="D78" s="1360"/>
      <c r="E78" s="1360"/>
      <c r="F78" s="1360"/>
      <c r="G78" s="1360"/>
      <c r="H78" s="1360"/>
      <c r="I78" s="1360"/>
      <c r="J78" s="1360"/>
      <c r="K78" s="1360"/>
      <c r="L78" s="1360"/>
      <c r="M78" s="1360"/>
      <c r="N78" s="1360"/>
      <c r="O78" s="1360"/>
    </row>
    <row r="79" spans="1:16" ht="14.4" hidden="1" x14ac:dyDescent="0.3">
      <c r="A79" s="1360" t="s">
        <v>1841</v>
      </c>
      <c r="B79" s="1360"/>
      <c r="C79" s="1360"/>
      <c r="D79" s="1360"/>
      <c r="E79" s="1360"/>
      <c r="F79" s="1360"/>
      <c r="G79" s="1360"/>
      <c r="H79" s="1360"/>
      <c r="I79" s="1360"/>
      <c r="J79" s="1360"/>
      <c r="K79" s="1360"/>
      <c r="L79" s="1360"/>
      <c r="M79" s="1360"/>
      <c r="N79" s="1360"/>
      <c r="O79" s="1360"/>
    </row>
    <row r="80" spans="1:16" ht="14.4" hidden="1" x14ac:dyDescent="0.3">
      <c r="A80" s="740"/>
      <c r="B80" s="1036"/>
      <c r="C80" s="1037"/>
      <c r="D80" s="1037"/>
      <c r="E80" s="1037"/>
      <c r="F80" s="1037"/>
      <c r="G80" s="1037"/>
      <c r="H80" s="1037"/>
      <c r="I80" s="1037"/>
      <c r="J80" s="1037"/>
      <c r="K80" s="1037"/>
      <c r="L80" s="1037"/>
      <c r="M80" s="1038" t="s">
        <v>514</v>
      </c>
      <c r="N80" s="1036"/>
      <c r="O80" s="1036"/>
    </row>
    <row r="81" spans="1:16" ht="14.4" hidden="1" x14ac:dyDescent="0.3">
      <c r="A81" s="740"/>
      <c r="B81" s="1036"/>
      <c r="C81" s="1037"/>
      <c r="D81" s="1037"/>
      <c r="E81" s="1037"/>
      <c r="F81" s="1037"/>
      <c r="G81" s="1037"/>
      <c r="H81" s="1037"/>
      <c r="I81" s="1037"/>
      <c r="J81" s="1037"/>
      <c r="K81" s="1037"/>
      <c r="L81" s="1037"/>
      <c r="M81" s="1038" t="s">
        <v>1842</v>
      </c>
      <c r="N81" s="1036"/>
      <c r="O81" s="1036"/>
    </row>
    <row r="82" spans="1:16" ht="14.4" hidden="1" x14ac:dyDescent="0.3">
      <c r="A82" s="740" t="s">
        <v>1843</v>
      </c>
      <c r="B82" s="1036"/>
      <c r="C82" s="1038" t="s">
        <v>1844</v>
      </c>
      <c r="D82" s="1038" t="s">
        <v>1844</v>
      </c>
      <c r="E82" s="1038" t="s">
        <v>1844</v>
      </c>
      <c r="F82" s="1038" t="s">
        <v>1844</v>
      </c>
      <c r="G82" s="1038" t="s">
        <v>1844</v>
      </c>
      <c r="H82" s="1038" t="s">
        <v>1844</v>
      </c>
      <c r="I82" s="1038" t="s">
        <v>1844</v>
      </c>
      <c r="J82" s="1038" t="s">
        <v>1844</v>
      </c>
      <c r="K82" s="1038" t="s">
        <v>1845</v>
      </c>
      <c r="L82" s="1038" t="s">
        <v>1846</v>
      </c>
      <c r="M82" s="1038" t="s">
        <v>1847</v>
      </c>
      <c r="N82" s="1038" t="s">
        <v>730</v>
      </c>
      <c r="O82" s="1038" t="s">
        <v>731</v>
      </c>
    </row>
    <row r="83" spans="1:16" ht="14.4" hidden="1" x14ac:dyDescent="0.3">
      <c r="A83" s="740" t="s">
        <v>1848</v>
      </c>
      <c r="B83" s="1036"/>
      <c r="C83" s="1038" t="s">
        <v>461</v>
      </c>
      <c r="D83" s="1038" t="s">
        <v>462</v>
      </c>
      <c r="E83" s="1038" t="s">
        <v>1141</v>
      </c>
      <c r="F83" s="1038" t="s">
        <v>465</v>
      </c>
      <c r="G83" s="1038" t="s">
        <v>466</v>
      </c>
      <c r="H83" s="1038" t="s">
        <v>467</v>
      </c>
      <c r="I83" s="1038" t="s">
        <v>468</v>
      </c>
      <c r="J83" s="1038" t="s">
        <v>251</v>
      </c>
      <c r="K83" s="1038" t="s">
        <v>469</v>
      </c>
      <c r="L83" s="1038" t="s">
        <v>1345</v>
      </c>
      <c r="M83" s="1038" t="s">
        <v>1345</v>
      </c>
      <c r="N83" s="1039" t="s">
        <v>380</v>
      </c>
      <c r="O83" s="1039" t="s">
        <v>380</v>
      </c>
    </row>
    <row r="84" spans="1:16" ht="14.4" x14ac:dyDescent="0.3">
      <c r="A84" s="740"/>
      <c r="B84" s="1036" t="str">
        <f>+'Working Budget with funding det'!B104</f>
        <v>MISCELLANEOUS</v>
      </c>
      <c r="C84" s="1037"/>
      <c r="D84" s="1037"/>
      <c r="E84" s="1037"/>
      <c r="F84" s="1037"/>
      <c r="G84" s="1037"/>
      <c r="H84" s="1037"/>
      <c r="I84" s="1037"/>
      <c r="J84" s="1037"/>
      <c r="K84" s="1037"/>
      <c r="L84" s="1037"/>
      <c r="M84" s="1037"/>
      <c r="N84" s="1036"/>
      <c r="O84" s="1036"/>
    </row>
    <row r="85" spans="1:16" ht="14.4" x14ac:dyDescent="0.3">
      <c r="A85" s="740"/>
      <c r="B85" s="1036"/>
      <c r="C85" s="1037"/>
      <c r="D85" s="1037"/>
      <c r="E85" s="1037"/>
      <c r="F85" s="1037"/>
      <c r="G85" s="1037"/>
      <c r="H85" s="1037"/>
      <c r="I85" s="1037"/>
      <c r="J85" s="1037"/>
      <c r="K85" s="1037"/>
      <c r="L85" s="1037"/>
      <c r="M85" s="1037"/>
      <c r="N85" s="1036"/>
      <c r="O85" s="1036"/>
    </row>
    <row r="86" spans="1:16" ht="14.4" x14ac:dyDescent="0.3">
      <c r="A86" s="740">
        <f>+'Working Budget with funding det'!A105</f>
        <v>910</v>
      </c>
      <c r="B86" s="1036" t="str">
        <f>+'Working Budget with funding det'!B105</f>
        <v>EMPLOYEE BENEFITS</v>
      </c>
      <c r="C86" s="1037">
        <f>+'910 Benefits'!C20</f>
        <v>1760819.2100000002</v>
      </c>
      <c r="D86" s="1037">
        <f>+'910 Benefits'!D20</f>
        <v>1730791.4</v>
      </c>
      <c r="E86" s="1037">
        <f>+'910 Benefits'!E20</f>
        <v>1748594.09</v>
      </c>
      <c r="F86" s="1037">
        <f>+'910 Benefits'!G20</f>
        <v>1878957.3699999999</v>
      </c>
      <c r="G86" s="1037">
        <f>+'910 Benefits'!H20</f>
        <v>2008426.33</v>
      </c>
      <c r="H86" s="1037">
        <f>+'910 Benefits'!I20</f>
        <v>2068987.7100000002</v>
      </c>
      <c r="I86" s="1037">
        <f>+'910 Benefits'!J20</f>
        <v>2040807.01</v>
      </c>
      <c r="J86" s="1037">
        <f>+'910 Benefits'!L20</f>
        <v>2116132.61</v>
      </c>
      <c r="K86" s="1037">
        <f>+'Working Budget with funding det'!Q105</f>
        <v>2490334</v>
      </c>
      <c r="L86" s="1037">
        <f>+'Working Budget with funding det'!R105</f>
        <v>2657083</v>
      </c>
      <c r="M86" s="1037">
        <f>+'Working Budget with funding det'!S105</f>
        <v>2657083</v>
      </c>
      <c r="N86" s="1037">
        <f>+M86-K86</f>
        <v>166749</v>
      </c>
      <c r="O86" s="1040">
        <f>ROUND((+N86/K86),4)</f>
        <v>6.7000000000000004E-2</v>
      </c>
      <c r="P86" s="947" t="s">
        <v>2487</v>
      </c>
    </row>
    <row r="87" spans="1:16" ht="14.4" x14ac:dyDescent="0.3">
      <c r="A87" s="740">
        <f>+'Working Budget with funding det'!A106</f>
        <v>946</v>
      </c>
      <c r="B87" s="1036" t="str">
        <f>+'Working Budget with funding det'!B106</f>
        <v>GENERAL INSURANCE</v>
      </c>
      <c r="C87" s="1041">
        <f>+'946 Insurance'!C23</f>
        <v>63586.85</v>
      </c>
      <c r="D87" s="1041">
        <f>+'946 Insurance'!D23</f>
        <v>81915.03</v>
      </c>
      <c r="E87" s="1041">
        <f>+'946 Insurance'!E23</f>
        <v>90801.61</v>
      </c>
      <c r="F87" s="1041">
        <f>+'946 Insurance'!G23</f>
        <v>87959.99</v>
      </c>
      <c r="G87" s="1041">
        <f>+'946 Insurance'!H23</f>
        <v>95065.72</v>
      </c>
      <c r="H87" s="1041">
        <f>+'946 Insurance'!I23</f>
        <v>85911.72</v>
      </c>
      <c r="I87" s="1041">
        <f>+'946 Insurance'!J23</f>
        <v>92318.19</v>
      </c>
      <c r="J87" s="1041">
        <f>+'946 Insurance'!L23</f>
        <v>108176.48</v>
      </c>
      <c r="K87" s="1041">
        <f>+'Working Budget with funding det'!Q106</f>
        <v>120600</v>
      </c>
      <c r="L87" s="1041">
        <f>+'Working Budget with funding det'!R106</f>
        <v>119600</v>
      </c>
      <c r="M87" s="1041">
        <f>+'Working Budget with funding det'!S106</f>
        <v>119600</v>
      </c>
      <c r="N87" s="1041">
        <f>+M87-K87</f>
        <v>-1000</v>
      </c>
      <c r="O87" s="1042">
        <f>ROUND((+N87/K87),4)</f>
        <v>-8.3000000000000001E-3</v>
      </c>
      <c r="P87" s="947" t="s">
        <v>2488</v>
      </c>
    </row>
    <row r="88" spans="1:16" ht="14.4" x14ac:dyDescent="0.3">
      <c r="A88" s="740"/>
      <c r="B88" s="1036" t="str">
        <f>+'Working Budget with funding det'!B108</f>
        <v>TOTAL MISCELLANEOUS</v>
      </c>
      <c r="C88" s="1037">
        <f t="shared" ref="C88:L88" si="5">SUM(C86:C87)</f>
        <v>1824406.0600000003</v>
      </c>
      <c r="D88" s="1037">
        <f t="shared" si="5"/>
        <v>1812706.43</v>
      </c>
      <c r="E88" s="1037">
        <f t="shared" si="5"/>
        <v>1839395.7000000002</v>
      </c>
      <c r="F88" s="1037">
        <f t="shared" si="5"/>
        <v>1966917.3599999999</v>
      </c>
      <c r="G88" s="1037">
        <f t="shared" ref="G88:J88" si="6">SUM(G86:G87)</f>
        <v>2103492.0500000003</v>
      </c>
      <c r="H88" s="1037">
        <f t="shared" ref="H88:I88" si="7">SUM(H86:H87)</f>
        <v>2154899.4300000002</v>
      </c>
      <c r="I88" s="1037">
        <f t="shared" si="7"/>
        <v>2133125.2000000002</v>
      </c>
      <c r="J88" s="1037">
        <f t="shared" si="6"/>
        <v>2224309.09</v>
      </c>
      <c r="K88" s="1037">
        <f t="shared" ref="K88" si="8">SUM(K86:K87)</f>
        <v>2610934</v>
      </c>
      <c r="L88" s="1037">
        <f t="shared" si="5"/>
        <v>2776683</v>
      </c>
      <c r="M88" s="1037">
        <f t="shared" ref="M88" si="9">SUM(M86:M87)</f>
        <v>2776683</v>
      </c>
      <c r="N88" s="1037">
        <f>+M88-K88</f>
        <v>165749</v>
      </c>
      <c r="O88" s="1040">
        <f>ROUND((+N88/K88),4)</f>
        <v>6.3500000000000001E-2</v>
      </c>
    </row>
    <row r="89" spans="1:16" ht="14.4" x14ac:dyDescent="0.3">
      <c r="A89" s="740"/>
      <c r="B89" s="1036"/>
      <c r="C89" s="1037"/>
      <c r="D89" s="1037"/>
      <c r="E89" s="1037"/>
      <c r="F89" s="1037"/>
      <c r="G89" s="1037"/>
      <c r="H89" s="1037"/>
      <c r="I89" s="1037"/>
      <c r="J89" s="1037"/>
      <c r="K89" s="1037"/>
      <c r="L89" s="1037"/>
      <c r="M89" s="1037"/>
      <c r="N89" s="1036"/>
      <c r="O89" s="1036"/>
    </row>
    <row r="90" spans="1:16" ht="15" thickBot="1" x14ac:dyDescent="0.35">
      <c r="A90" s="740"/>
      <c r="B90" s="1036" t="s">
        <v>1852</v>
      </c>
      <c r="C90" s="1044">
        <f t="shared" ref="C90:M90" si="10">+C88+C77+C74+C71+C64+C51+C42+C23</f>
        <v>7263799.9000000004</v>
      </c>
      <c r="D90" s="1044">
        <f t="shared" si="10"/>
        <v>7551191.96</v>
      </c>
      <c r="E90" s="1044">
        <f t="shared" si="10"/>
        <v>7903923.5000000009</v>
      </c>
      <c r="F90" s="1044">
        <f t="shared" si="10"/>
        <v>8251801.79</v>
      </c>
      <c r="G90" s="1044">
        <f t="shared" si="10"/>
        <v>8380569.2700000005</v>
      </c>
      <c r="H90" s="1044">
        <f t="shared" si="10"/>
        <v>8779673.0300000012</v>
      </c>
      <c r="I90" s="1044">
        <f t="shared" si="10"/>
        <v>9175100.4600000009</v>
      </c>
      <c r="J90" s="1044">
        <f t="shared" si="10"/>
        <v>9682569.8300000001</v>
      </c>
      <c r="K90" s="1044">
        <f t="shared" si="10"/>
        <v>12004696</v>
      </c>
      <c r="L90" s="1044">
        <f t="shared" si="10"/>
        <v>12409728</v>
      </c>
      <c r="M90" s="1044">
        <f t="shared" si="10"/>
        <v>12409727.605</v>
      </c>
      <c r="N90" s="1044">
        <f>+M90-K90</f>
        <v>405031.60500000045</v>
      </c>
      <c r="O90" s="1045">
        <f>ROUND((+N90/K90),4)</f>
        <v>3.3700000000000001E-2</v>
      </c>
    </row>
    <row r="91" spans="1:16" ht="16.2" hidden="1" thickTop="1" x14ac:dyDescent="0.3">
      <c r="A91" s="1027"/>
      <c r="B91" s="787"/>
      <c r="C91" s="1028"/>
      <c r="D91" s="1030">
        <f>ROUND(((+D90-C90)/C90),4)</f>
        <v>3.9600000000000003E-2</v>
      </c>
      <c r="E91" s="1030">
        <f>ROUND(((+E90-D90)/D90),4)</f>
        <v>4.6699999999999998E-2</v>
      </c>
      <c r="F91" s="1030"/>
      <c r="G91" s="1030"/>
      <c r="H91" s="1030"/>
      <c r="I91" s="1030"/>
      <c r="J91" s="1030"/>
      <c r="K91" s="1030"/>
      <c r="L91" s="1030"/>
      <c r="M91" s="1030"/>
      <c r="N91" s="787"/>
      <c r="O91" s="787"/>
    </row>
    <row r="92" spans="1:16" ht="16.2" hidden="1" thickTop="1" x14ac:dyDescent="0.3">
      <c r="A92" s="1027"/>
      <c r="B92" s="787"/>
      <c r="C92" s="1028"/>
      <c r="D92" s="1028"/>
      <c r="E92" s="1028"/>
      <c r="F92" s="1028"/>
      <c r="G92" s="1028"/>
      <c r="H92" s="1028"/>
      <c r="I92" s="1028"/>
      <c r="J92" s="1028"/>
      <c r="K92" s="1028"/>
      <c r="L92" s="1028"/>
      <c r="M92" s="1028"/>
      <c r="N92" s="1028"/>
      <c r="O92" s="1030"/>
    </row>
    <row r="93" spans="1:16" ht="16.2" hidden="1" thickTop="1" x14ac:dyDescent="0.3"/>
    <row r="94" spans="1:16" ht="16.2" hidden="1" thickTop="1" x14ac:dyDescent="0.3"/>
    <row r="95" spans="1:16" ht="16.2" thickTop="1" x14ac:dyDescent="0.3"/>
    <row r="111" spans="1:15" x14ac:dyDescent="0.3">
      <c r="A111" s="1361" t="s">
        <v>2016</v>
      </c>
      <c r="B111" s="1361"/>
      <c r="C111" s="1361"/>
      <c r="D111" s="1361"/>
      <c r="E111" s="1361"/>
      <c r="F111" s="1361"/>
      <c r="G111" s="1361"/>
      <c r="H111" s="1361"/>
      <c r="I111" s="1361"/>
      <c r="J111" s="1361"/>
      <c r="K111" s="1361"/>
      <c r="L111" s="1361"/>
      <c r="M111" s="1361"/>
      <c r="N111" s="1361"/>
      <c r="O111" s="1361"/>
    </row>
    <row r="112" spans="1:15" x14ac:dyDescent="0.3">
      <c r="A112" s="1361" t="s">
        <v>2025</v>
      </c>
      <c r="B112" s="1361"/>
      <c r="C112" s="1361"/>
      <c r="D112" s="1361"/>
      <c r="E112" s="1361"/>
      <c r="F112" s="1361"/>
      <c r="G112" s="1361"/>
      <c r="H112" s="1361"/>
      <c r="I112" s="1361"/>
      <c r="J112" s="1361"/>
      <c r="K112" s="1361"/>
      <c r="L112" s="1361"/>
      <c r="M112" s="1361"/>
      <c r="N112" s="1361"/>
      <c r="O112" s="1361"/>
    </row>
    <row r="113" spans="1:16" x14ac:dyDescent="0.3">
      <c r="A113" s="1027"/>
      <c r="B113" s="787"/>
      <c r="C113" s="1028"/>
      <c r="D113" s="1028"/>
      <c r="E113" s="1028"/>
      <c r="F113" s="1028"/>
      <c r="G113" s="1028"/>
      <c r="H113" s="1028"/>
      <c r="I113" s="1028"/>
      <c r="J113" s="1028"/>
      <c r="K113" s="1028"/>
      <c r="L113" s="1028"/>
      <c r="M113" s="1029" t="s">
        <v>514</v>
      </c>
      <c r="N113" s="787"/>
      <c r="O113" s="787"/>
    </row>
    <row r="114" spans="1:16" x14ac:dyDescent="0.3">
      <c r="A114" s="1027"/>
      <c r="B114" s="787"/>
      <c r="C114" s="1028"/>
      <c r="D114" s="1028"/>
      <c r="E114" s="1028"/>
      <c r="F114" s="1028"/>
      <c r="G114" s="1028"/>
      <c r="H114" s="1028"/>
      <c r="I114" s="1028"/>
      <c r="J114" s="1028"/>
      <c r="K114" s="1028"/>
      <c r="L114" s="1028"/>
      <c r="M114" s="1029" t="s">
        <v>1842</v>
      </c>
      <c r="N114" s="787"/>
      <c r="O114" s="787"/>
    </row>
    <row r="115" spans="1:16" x14ac:dyDescent="0.3">
      <c r="A115" s="1027" t="s">
        <v>1843</v>
      </c>
      <c r="B115" s="787"/>
      <c r="C115" s="1029" t="s">
        <v>1844</v>
      </c>
      <c r="D115" s="1029" t="s">
        <v>1844</v>
      </c>
      <c r="E115" s="1029" t="s">
        <v>1844</v>
      </c>
      <c r="F115" s="1029" t="s">
        <v>1844</v>
      </c>
      <c r="G115" s="1029" t="s">
        <v>1844</v>
      </c>
      <c r="H115" s="1029" t="s">
        <v>1844</v>
      </c>
      <c r="I115" s="1029" t="s">
        <v>1844</v>
      </c>
      <c r="J115" s="1029" t="s">
        <v>1845</v>
      </c>
      <c r="K115" s="1029" t="s">
        <v>1845</v>
      </c>
      <c r="L115" s="1029" t="s">
        <v>1846</v>
      </c>
      <c r="M115" s="1029" t="s">
        <v>1847</v>
      </c>
      <c r="N115" s="1029" t="s">
        <v>730</v>
      </c>
      <c r="O115" s="1029" t="s">
        <v>731</v>
      </c>
    </row>
    <row r="116" spans="1:16" x14ac:dyDescent="0.3">
      <c r="A116" s="1027" t="s">
        <v>1848</v>
      </c>
      <c r="B116" s="787"/>
      <c r="C116" s="1029" t="s">
        <v>461</v>
      </c>
      <c r="D116" s="1029" t="s">
        <v>462</v>
      </c>
      <c r="E116" s="1029" t="s">
        <v>1141</v>
      </c>
      <c r="F116" s="1029" t="s">
        <v>465</v>
      </c>
      <c r="G116" s="1029" t="s">
        <v>466</v>
      </c>
      <c r="H116" s="1029" t="s">
        <v>466</v>
      </c>
      <c r="I116" s="1029" t="s">
        <v>466</v>
      </c>
      <c r="J116" s="1029" t="s">
        <v>252</v>
      </c>
      <c r="K116" s="1038" t="s">
        <v>469</v>
      </c>
      <c r="L116" s="1038" t="s">
        <v>1345</v>
      </c>
      <c r="M116" s="1038" t="s">
        <v>1345</v>
      </c>
      <c r="N116" s="1025" t="s">
        <v>380</v>
      </c>
      <c r="O116" s="1025" t="s">
        <v>1853</v>
      </c>
    </row>
    <row r="117" spans="1:16" x14ac:dyDescent="0.3">
      <c r="A117" s="1027"/>
      <c r="B117" s="787" t="str">
        <f>+'Working Budget with funding det'!B113</f>
        <v>CLEAN WATER FACILITY</v>
      </c>
      <c r="C117" s="1028"/>
      <c r="D117" s="1028"/>
      <c r="E117" s="1028"/>
      <c r="F117" s="1028"/>
      <c r="G117" s="1028"/>
      <c r="H117" s="1028"/>
      <c r="I117" s="1028"/>
      <c r="J117" s="1028"/>
      <c r="K117" s="1028"/>
      <c r="L117" s="1028"/>
      <c r="M117" s="1028"/>
      <c r="N117" s="787"/>
      <c r="O117" s="787"/>
    </row>
    <row r="118" spans="1:16" x14ac:dyDescent="0.3">
      <c r="A118" s="1027">
        <f>+'Working Budget with funding det'!A114</f>
        <v>440</v>
      </c>
      <c r="B118" s="787" t="s">
        <v>1854</v>
      </c>
      <c r="C118" s="1028">
        <f>+'661 440 CWF'!C69</f>
        <v>1232852.1600000001</v>
      </c>
      <c r="D118" s="1028">
        <f>+'661 440 CWF'!D69</f>
        <v>1332110.5999999999</v>
      </c>
      <c r="E118" s="1028">
        <f>+'661 440 CWF'!S69</f>
        <v>2175090</v>
      </c>
      <c r="F118" s="1028">
        <f>+'661 440 CWF'!G69</f>
        <v>1411401.52</v>
      </c>
      <c r="G118" s="1028">
        <f>+'661 440 CWF'!H69</f>
        <v>1459773.7000000002</v>
      </c>
      <c r="H118" s="1028">
        <f>+'661 440 CWF'!I69</f>
        <v>1523345.5699999998</v>
      </c>
      <c r="I118" s="1028">
        <f>+'661 440 CWF'!J69</f>
        <v>1546577.2100000002</v>
      </c>
      <c r="J118" s="1028">
        <f>+'661 440 CWF'!L69</f>
        <v>1480090.73</v>
      </c>
      <c r="K118" s="1028">
        <f>+'Working Budget with funding det'!Q114</f>
        <v>2015729</v>
      </c>
      <c r="L118" s="1028">
        <f>+'Working Budget with funding det'!R114</f>
        <v>2116590</v>
      </c>
      <c r="M118" s="1028">
        <f>+'Working Budget with funding det'!S114</f>
        <v>2116590</v>
      </c>
      <c r="N118" s="1028">
        <f>+M118-K118</f>
        <v>100861</v>
      </c>
      <c r="O118" s="1030">
        <f>ROUND((+N118/K118),4)</f>
        <v>0.05</v>
      </c>
      <c r="P118" s="947" t="s">
        <v>2489</v>
      </c>
    </row>
    <row r="119" spans="1:16" x14ac:dyDescent="0.3">
      <c r="A119" s="1027">
        <v>440</v>
      </c>
      <c r="B119" s="787" t="s">
        <v>1259</v>
      </c>
      <c r="C119" s="1028"/>
      <c r="D119" s="1028"/>
      <c r="E119" s="1028"/>
      <c r="F119" s="1028"/>
      <c r="G119" s="1028"/>
      <c r="H119" s="1028"/>
      <c r="I119" s="1028"/>
      <c r="J119" s="1028"/>
      <c r="K119" s="1028">
        <f>+'Working Budget with funding det'!Q115</f>
        <v>58500</v>
      </c>
      <c r="L119" s="1028">
        <f>+'Working Budget with funding det'!R115</f>
        <v>58500</v>
      </c>
      <c r="M119" s="1028">
        <f>+'Working Budget with funding det'!S115</f>
        <v>58500</v>
      </c>
      <c r="N119" s="1028">
        <f>+M119-K119</f>
        <v>0</v>
      </c>
      <c r="O119" s="1040">
        <f>ROUND((+N119/K119),4)</f>
        <v>0</v>
      </c>
    </row>
    <row r="120" spans="1:16" x14ac:dyDescent="0.3">
      <c r="A120" s="1027">
        <f>+'Working Budget with funding det'!A117</f>
        <v>700</v>
      </c>
      <c r="B120" s="787" t="s">
        <v>1654</v>
      </c>
      <c r="C120" s="1028">
        <f>+'661 700 CWF Debt'!C61</f>
        <v>339561.32000000007</v>
      </c>
      <c r="D120" s="1028">
        <f>+'661 700 CWF Debt'!D61</f>
        <v>333169.57</v>
      </c>
      <c r="E120" s="1028">
        <f>+'661 700 CWF Debt'!E61</f>
        <v>430365.07</v>
      </c>
      <c r="F120" s="1028">
        <f>+'661 700 CWF Debt'!G61</f>
        <v>432071.62</v>
      </c>
      <c r="G120" s="1028">
        <f>+'661 700 CWF Debt'!H61</f>
        <v>363646.25</v>
      </c>
      <c r="H120" s="1028">
        <f>+'661 700 CWF Debt'!I61</f>
        <v>363127.97</v>
      </c>
      <c r="I120" s="1028">
        <f>+'661 700 CWF Debt'!J61</f>
        <v>513019.85</v>
      </c>
      <c r="J120" s="1028">
        <f>+'661 700 CWF Debt'!L61</f>
        <v>495060.53</v>
      </c>
      <c r="K120" s="1028">
        <f>+'Working Budget with funding det'!Q117</f>
        <v>483614</v>
      </c>
      <c r="L120" s="1028">
        <f>+'Working Budget with funding det'!R117</f>
        <v>478365</v>
      </c>
      <c r="M120" s="1028">
        <f>+'Working Budget with funding det'!S117</f>
        <v>478365</v>
      </c>
      <c r="N120" s="1028">
        <f>+M120-K120</f>
        <v>-5249</v>
      </c>
      <c r="O120" s="1030">
        <f>ROUND((+N120/K120),4)</f>
        <v>-1.09E-2</v>
      </c>
    </row>
    <row r="121" spans="1:16" x14ac:dyDescent="0.3">
      <c r="A121" s="1027">
        <f>+'Working Budget with funding det'!A118</f>
        <v>910</v>
      </c>
      <c r="B121" s="787" t="s">
        <v>127</v>
      </c>
      <c r="C121" s="1031">
        <f>+'661 910 CWF Benefits'!C18</f>
        <v>162428.75000000003</v>
      </c>
      <c r="D121" s="1031">
        <f>+'661 910 CWF Benefits'!D18</f>
        <v>160893.16</v>
      </c>
      <c r="E121" s="1031">
        <f>+'661 910 CWF Benefits'!E18</f>
        <v>181400.05999999997</v>
      </c>
      <c r="F121" s="1031">
        <f>+'661 910 CWF Benefits'!G18</f>
        <v>221112.49</v>
      </c>
      <c r="G121" s="1031">
        <f>+'661 910 CWF Benefits'!H18</f>
        <v>224380.71000000002</v>
      </c>
      <c r="H121" s="1031">
        <f>+'661 910 CWF Benefits'!I18</f>
        <v>234658.48</v>
      </c>
      <c r="I121" s="1031">
        <f>+'661 910 CWF Benefits'!J18</f>
        <v>225455.12</v>
      </c>
      <c r="J121" s="1031">
        <f>+'661 910 CWF Benefits'!L18</f>
        <v>222372.35</v>
      </c>
      <c r="K121" s="1031">
        <f>+'Working Budget with funding det'!Q118</f>
        <v>363631</v>
      </c>
      <c r="L121" s="1031">
        <f>+'Working Budget with funding det'!R118</f>
        <v>380719</v>
      </c>
      <c r="M121" s="1031">
        <f>+'Working Budget with funding det'!S118</f>
        <v>380719</v>
      </c>
      <c r="N121" s="1031">
        <f>+M121-K121</f>
        <v>17088</v>
      </c>
      <c r="O121" s="1032">
        <f>ROUND((+N121/K121),4)</f>
        <v>4.7E-2</v>
      </c>
      <c r="P121" s="947" t="s">
        <v>2487</v>
      </c>
    </row>
    <row r="122" spans="1:16" x14ac:dyDescent="0.3">
      <c r="A122" s="1027"/>
      <c r="B122" s="787" t="s">
        <v>1970</v>
      </c>
      <c r="C122" s="1028">
        <f t="shared" ref="C122:L122" si="11">SUM(C118:C121)</f>
        <v>1734842.2300000002</v>
      </c>
      <c r="D122" s="1028">
        <f t="shared" si="11"/>
        <v>1826173.3299999998</v>
      </c>
      <c r="E122" s="1028">
        <f t="shared" si="11"/>
        <v>2786855.13</v>
      </c>
      <c r="F122" s="1028">
        <f t="shared" si="11"/>
        <v>2064585.6300000001</v>
      </c>
      <c r="G122" s="1028">
        <f t="shared" ref="G122:J122" si="12">SUM(G118:G121)</f>
        <v>2047800.6600000001</v>
      </c>
      <c r="H122" s="1028">
        <f t="shared" ref="H122:I122" si="13">SUM(H118:H121)</f>
        <v>2121132.02</v>
      </c>
      <c r="I122" s="1028">
        <f t="shared" si="13"/>
        <v>2285052.1800000002</v>
      </c>
      <c r="J122" s="1028">
        <f t="shared" si="12"/>
        <v>2197523.61</v>
      </c>
      <c r="K122" s="1028">
        <f t="shared" ref="K122" si="14">SUM(K118:K121)</f>
        <v>2921474</v>
      </c>
      <c r="L122" s="1028">
        <f t="shared" si="11"/>
        <v>3034174</v>
      </c>
      <c r="M122" s="1028">
        <f t="shared" ref="M122" si="15">SUM(M118:M121)</f>
        <v>3034174</v>
      </c>
      <c r="N122" s="1028">
        <f>+M122-K122</f>
        <v>112700</v>
      </c>
      <c r="O122" s="1030">
        <f>ROUND((+N122/K122),4)</f>
        <v>3.8600000000000002E-2</v>
      </c>
    </row>
    <row r="123" spans="1:16" x14ac:dyDescent="0.3">
      <c r="A123" s="1027"/>
      <c r="B123" s="787"/>
      <c r="C123" s="1028"/>
      <c r="D123" s="1028"/>
      <c r="E123" s="1028"/>
      <c r="F123" s="1028"/>
      <c r="G123" s="1028"/>
      <c r="H123" s="1028"/>
      <c r="I123" s="1028"/>
      <c r="J123" s="1028"/>
      <c r="K123" s="1028"/>
      <c r="L123" s="1028"/>
      <c r="M123" s="1028"/>
      <c r="N123" s="787"/>
      <c r="O123" s="1035"/>
    </row>
    <row r="124" spans="1:16" hidden="1" x14ac:dyDescent="0.3">
      <c r="A124" s="1027"/>
      <c r="B124" s="787"/>
      <c r="C124" s="1028"/>
      <c r="D124" s="1028"/>
      <c r="E124" s="1028"/>
      <c r="F124" s="1028"/>
      <c r="G124" s="1028"/>
      <c r="H124" s="1028"/>
      <c r="I124" s="1028"/>
      <c r="J124" s="1028"/>
      <c r="K124" s="1028"/>
      <c r="L124" s="1028"/>
      <c r="M124" s="1028"/>
      <c r="N124" s="787"/>
      <c r="O124" s="787"/>
    </row>
    <row r="125" spans="1:16" hidden="1" x14ac:dyDescent="0.3">
      <c r="A125" s="1027"/>
      <c r="B125" s="787"/>
      <c r="C125" s="1028"/>
      <c r="D125" s="1028"/>
      <c r="E125" s="1028"/>
      <c r="F125" s="1028"/>
      <c r="G125" s="1028"/>
      <c r="H125" s="1028"/>
      <c r="I125" s="1028"/>
      <c r="J125" s="1028"/>
      <c r="K125" s="1028"/>
      <c r="L125" s="1028"/>
      <c r="M125" s="1028"/>
      <c r="N125" s="787"/>
      <c r="O125" s="787"/>
    </row>
    <row r="126" spans="1:16" hidden="1" x14ac:dyDescent="0.3">
      <c r="A126" s="1027" t="s">
        <v>1843</v>
      </c>
      <c r="B126" s="787"/>
      <c r="C126" s="1029" t="s">
        <v>1844</v>
      </c>
      <c r="D126" s="1029" t="s">
        <v>1844</v>
      </c>
      <c r="E126" s="1029" t="s">
        <v>1844</v>
      </c>
      <c r="F126" s="1029" t="s">
        <v>1844</v>
      </c>
      <c r="G126" s="1029" t="s">
        <v>1844</v>
      </c>
      <c r="H126" s="1029" t="s">
        <v>1844</v>
      </c>
      <c r="I126" s="1029" t="s">
        <v>1844</v>
      </c>
      <c r="J126" s="1029" t="s">
        <v>1845</v>
      </c>
      <c r="K126" s="1029" t="s">
        <v>1845</v>
      </c>
      <c r="L126" s="1029" t="s">
        <v>1846</v>
      </c>
      <c r="M126" s="1029" t="s">
        <v>1846</v>
      </c>
      <c r="N126" s="1029" t="s">
        <v>730</v>
      </c>
      <c r="O126" s="1029" t="s">
        <v>731</v>
      </c>
    </row>
    <row r="127" spans="1:16" hidden="1" x14ac:dyDescent="0.3">
      <c r="A127" s="1027" t="s">
        <v>1848</v>
      </c>
      <c r="B127" s="787"/>
      <c r="C127" s="1029" t="s">
        <v>461</v>
      </c>
      <c r="D127" s="1029" t="s">
        <v>462</v>
      </c>
      <c r="E127" s="1029" t="s">
        <v>1141</v>
      </c>
      <c r="F127" s="1029" t="s">
        <v>465</v>
      </c>
      <c r="G127" s="1029" t="s">
        <v>466</v>
      </c>
      <c r="H127" s="1029" t="s">
        <v>466</v>
      </c>
      <c r="I127" s="1029" t="s">
        <v>466</v>
      </c>
      <c r="J127" s="1029" t="s">
        <v>467</v>
      </c>
      <c r="K127" s="1029" t="s">
        <v>467</v>
      </c>
      <c r="L127" s="1029" t="s">
        <v>468</v>
      </c>
      <c r="M127" s="1029" t="s">
        <v>468</v>
      </c>
      <c r="N127" s="1025" t="s">
        <v>380</v>
      </c>
      <c r="O127" s="1025" t="s">
        <v>1853</v>
      </c>
    </row>
    <row r="128" spans="1:16" x14ac:dyDescent="0.3">
      <c r="A128" s="1027">
        <v>449</v>
      </c>
      <c r="B128" s="787" t="s">
        <v>567</v>
      </c>
      <c r="C128" s="1028"/>
      <c r="D128" s="1028"/>
      <c r="E128" s="1028"/>
      <c r="F128" s="1028"/>
      <c r="G128" s="1028"/>
      <c r="H128" s="1028"/>
      <c r="I128" s="1028"/>
      <c r="J128" s="1028"/>
      <c r="K128" s="1028"/>
      <c r="L128" s="1028"/>
      <c r="M128" s="1028"/>
      <c r="N128" s="787"/>
      <c r="O128" s="1035"/>
    </row>
    <row r="129" spans="1:15" x14ac:dyDescent="0.3">
      <c r="A129" s="1027"/>
      <c r="B129" s="787" t="s">
        <v>1854</v>
      </c>
      <c r="C129" s="1028">
        <f>+'661 449 Hwy'!C29-'661 449 Hwy'!C27</f>
        <v>22394.649999999998</v>
      </c>
      <c r="D129" s="1028">
        <f>+'661 449 Hwy'!D29-'661 449 Hwy'!D27</f>
        <v>17339.32</v>
      </c>
      <c r="E129" s="1028">
        <f>+'661 449 Hwy'!E29-'661 449 Hwy'!E27</f>
        <v>41678.6</v>
      </c>
      <c r="F129" s="1028">
        <f>+'661 449 Hwy'!G29-'661 449 Hwy'!G27</f>
        <v>19605.989999999998</v>
      </c>
      <c r="G129" s="1028">
        <f>+'661 449 Hwy'!H29-'661 449 Hwy'!H27</f>
        <v>19157.71</v>
      </c>
      <c r="H129" s="1028">
        <f>+'661 449 Hwy'!I29-'661 449 Hwy'!I27</f>
        <v>26987.78</v>
      </c>
      <c r="I129" s="1028">
        <f>+'661 449 Hwy'!J29-'661 449 Hwy'!J27</f>
        <v>11306.64</v>
      </c>
      <c r="J129" s="1028">
        <f>+'661 449 Hwy'!O12+'661 449 Hwy'!O24</f>
        <v>42800</v>
      </c>
      <c r="K129" s="1031">
        <f>+'Working Budget with funding det'!Q116</f>
        <v>84650</v>
      </c>
      <c r="L129" s="1031">
        <f>+'661 449 Hwy'!S29-'661 449 Hwy'!S27</f>
        <v>85150</v>
      </c>
      <c r="M129" s="1031">
        <f>+'661 449 Hwy'!U29-'661 449 Hwy'!U27</f>
        <v>85150</v>
      </c>
      <c r="N129" s="1031">
        <f>+M129-K129</f>
        <v>500</v>
      </c>
      <c r="O129" s="1032">
        <f>ROUND((+N129/K129),4)</f>
        <v>5.8999999999999999E-3</v>
      </c>
    </row>
    <row r="130" spans="1:15" hidden="1" x14ac:dyDescent="0.3">
      <c r="A130" s="1027"/>
      <c r="B130" s="787" t="s">
        <v>1259</v>
      </c>
      <c r="C130" s="1031">
        <f>+'661 449 Hwy'!C27</f>
        <v>2116.23</v>
      </c>
      <c r="D130" s="1031">
        <f>+'661 449 Hwy'!D27</f>
        <v>0</v>
      </c>
      <c r="E130" s="1031">
        <f>+'661 449 Hwy'!E27</f>
        <v>0</v>
      </c>
      <c r="F130" s="1031">
        <f>+'661 449 Hwy'!G27</f>
        <v>0</v>
      </c>
      <c r="G130" s="1031">
        <f>+'661 449 Hwy'!H27</f>
        <v>0</v>
      </c>
      <c r="H130" s="1031">
        <f>+'661 449 Hwy'!I27</f>
        <v>0</v>
      </c>
      <c r="I130" s="1031">
        <f>+'661 449 Hwy'!J27</f>
        <v>0</v>
      </c>
      <c r="J130" s="1031">
        <f>+'661 449 Hwy'!O26</f>
        <v>8000</v>
      </c>
      <c r="K130" s="1031"/>
      <c r="L130" s="1031">
        <f>+'661 449 Hwy'!S27</f>
        <v>0</v>
      </c>
      <c r="M130" s="1031">
        <f>+'661 449 Hwy'!U27</f>
        <v>0</v>
      </c>
      <c r="N130" s="1031">
        <f>+M130-K130</f>
        <v>0</v>
      </c>
      <c r="O130" s="1032" t="e">
        <f>ROUND((+N130/K130),4)</f>
        <v>#DIV/0!</v>
      </c>
    </row>
    <row r="131" spans="1:15" x14ac:dyDescent="0.3">
      <c r="A131" s="1027"/>
      <c r="B131" s="787" t="s">
        <v>1855</v>
      </c>
      <c r="C131" s="1028">
        <f t="shared" ref="C131:M131" si="16">SUM(C129:C130)</f>
        <v>24510.879999999997</v>
      </c>
      <c r="D131" s="1028">
        <f t="shared" si="16"/>
        <v>17339.32</v>
      </c>
      <c r="E131" s="1028">
        <f t="shared" si="16"/>
        <v>41678.6</v>
      </c>
      <c r="F131" s="1028">
        <f t="shared" si="16"/>
        <v>19605.989999999998</v>
      </c>
      <c r="G131" s="1028">
        <f t="shared" si="16"/>
        <v>19157.71</v>
      </c>
      <c r="H131" s="1028">
        <f t="shared" si="16"/>
        <v>26987.78</v>
      </c>
      <c r="I131" s="1028">
        <f t="shared" si="16"/>
        <v>11306.64</v>
      </c>
      <c r="J131" s="1028">
        <f t="shared" si="16"/>
        <v>50800</v>
      </c>
      <c r="K131" s="1028">
        <f t="shared" si="16"/>
        <v>84650</v>
      </c>
      <c r="L131" s="1028">
        <f t="shared" si="16"/>
        <v>85150</v>
      </c>
      <c r="M131" s="1028">
        <f t="shared" si="16"/>
        <v>85150</v>
      </c>
      <c r="N131" s="1028">
        <f>+M131-K131</f>
        <v>500</v>
      </c>
      <c r="O131" s="1030">
        <f>ROUND((+N131/K131),4)</f>
        <v>5.8999999999999999E-3</v>
      </c>
    </row>
    <row r="132" spans="1:15" x14ac:dyDescent="0.3">
      <c r="A132" s="1027"/>
      <c r="B132" s="787"/>
      <c r="C132" s="1028"/>
      <c r="D132" s="1028"/>
      <c r="E132" s="1028"/>
      <c r="F132" s="1028"/>
      <c r="G132" s="1028"/>
      <c r="H132" s="1028"/>
      <c r="I132" s="1028"/>
      <c r="J132" s="1028"/>
      <c r="K132" s="1028"/>
      <c r="L132" s="1028"/>
      <c r="M132" s="1028"/>
      <c r="N132" s="787"/>
      <c r="O132" s="1035"/>
    </row>
    <row r="133" spans="1:15" ht="16.2" thickBot="1" x14ac:dyDescent="0.35">
      <c r="A133" s="1027"/>
      <c r="B133" s="787" t="s">
        <v>1971</v>
      </c>
      <c r="C133" s="1033">
        <f t="shared" ref="C133:M133" si="17">+C131+C122</f>
        <v>1759353.11</v>
      </c>
      <c r="D133" s="1033">
        <f t="shared" si="17"/>
        <v>1843512.65</v>
      </c>
      <c r="E133" s="1033">
        <f t="shared" si="17"/>
        <v>2828533.73</v>
      </c>
      <c r="F133" s="1033">
        <f t="shared" si="17"/>
        <v>2084191.62</v>
      </c>
      <c r="G133" s="1033">
        <f t="shared" si="17"/>
        <v>2066958.37</v>
      </c>
      <c r="H133" s="1033">
        <f t="shared" si="17"/>
        <v>2148119.7999999998</v>
      </c>
      <c r="I133" s="1033">
        <f t="shared" si="17"/>
        <v>2296358.8200000003</v>
      </c>
      <c r="J133" s="1033">
        <f t="shared" si="17"/>
        <v>2248323.61</v>
      </c>
      <c r="K133" s="1033">
        <f t="shared" si="17"/>
        <v>3006124</v>
      </c>
      <c r="L133" s="1033">
        <f t="shared" si="17"/>
        <v>3119324</v>
      </c>
      <c r="M133" s="1033">
        <f t="shared" si="17"/>
        <v>3119324</v>
      </c>
      <c r="N133" s="1033">
        <f>+M133-K133</f>
        <v>113200</v>
      </c>
      <c r="O133" s="1034">
        <f>ROUND((+N133/K133),4)</f>
        <v>3.7699999999999997E-2</v>
      </c>
    </row>
    <row r="134" spans="1:15" ht="16.2" thickTop="1" x14ac:dyDescent="0.3">
      <c r="A134" s="1027"/>
      <c r="B134" s="787"/>
      <c r="C134" s="1028"/>
      <c r="D134" s="1028"/>
      <c r="E134" s="1028"/>
      <c r="F134" s="1028"/>
      <c r="G134" s="1028"/>
      <c r="H134" s="1028"/>
      <c r="I134" s="1028"/>
      <c r="J134" s="1028"/>
      <c r="K134" s="1028"/>
      <c r="L134" s="1028"/>
      <c r="M134" s="787"/>
      <c r="N134" s="787"/>
      <c r="O134" s="787"/>
    </row>
    <row r="135" spans="1:15" x14ac:dyDescent="0.3">
      <c r="A135" s="1027"/>
      <c r="B135" s="787"/>
      <c r="C135" s="1028"/>
      <c r="D135" s="1028"/>
      <c r="E135" s="1028"/>
      <c r="F135" s="1028"/>
      <c r="G135" s="1028"/>
      <c r="H135" s="1028"/>
      <c r="I135" s="1028"/>
      <c r="J135" s="1028"/>
      <c r="K135" s="1028"/>
      <c r="L135" s="1028"/>
      <c r="M135" s="787"/>
      <c r="N135" s="787"/>
      <c r="O135" s="787"/>
    </row>
    <row r="136" spans="1:15" x14ac:dyDescent="0.3">
      <c r="A136" s="1361" t="s">
        <v>1856</v>
      </c>
      <c r="B136" s="1361"/>
      <c r="C136" s="1361"/>
      <c r="D136" s="1361"/>
      <c r="E136" s="1361"/>
      <c r="F136" s="1361"/>
      <c r="G136" s="1361"/>
      <c r="H136" s="1361"/>
      <c r="I136" s="1361"/>
      <c r="J136" s="1361"/>
      <c r="K136" s="1361"/>
      <c r="L136" s="1361"/>
      <c r="M136" s="1361"/>
      <c r="N136" s="1361"/>
      <c r="O136" s="1361"/>
    </row>
    <row r="137" spans="1:15" x14ac:dyDescent="0.3">
      <c r="A137" s="1361" t="s">
        <v>1857</v>
      </c>
      <c r="B137" s="1361"/>
      <c r="C137" s="1361"/>
      <c r="D137" s="1361"/>
      <c r="E137" s="1361"/>
      <c r="F137" s="1361"/>
      <c r="G137" s="1361"/>
      <c r="H137" s="1361"/>
      <c r="I137" s="1361"/>
      <c r="J137" s="1361"/>
      <c r="K137" s="1361"/>
      <c r="L137" s="1361"/>
      <c r="M137" s="1361"/>
      <c r="N137" s="1361"/>
      <c r="O137" s="1361"/>
    </row>
    <row r="138" spans="1:15" x14ac:dyDescent="0.3">
      <c r="A138" s="1027"/>
      <c r="B138" s="787"/>
      <c r="C138" s="1028"/>
      <c r="D138" s="1028"/>
      <c r="E138" s="1028"/>
      <c r="F138" s="1028"/>
      <c r="G138" s="1028"/>
      <c r="H138" s="1028"/>
      <c r="I138" s="1028"/>
      <c r="J138" s="1028"/>
      <c r="K138" s="1028"/>
      <c r="L138" s="1028"/>
      <c r="M138" s="1029" t="s">
        <v>514</v>
      </c>
      <c r="N138" s="787"/>
      <c r="O138" s="787"/>
    </row>
    <row r="139" spans="1:15" x14ac:dyDescent="0.3">
      <c r="A139" s="1027"/>
      <c r="B139" s="787"/>
      <c r="C139" s="1028"/>
      <c r="D139" s="1028"/>
      <c r="E139" s="1028"/>
      <c r="F139" s="1028"/>
      <c r="G139" s="1028"/>
      <c r="H139" s="1028"/>
      <c r="I139" s="1028"/>
      <c r="J139" s="1028"/>
      <c r="K139" s="1028"/>
      <c r="L139" s="1028"/>
      <c r="M139" s="1029" t="s">
        <v>1842</v>
      </c>
      <c r="N139" s="787"/>
      <c r="O139" s="787"/>
    </row>
    <row r="140" spans="1:15" x14ac:dyDescent="0.3">
      <c r="A140" s="1027" t="s">
        <v>1843</v>
      </c>
      <c r="B140" s="787"/>
      <c r="C140" s="1029" t="s">
        <v>1844</v>
      </c>
      <c r="D140" s="1029" t="s">
        <v>1844</v>
      </c>
      <c r="E140" s="1029" t="s">
        <v>1844</v>
      </c>
      <c r="F140" s="1029" t="s">
        <v>1844</v>
      </c>
      <c r="G140" s="1029" t="s">
        <v>1844</v>
      </c>
      <c r="H140" s="1029" t="s">
        <v>1844</v>
      </c>
      <c r="I140" s="1029" t="s">
        <v>1844</v>
      </c>
      <c r="J140" s="1029" t="s">
        <v>1845</v>
      </c>
      <c r="K140" s="1029" t="s">
        <v>1845</v>
      </c>
      <c r="L140" s="1029" t="s">
        <v>1846</v>
      </c>
      <c r="M140" s="1029" t="s">
        <v>1847</v>
      </c>
      <c r="N140" s="1029" t="s">
        <v>730</v>
      </c>
      <c r="O140" s="1029" t="s">
        <v>731</v>
      </c>
    </row>
    <row r="141" spans="1:15" x14ac:dyDescent="0.3">
      <c r="A141" s="1027" t="s">
        <v>1848</v>
      </c>
      <c r="B141" s="787"/>
      <c r="C141" s="1029" t="s">
        <v>461</v>
      </c>
      <c r="D141" s="1029" t="s">
        <v>462</v>
      </c>
      <c r="E141" s="1029" t="s">
        <v>1141</v>
      </c>
      <c r="F141" s="1029" t="s">
        <v>465</v>
      </c>
      <c r="G141" s="1029" t="s">
        <v>466</v>
      </c>
      <c r="H141" s="1029" t="s">
        <v>467</v>
      </c>
      <c r="I141" s="1029" t="s">
        <v>468</v>
      </c>
      <c r="J141" s="1029" t="s">
        <v>252</v>
      </c>
      <c r="K141" s="1038" t="s">
        <v>469</v>
      </c>
      <c r="L141" s="1038" t="s">
        <v>1345</v>
      </c>
      <c r="M141" s="1038" t="s">
        <v>1345</v>
      </c>
      <c r="N141" s="1025" t="s">
        <v>380</v>
      </c>
      <c r="O141" s="1025" t="s">
        <v>380</v>
      </c>
    </row>
    <row r="142" spans="1:15" x14ac:dyDescent="0.3">
      <c r="A142" s="1027"/>
      <c r="B142" s="787" t="str">
        <f>+'Working Budget with funding det'!B123</f>
        <v>AIRPORT</v>
      </c>
      <c r="C142" s="1028"/>
      <c r="D142" s="1028"/>
      <c r="E142" s="1028"/>
      <c r="F142" s="1028"/>
      <c r="G142" s="1028"/>
      <c r="H142" s="1028"/>
      <c r="I142" s="1028"/>
      <c r="J142" s="1028"/>
      <c r="K142" s="1028"/>
      <c r="L142" s="1028"/>
      <c r="M142" s="1028"/>
      <c r="N142" s="787"/>
      <c r="O142" s="787"/>
    </row>
    <row r="143" spans="1:15" x14ac:dyDescent="0.3">
      <c r="A143" s="1027">
        <v>482</v>
      </c>
      <c r="B143" s="787" t="s">
        <v>1854</v>
      </c>
      <c r="C143" s="1028">
        <f>+'600 482 Airport'!C54</f>
        <v>36905.490000000005</v>
      </c>
      <c r="D143" s="1028">
        <f>+'600 482 Airport'!D54</f>
        <v>44653.43</v>
      </c>
      <c r="E143" s="1028">
        <f>+'600 482 Airport'!E54</f>
        <v>45769.880000000005</v>
      </c>
      <c r="F143" s="1028">
        <f>+'600 482 Airport'!G54</f>
        <v>51918.03</v>
      </c>
      <c r="G143" s="1028">
        <f>+'600 482 Airport'!I54</f>
        <v>48391.540000000008</v>
      </c>
      <c r="H143" s="1028">
        <f>+'600 482 Airport'!J54</f>
        <v>39812.629999999997</v>
      </c>
      <c r="I143" s="1028">
        <f>+'600 482 Airport'!K54</f>
        <v>95494</v>
      </c>
      <c r="J143" s="1028">
        <f>+'600 482 Airport'!O54</f>
        <v>211894</v>
      </c>
      <c r="K143" s="1028">
        <f>+'Working Budget with funding det'!Q123-K144</f>
        <v>274915</v>
      </c>
      <c r="L143" s="1028">
        <f>+'Working Budget with funding det'!R123-L144</f>
        <v>255238</v>
      </c>
      <c r="M143" s="1028">
        <f>+'Working Budget with funding det'!S123-M144</f>
        <v>255238</v>
      </c>
      <c r="N143" s="1028">
        <f>+M143-K143</f>
        <v>-19677</v>
      </c>
      <c r="O143" s="1030">
        <f>ROUND((+N143/K143),4)</f>
        <v>-7.1599999999999997E-2</v>
      </c>
    </row>
    <row r="144" spans="1:15" x14ac:dyDescent="0.3">
      <c r="A144" s="1027">
        <v>482</v>
      </c>
      <c r="B144" s="787" t="s">
        <v>1959</v>
      </c>
      <c r="C144" s="1028"/>
      <c r="D144" s="1028"/>
      <c r="E144" s="1028"/>
      <c r="F144" s="1028"/>
      <c r="G144" s="1028"/>
      <c r="H144" s="1028"/>
      <c r="I144" s="1028"/>
      <c r="J144" s="1028"/>
      <c r="K144" s="1028">
        <f>+'600 482 Airport'!Q50</f>
        <v>10000</v>
      </c>
      <c r="L144" s="1028">
        <f>+'600 482 Airport'!S51</f>
        <v>0</v>
      </c>
      <c r="M144" s="1028">
        <f>+'600 482 Airport'!S50</f>
        <v>0</v>
      </c>
      <c r="N144" s="1028">
        <f t="shared" ref="N144" si="18">+M144-K144</f>
        <v>-10000</v>
      </c>
      <c r="O144" s="1030"/>
    </row>
    <row r="145" spans="1:16" x14ac:dyDescent="0.3">
      <c r="A145" s="1027">
        <v>700</v>
      </c>
      <c r="B145" s="787" t="s">
        <v>1654</v>
      </c>
      <c r="C145" s="1028"/>
      <c r="D145" s="1028"/>
      <c r="E145" s="1028"/>
      <c r="F145" s="1028"/>
      <c r="G145" s="1028"/>
      <c r="H145" s="1028"/>
      <c r="I145" s="1028"/>
      <c r="J145" s="1028">
        <f>+'600-700 Airport Debt'!O21</f>
        <v>101120</v>
      </c>
      <c r="K145" s="1028">
        <f>+'Working Budget with funding det'!Q124</f>
        <v>101535</v>
      </c>
      <c r="L145" s="1028">
        <f>+'Working Budget with funding det'!R124</f>
        <v>102775</v>
      </c>
      <c r="M145" s="1028">
        <f>+'Working Budget with funding det'!S124</f>
        <v>102775</v>
      </c>
      <c r="N145" s="1028">
        <f>+M145-K145</f>
        <v>1240</v>
      </c>
      <c r="O145" s="1030">
        <f>ROUND((+N145/K145),4)</f>
        <v>1.2200000000000001E-2</v>
      </c>
    </row>
    <row r="146" spans="1:16" x14ac:dyDescent="0.3">
      <c r="A146" s="1027">
        <v>910</v>
      </c>
      <c r="B146" s="787" t="s">
        <v>127</v>
      </c>
      <c r="C146" s="1028"/>
      <c r="D146" s="1028"/>
      <c r="E146" s="1028"/>
      <c r="F146" s="1028"/>
      <c r="G146" s="1028"/>
      <c r="H146" s="1028"/>
      <c r="I146" s="1028"/>
      <c r="J146" s="1028">
        <f>+'600-900 Airport Benefits'!O17</f>
        <v>33188</v>
      </c>
      <c r="K146" s="1031">
        <f>+'Working Budget with funding det'!Q125</f>
        <v>40515</v>
      </c>
      <c r="L146" s="1031">
        <f>+'Working Budget with funding det'!R125</f>
        <v>61664</v>
      </c>
      <c r="M146" s="1031">
        <f>+'Working Budget with funding det'!S125</f>
        <v>61664</v>
      </c>
      <c r="N146" s="1028">
        <f>+M146-K146</f>
        <v>21149</v>
      </c>
      <c r="O146" s="1030">
        <f>ROUND((+N146/K146),4)</f>
        <v>0.52200000000000002</v>
      </c>
      <c r="P146" s="947" t="s">
        <v>2490</v>
      </c>
    </row>
    <row r="147" spans="1:16" ht="16.2" thickBot="1" x14ac:dyDescent="0.35">
      <c r="A147" s="1027"/>
      <c r="B147" s="787" t="s">
        <v>573</v>
      </c>
      <c r="C147" s="1033">
        <f>SUM(C143:C146)</f>
        <v>36905.490000000005</v>
      </c>
      <c r="D147" s="1033">
        <f t="shared" ref="D147:L147" si="19">SUM(D143:D146)</f>
        <v>44653.43</v>
      </c>
      <c r="E147" s="1033">
        <f t="shared" si="19"/>
        <v>45769.880000000005</v>
      </c>
      <c r="F147" s="1033">
        <f t="shared" si="19"/>
        <v>51918.03</v>
      </c>
      <c r="G147" s="1033">
        <f t="shared" si="19"/>
        <v>48391.540000000008</v>
      </c>
      <c r="H147" s="1033">
        <f t="shared" si="19"/>
        <v>39812.629999999997</v>
      </c>
      <c r="I147" s="1033">
        <f t="shared" si="19"/>
        <v>95494</v>
      </c>
      <c r="J147" s="1033">
        <f t="shared" si="19"/>
        <v>346202</v>
      </c>
      <c r="K147" s="1033">
        <f t="shared" ref="K147" si="20">SUM(K143:K146)</f>
        <v>426965</v>
      </c>
      <c r="L147" s="1033">
        <f t="shared" si="19"/>
        <v>419677</v>
      </c>
      <c r="M147" s="1033">
        <f t="shared" ref="M147" si="21">SUM(M143:M146)</f>
        <v>419677</v>
      </c>
      <c r="N147" s="1033">
        <f>+M147-K147</f>
        <v>-7288</v>
      </c>
      <c r="O147" s="1034">
        <f>ROUND((+N147/K147),4)</f>
        <v>-1.7100000000000001E-2</v>
      </c>
    </row>
    <row r="148" spans="1:16" ht="16.2" thickTop="1" x14ac:dyDescent="0.3">
      <c r="A148" s="1027"/>
      <c r="B148" s="787"/>
      <c r="C148" s="1028"/>
      <c r="D148" s="1028"/>
      <c r="E148" s="1028"/>
      <c r="F148" s="1028"/>
      <c r="G148" s="1028"/>
      <c r="H148" s="1028"/>
      <c r="I148" s="1028"/>
      <c r="J148" s="1028"/>
      <c r="K148" s="1028"/>
      <c r="L148" s="1028"/>
      <c r="M148" s="1028"/>
      <c r="N148" s="787"/>
      <c r="O148" s="787"/>
    </row>
    <row r="149" spans="1:16" x14ac:dyDescent="0.3">
      <c r="A149" s="1027"/>
      <c r="B149" s="787"/>
      <c r="C149" s="1028"/>
      <c r="D149" s="1028"/>
      <c r="E149" s="1028"/>
      <c r="F149" s="1028"/>
      <c r="G149" s="1028"/>
      <c r="H149" s="1028"/>
      <c r="I149" s="1028"/>
      <c r="J149" s="1028"/>
      <c r="K149" s="1028"/>
      <c r="L149" s="1028"/>
      <c r="M149" s="787"/>
      <c r="N149" s="787"/>
      <c r="O149" s="787"/>
    </row>
    <row r="150" spans="1:16" x14ac:dyDescent="0.3">
      <c r="A150" s="1027"/>
      <c r="B150" s="787"/>
      <c r="C150" s="1028"/>
      <c r="D150" s="1028"/>
      <c r="E150" s="1028"/>
      <c r="F150" s="1028"/>
      <c r="G150" s="1028"/>
      <c r="H150" s="1028"/>
      <c r="I150" s="1028"/>
      <c r="J150" s="1028"/>
      <c r="K150" s="1028"/>
      <c r="L150" s="1028"/>
      <c r="M150" s="787"/>
      <c r="N150" s="787"/>
      <c r="O150" s="787"/>
    </row>
  </sheetData>
  <mergeCells count="12">
    <mergeCell ref="A56:M56"/>
    <mergeCell ref="A29:O29"/>
    <mergeCell ref="A30:O30"/>
    <mergeCell ref="A137:O137"/>
    <mergeCell ref="A78:O78"/>
    <mergeCell ref="A79:O79"/>
    <mergeCell ref="A111:O111"/>
    <mergeCell ref="A112:O112"/>
    <mergeCell ref="A136:O136"/>
    <mergeCell ref="A1:M1"/>
    <mergeCell ref="A2:M2"/>
    <mergeCell ref="A55:M55"/>
  </mergeCells>
  <phoneticPr fontId="15" type="noConversion"/>
  <pageMargins left="1" right="1" top="1" bottom="1" header="0.5" footer="0.5"/>
  <pageSetup fitToHeight="7" orientation="portrait" r:id="rId1"/>
  <headerFooter alignWithMargins="0">
    <oddFooter>&amp;L&amp;D &amp;T&amp;C&amp;F&amp;R&amp;A&amp;P</oddFooter>
  </headerFooter>
  <rowBreaks count="1" manualBreakCount="1">
    <brk id="93" max="14"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000"/>
    <pageSetUpPr fitToPage="1"/>
  </sheetPr>
  <dimension ref="A1:H35"/>
  <sheetViews>
    <sheetView topLeftCell="A10" workbookViewId="0">
      <selection activeCell="K19" sqref="K19"/>
    </sheetView>
  </sheetViews>
  <sheetFormatPr defaultRowHeight="15" x14ac:dyDescent="0.25"/>
  <cols>
    <col min="1" max="1" width="28.44140625" customWidth="1"/>
    <col min="2" max="2" width="16.6640625" bestFit="1" customWidth="1"/>
    <col min="3" max="3" width="16.6640625" customWidth="1"/>
    <col min="4" max="4" width="15.109375" bestFit="1" customWidth="1"/>
    <col min="5" max="5" width="10.44140625" style="791" customWidth="1"/>
    <col min="6" max="6" width="10.77734375" customWidth="1"/>
    <col min="8" max="8" width="10.109375" bestFit="1" customWidth="1"/>
  </cols>
  <sheetData>
    <row r="1" spans="1:7" x14ac:dyDescent="0.25">
      <c r="A1" s="202"/>
    </row>
    <row r="2" spans="1:7" ht="22.8" x14ac:dyDescent="0.4">
      <c r="A2" s="793" t="s">
        <v>1859</v>
      </c>
    </row>
    <row r="4" spans="1:7" ht="15.6" x14ac:dyDescent="0.3">
      <c r="A4" s="485"/>
      <c r="B4" s="522" t="s">
        <v>1860</v>
      </c>
      <c r="C4" s="522"/>
      <c r="D4" s="522"/>
      <c r="E4" s="792" t="s">
        <v>1772</v>
      </c>
    </row>
    <row r="5" spans="1:7" ht="15.6" x14ac:dyDescent="0.3">
      <c r="A5" s="491" t="s">
        <v>1861</v>
      </c>
      <c r="B5" s="547" t="s">
        <v>253</v>
      </c>
      <c r="C5" s="547" t="s">
        <v>469</v>
      </c>
      <c r="D5" s="547" t="s">
        <v>1345</v>
      </c>
    </row>
    <row r="6" spans="1:7" x14ac:dyDescent="0.25">
      <c r="A6" s="485" t="s">
        <v>1862</v>
      </c>
      <c r="B6" s="523">
        <v>20877816</v>
      </c>
      <c r="C6" s="523">
        <v>21570869</v>
      </c>
      <c r="D6" s="523">
        <f>+'Working Budget with funding det'!T6</f>
        <v>22214448.579999998</v>
      </c>
      <c r="E6" s="791">
        <f>ROUND(((+D6-C6)/C6),4)</f>
        <v>2.98E-2</v>
      </c>
    </row>
    <row r="7" spans="1:7" x14ac:dyDescent="0.25">
      <c r="A7" s="485" t="s">
        <v>1863</v>
      </c>
      <c r="B7" s="523">
        <v>1879826</v>
      </c>
      <c r="C7" s="523">
        <v>1914986</v>
      </c>
      <c r="D7" s="523">
        <f>+'Working Budget with funding det'!T7</f>
        <v>2085265</v>
      </c>
      <c r="E7" s="791">
        <f t="shared" ref="E7:E14" si="0">ROUND(((+D7-C7)/C7),4)</f>
        <v>8.8900000000000007E-2</v>
      </c>
    </row>
    <row r="8" spans="1:7" x14ac:dyDescent="0.25">
      <c r="A8" s="485" t="s">
        <v>349</v>
      </c>
      <c r="B8" s="523">
        <v>1809276</v>
      </c>
      <c r="C8" s="523">
        <v>2027000</v>
      </c>
      <c r="D8" s="523">
        <f>+'Working Budget with funding det'!T8</f>
        <v>1934538</v>
      </c>
      <c r="E8" s="791">
        <f t="shared" si="0"/>
        <v>-4.5600000000000002E-2</v>
      </c>
    </row>
    <row r="9" spans="1:7" x14ac:dyDescent="0.25">
      <c r="A9" s="485" t="s">
        <v>1864</v>
      </c>
      <c r="B9" s="523">
        <v>593813</v>
      </c>
      <c r="C9" s="523">
        <v>764599</v>
      </c>
      <c r="D9" s="523">
        <f>SUM('Working Budget with funding det'!T11:T23)+'Working Budget with funding det'!T27-'Working Budget with funding det'!T17-'Working Budget with funding det'!T15</f>
        <v>255028</v>
      </c>
      <c r="E9" s="791">
        <f t="shared" si="0"/>
        <v>-0.66649999999999998</v>
      </c>
      <c r="G9" t="s">
        <v>1865</v>
      </c>
    </row>
    <row r="10" spans="1:7" x14ac:dyDescent="0.25">
      <c r="A10" s="485" t="s">
        <v>1866</v>
      </c>
      <c r="B10" s="523">
        <v>49950</v>
      </c>
      <c r="C10" s="523">
        <v>53250</v>
      </c>
      <c r="D10" s="523">
        <f>+'Working Budget with funding det'!T15</f>
        <v>52250</v>
      </c>
      <c r="E10" s="791">
        <f t="shared" si="0"/>
        <v>-1.8800000000000001E-2</v>
      </c>
    </row>
    <row r="11" spans="1:7" x14ac:dyDescent="0.25">
      <c r="A11" s="485" t="s">
        <v>323</v>
      </c>
      <c r="B11" s="523">
        <v>251242</v>
      </c>
      <c r="C11" s="523">
        <v>2180701</v>
      </c>
      <c r="D11" s="523">
        <f>+'Working Budget with funding det'!T17+'Working Budget with funding det'!T9</f>
        <v>335286</v>
      </c>
      <c r="E11" s="791">
        <f t="shared" si="0"/>
        <v>-0.84619999999999995</v>
      </c>
    </row>
    <row r="12" spans="1:7" x14ac:dyDescent="0.25">
      <c r="A12" s="485" t="s">
        <v>328</v>
      </c>
      <c r="B12" s="523">
        <v>0</v>
      </c>
      <c r="C12" s="523">
        <v>0</v>
      </c>
      <c r="D12" s="523">
        <f>+'Working Budget with funding det'!T26</f>
        <v>283800</v>
      </c>
      <c r="E12" s="791" t="e">
        <f t="shared" si="0"/>
        <v>#DIV/0!</v>
      </c>
    </row>
    <row r="13" spans="1:7" x14ac:dyDescent="0.25">
      <c r="A13" s="485" t="s">
        <v>1867</v>
      </c>
      <c r="B13" s="523">
        <v>316015</v>
      </c>
      <c r="C13" s="523">
        <v>426965</v>
      </c>
      <c r="D13" s="523">
        <f>+'Working Budget with funding det'!T29</f>
        <v>286043</v>
      </c>
      <c r="E13" s="791">
        <f t="shared" si="0"/>
        <v>-0.3301</v>
      </c>
    </row>
    <row r="14" spans="1:7" x14ac:dyDescent="0.25">
      <c r="A14" s="485" t="s">
        <v>331</v>
      </c>
      <c r="B14" s="523">
        <v>2605938</v>
      </c>
      <c r="C14" s="523">
        <v>2719224</v>
      </c>
      <c r="D14" s="523">
        <f>+'Working Budget with funding det'!T28</f>
        <v>2759825</v>
      </c>
      <c r="E14" s="791">
        <f t="shared" si="0"/>
        <v>1.49E-2</v>
      </c>
    </row>
    <row r="15" spans="1:7" ht="15.6" x14ac:dyDescent="0.3">
      <c r="A15" s="491" t="s">
        <v>1868</v>
      </c>
      <c r="B15" s="522">
        <f>SUM(B6:B14)</f>
        <v>28383876</v>
      </c>
      <c r="C15" s="522">
        <f>SUM(C6:C14)</f>
        <v>31657594</v>
      </c>
      <c r="D15" s="522">
        <f>SUM(D6:D14)</f>
        <v>30206483.579999998</v>
      </c>
      <c r="E15" s="791">
        <f>ROUND(((+D15-C15)/C15),4)</f>
        <v>-4.58E-2</v>
      </c>
    </row>
    <row r="16" spans="1:7" x14ac:dyDescent="0.25">
      <c r="A16" s="485"/>
      <c r="B16" s="523"/>
      <c r="C16" s="523"/>
      <c r="D16" s="523"/>
    </row>
    <row r="17" spans="1:8" ht="15.6" x14ac:dyDescent="0.3">
      <c r="A17" s="491" t="s">
        <v>1869</v>
      </c>
      <c r="B17" s="523"/>
      <c r="C17" s="523"/>
      <c r="D17" s="523"/>
      <c r="G17" s="202" t="s">
        <v>1870</v>
      </c>
    </row>
    <row r="18" spans="1:8" x14ac:dyDescent="0.25">
      <c r="A18" s="485" t="s">
        <v>1871</v>
      </c>
      <c r="B18" s="523">
        <v>1531370</v>
      </c>
      <c r="C18" s="523">
        <v>1680319</v>
      </c>
      <c r="D18" s="523">
        <f>+'Working Budget with funding det'!T56</f>
        <v>1663222</v>
      </c>
      <c r="E18" s="791">
        <f t="shared" ref="E18:E32" si="1">ROUND(((+D18-C18)/C18),4)</f>
        <v>-1.0200000000000001E-2</v>
      </c>
    </row>
    <row r="19" spans="1:8" x14ac:dyDescent="0.25">
      <c r="A19" s="485" t="s">
        <v>1872</v>
      </c>
      <c r="B19" s="523">
        <v>2459815</v>
      </c>
      <c r="C19" s="523">
        <v>2650917</v>
      </c>
      <c r="D19" s="523">
        <f>+'Working Budget with funding det'!T70</f>
        <v>2763598</v>
      </c>
      <c r="E19" s="791">
        <f t="shared" si="1"/>
        <v>4.2500000000000003E-2</v>
      </c>
    </row>
    <row r="20" spans="1:8" x14ac:dyDescent="0.25">
      <c r="A20" s="485" t="s">
        <v>1873</v>
      </c>
      <c r="B20" s="523">
        <v>2501850</v>
      </c>
      <c r="C20" s="523">
        <v>2774507</v>
      </c>
      <c r="D20" s="523">
        <f>+'Working Budget with funding det'!T80</f>
        <v>2940162</v>
      </c>
      <c r="E20" s="791">
        <f t="shared" si="1"/>
        <v>5.9700000000000003E-2</v>
      </c>
    </row>
    <row r="21" spans="1:8" x14ac:dyDescent="0.25">
      <c r="A21" s="485" t="s">
        <v>1874</v>
      </c>
      <c r="B21" s="523">
        <v>295827</v>
      </c>
      <c r="C21" s="523">
        <v>310537</v>
      </c>
      <c r="D21" s="523">
        <f>+'Working Budget with funding det'!T88</f>
        <v>305173</v>
      </c>
      <c r="E21" s="791">
        <f t="shared" si="1"/>
        <v>-1.7299999999999999E-2</v>
      </c>
    </row>
    <row r="22" spans="1:8" x14ac:dyDescent="0.25">
      <c r="A22" s="485" t="s">
        <v>1875</v>
      </c>
      <c r="B22" s="523">
        <v>604366</v>
      </c>
      <c r="C22" s="523">
        <v>666139</v>
      </c>
      <c r="D22" s="523">
        <f>+'Working Budget with funding det'!T96</f>
        <v>685159</v>
      </c>
      <c r="E22" s="791">
        <f t="shared" si="1"/>
        <v>2.86E-2</v>
      </c>
    </row>
    <row r="23" spans="1:8" x14ac:dyDescent="0.25">
      <c r="A23" s="485" t="s">
        <v>1654</v>
      </c>
      <c r="B23" s="523">
        <v>1162189</v>
      </c>
      <c r="C23" s="523">
        <v>1154319</v>
      </c>
      <c r="D23" s="523">
        <f>+'Working Budget with funding det'!T99</f>
        <v>1158857</v>
      </c>
      <c r="E23" s="791">
        <f t="shared" si="1"/>
        <v>3.8999999999999998E-3</v>
      </c>
    </row>
    <row r="24" spans="1:8" x14ac:dyDescent="0.25">
      <c r="A24" s="485" t="s">
        <v>126</v>
      </c>
      <c r="B24" s="523">
        <v>110647</v>
      </c>
      <c r="C24" s="523">
        <v>113924</v>
      </c>
      <c r="D24" s="523">
        <f>+'Working Budget with funding det'!T102</f>
        <v>116874</v>
      </c>
      <c r="E24" s="791">
        <f t="shared" si="1"/>
        <v>2.5899999999999999E-2</v>
      </c>
    </row>
    <row r="25" spans="1:8" x14ac:dyDescent="0.25">
      <c r="A25" s="485" t="s">
        <v>127</v>
      </c>
      <c r="B25" s="523">
        <v>2391280</v>
      </c>
      <c r="C25" s="523">
        <v>2490334</v>
      </c>
      <c r="D25" s="523">
        <f>+'Working Budget with funding det'!T105</f>
        <v>2657083</v>
      </c>
      <c r="E25" s="791">
        <f t="shared" si="1"/>
        <v>6.7000000000000004E-2</v>
      </c>
    </row>
    <row r="26" spans="1:8" x14ac:dyDescent="0.25">
      <c r="A26" s="485" t="s">
        <v>1435</v>
      </c>
      <c r="B26" s="523">
        <v>119600</v>
      </c>
      <c r="C26" s="523">
        <v>120600</v>
      </c>
      <c r="D26" s="523">
        <f>+'Working Budget with funding det'!T106</f>
        <v>119600</v>
      </c>
      <c r="E26" s="791">
        <f t="shared" si="1"/>
        <v>-8.3000000000000001E-3</v>
      </c>
      <c r="G26" s="123">
        <f>ROUND((+H26/D32),4)</f>
        <v>0.40029999999999999</v>
      </c>
      <c r="H26" s="166">
        <f>SUM(D18:D26)</f>
        <v>12409728</v>
      </c>
    </row>
    <row r="27" spans="1:8" x14ac:dyDescent="0.25">
      <c r="A27" s="485" t="s">
        <v>137</v>
      </c>
      <c r="B27" s="523">
        <v>2872377</v>
      </c>
      <c r="C27" s="523">
        <v>3006124</v>
      </c>
      <c r="D27" s="523">
        <f>+'Working Budget with funding det'!T120</f>
        <v>3119324</v>
      </c>
      <c r="E27" s="791">
        <f t="shared" si="1"/>
        <v>3.7699999999999997E-2</v>
      </c>
    </row>
    <row r="28" spans="1:8" x14ac:dyDescent="0.25">
      <c r="A28" s="485" t="s">
        <v>570</v>
      </c>
      <c r="B28" s="523">
        <v>316015</v>
      </c>
      <c r="C28" s="523">
        <v>426965</v>
      </c>
      <c r="D28" s="523">
        <f>+'Working Budget with funding det'!R127</f>
        <v>419677</v>
      </c>
      <c r="E28" s="791">
        <f t="shared" si="1"/>
        <v>-1.7100000000000001E-2</v>
      </c>
      <c r="G28" s="123">
        <f>ROUND((+H28/$D$32),4)</f>
        <v>0.1142</v>
      </c>
      <c r="H28" s="166">
        <f>+D28+D27</f>
        <v>3539001</v>
      </c>
    </row>
    <row r="29" spans="1:8" x14ac:dyDescent="0.25">
      <c r="A29" s="485" t="s">
        <v>694</v>
      </c>
      <c r="B29" s="523">
        <v>1029566</v>
      </c>
      <c r="C29" s="523">
        <v>1053018</v>
      </c>
      <c r="D29" s="523">
        <f>+'Working Budget with funding det'!T130</f>
        <v>837356</v>
      </c>
      <c r="E29" s="791">
        <f t="shared" si="1"/>
        <v>-0.20480000000000001</v>
      </c>
    </row>
    <row r="30" spans="1:8" x14ac:dyDescent="0.25">
      <c r="A30" s="485" t="s">
        <v>695</v>
      </c>
      <c r="B30" s="523">
        <v>11341466</v>
      </c>
      <c r="C30" s="523">
        <v>11809191</v>
      </c>
      <c r="D30" s="523">
        <f>+'Working Budget with funding det'!T131</f>
        <v>12143442</v>
      </c>
      <c r="E30" s="791">
        <f t="shared" si="1"/>
        <v>2.8299999999999999E-2</v>
      </c>
      <c r="G30" s="123">
        <f t="shared" ref="G30:G31" si="2">ROUND((+H30/$D$32),4)</f>
        <v>0.41870000000000002</v>
      </c>
      <c r="H30" s="166">
        <f>+D30+D29</f>
        <v>12980798</v>
      </c>
    </row>
    <row r="31" spans="1:8" x14ac:dyDescent="0.25">
      <c r="A31" s="485" t="s">
        <v>1876</v>
      </c>
      <c r="B31" s="523">
        <v>1331498</v>
      </c>
      <c r="C31" s="523">
        <v>3398085</v>
      </c>
      <c r="D31" s="523">
        <f>+'Working Budget with funding det'!T271</f>
        <v>2069646</v>
      </c>
      <c r="E31" s="791">
        <f t="shared" si="1"/>
        <v>-0.39090000000000003</v>
      </c>
      <c r="G31" s="123">
        <f t="shared" si="2"/>
        <v>6.6799999999999998E-2</v>
      </c>
      <c r="H31" s="166">
        <f>+D31</f>
        <v>2069646</v>
      </c>
    </row>
    <row r="32" spans="1:8" ht="15.6" x14ac:dyDescent="0.3">
      <c r="A32" s="491" t="s">
        <v>1877</v>
      </c>
      <c r="B32" s="522">
        <f>SUM(B18:B31)</f>
        <v>28067866</v>
      </c>
      <c r="C32" s="522">
        <f>SUM(C18:C31)</f>
        <v>31654979</v>
      </c>
      <c r="D32" s="522">
        <f>SUM(D18:D31)</f>
        <v>30999173</v>
      </c>
      <c r="E32" s="791">
        <f t="shared" si="1"/>
        <v>-2.07E-2</v>
      </c>
      <c r="G32" s="123">
        <f>SUM(G26:G31)</f>
        <v>1</v>
      </c>
      <c r="H32" s="166">
        <f>SUM(H26:H31)</f>
        <v>30999173</v>
      </c>
    </row>
    <row r="34" spans="1:5" x14ac:dyDescent="0.25">
      <c r="D34" s="317"/>
      <c r="E34" s="795" t="s">
        <v>1878</v>
      </c>
    </row>
    <row r="35" spans="1:5" x14ac:dyDescent="0.25">
      <c r="A35" s="485"/>
      <c r="B35" s="292"/>
      <c r="C35" s="292"/>
      <c r="D35" s="485"/>
    </row>
  </sheetData>
  <phoneticPr fontId="15" type="noConversion"/>
  <printOptions horizontalCentered="1"/>
  <pageMargins left="0.75" right="0.75" top="1" bottom="1" header="0.5" footer="0.5"/>
  <pageSetup scale="86" orientation="portrait" r:id="rId1"/>
  <headerFooter alignWithMargins="0">
    <oddFooter>&amp;CFY22 Finance Committee Report to Town Meeting&amp;R10</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000"/>
    <pageSetUpPr fitToPage="1"/>
  </sheetPr>
  <dimension ref="A3:B61"/>
  <sheetViews>
    <sheetView workbookViewId="0">
      <selection activeCell="B7" sqref="B7"/>
    </sheetView>
  </sheetViews>
  <sheetFormatPr defaultRowHeight="13.2" x14ac:dyDescent="0.25"/>
  <cols>
    <col min="1" max="1" width="26.6640625" customWidth="1"/>
    <col min="2" max="2" width="11.44140625" bestFit="1" customWidth="1"/>
    <col min="4" max="4" width="19.6640625" customWidth="1"/>
    <col min="5" max="5" width="14.44140625" customWidth="1"/>
    <col min="9" max="9" width="3.44140625" customWidth="1"/>
  </cols>
  <sheetData>
    <row r="3" spans="1:2" x14ac:dyDescent="0.25">
      <c r="A3" s="202" t="s">
        <v>344</v>
      </c>
      <c r="B3" s="2">
        <f>+'Revenue Projections Detail'!R16</f>
        <v>22214448.579999998</v>
      </c>
    </row>
    <row r="4" spans="1:2" x14ac:dyDescent="0.25">
      <c r="A4" s="202" t="s">
        <v>1863</v>
      </c>
      <c r="B4" s="2">
        <f>+'Revenue Projections Detail'!R31</f>
        <v>2085265</v>
      </c>
    </row>
    <row r="5" spans="1:2" x14ac:dyDescent="0.25">
      <c r="A5" s="202" t="s">
        <v>349</v>
      </c>
      <c r="B5" s="2">
        <f>+'Revenue Projections Detail'!R58</f>
        <v>1934538</v>
      </c>
    </row>
    <row r="6" spans="1:2" x14ac:dyDescent="0.25">
      <c r="A6" s="202" t="s">
        <v>1879</v>
      </c>
      <c r="B6" s="2">
        <f>+'Working Budget with funding det'!T28</f>
        <v>2759825</v>
      </c>
    </row>
    <row r="7" spans="1:2" x14ac:dyDescent="0.25">
      <c r="A7" s="202" t="s">
        <v>1867</v>
      </c>
      <c r="B7" s="2">
        <f>+'Working Budget with funding det'!T29</f>
        <v>286043</v>
      </c>
    </row>
    <row r="8" spans="1:2" x14ac:dyDescent="0.25">
      <c r="A8" s="202"/>
      <c r="B8" s="2"/>
    </row>
    <row r="9" spans="1:2" x14ac:dyDescent="0.25">
      <c r="A9" s="202" t="s">
        <v>1880</v>
      </c>
      <c r="B9" s="2">
        <f>+'Revenue Projections Detail'!R78+'Revenue Projections Detail'!R81+'Revenue Projections Detail'!R97</f>
        <v>642564</v>
      </c>
    </row>
    <row r="10" spans="1:2" x14ac:dyDescent="0.25">
      <c r="A10" s="202" t="s">
        <v>190</v>
      </c>
      <c r="B10" s="2">
        <f>SUM(B3:B9)</f>
        <v>29922683.579999998</v>
      </c>
    </row>
    <row r="25" spans="1:2" x14ac:dyDescent="0.25">
      <c r="A25" s="202" t="s">
        <v>679</v>
      </c>
      <c r="B25" s="2">
        <f>+'Working Budget with funding det'!T110</f>
        <v>12409728</v>
      </c>
    </row>
    <row r="26" spans="1:2" x14ac:dyDescent="0.25">
      <c r="A26" s="202" t="s">
        <v>137</v>
      </c>
      <c r="B26" s="2">
        <f>+'Working Budget with funding det'!T120</f>
        <v>3119324</v>
      </c>
    </row>
    <row r="27" spans="1:2" x14ac:dyDescent="0.25">
      <c r="A27" s="202" t="s">
        <v>131</v>
      </c>
      <c r="B27" s="2">
        <f>+'Working Budget with funding det'!T127</f>
        <v>419677</v>
      </c>
    </row>
    <row r="28" spans="1:2" x14ac:dyDescent="0.25">
      <c r="A28" s="202" t="s">
        <v>1876</v>
      </c>
      <c r="B28" s="2">
        <f>+'Working Budget with funding det'!T271</f>
        <v>2069646</v>
      </c>
    </row>
    <row r="29" spans="1:2" x14ac:dyDescent="0.25">
      <c r="A29" s="202" t="s">
        <v>477</v>
      </c>
      <c r="B29" s="2">
        <f>+'Working Budget with funding det'!T131</f>
        <v>12143442</v>
      </c>
    </row>
    <row r="30" spans="1:2" x14ac:dyDescent="0.25">
      <c r="A30" s="202" t="s">
        <v>575</v>
      </c>
      <c r="B30" s="2">
        <f>+'Working Budget with funding det'!T130</f>
        <v>837356</v>
      </c>
    </row>
    <row r="31" spans="1:2" x14ac:dyDescent="0.25">
      <c r="B31">
        <f>SUM(B25:B30)</f>
        <v>30999173</v>
      </c>
    </row>
    <row r="52" spans="1:2" x14ac:dyDescent="0.25">
      <c r="A52" s="202" t="s">
        <v>1881</v>
      </c>
      <c r="B52" s="2">
        <f>+'Working Budget with funding det'!T56</f>
        <v>1663222</v>
      </c>
    </row>
    <row r="53" spans="1:2" x14ac:dyDescent="0.25">
      <c r="A53" s="202" t="s">
        <v>1872</v>
      </c>
      <c r="B53" s="2">
        <f>+'Working Budget with funding det'!T70</f>
        <v>2763598</v>
      </c>
    </row>
    <row r="54" spans="1:2" x14ac:dyDescent="0.25">
      <c r="A54" s="202" t="s">
        <v>1873</v>
      </c>
      <c r="B54" s="2">
        <f>+'Working Budget with funding det'!T80</f>
        <v>2940162</v>
      </c>
    </row>
    <row r="55" spans="1:2" x14ac:dyDescent="0.25">
      <c r="A55" s="202" t="s">
        <v>1874</v>
      </c>
      <c r="B55" s="2">
        <f>+'Working Budget with funding det'!T88</f>
        <v>305173</v>
      </c>
    </row>
    <row r="56" spans="1:2" x14ac:dyDescent="0.25">
      <c r="A56" s="202" t="s">
        <v>1882</v>
      </c>
      <c r="B56" s="2">
        <f>+'Working Budget with funding det'!T96</f>
        <v>685159</v>
      </c>
    </row>
    <row r="57" spans="1:2" x14ac:dyDescent="0.25">
      <c r="A57" s="202" t="s">
        <v>1883</v>
      </c>
      <c r="B57" s="2">
        <f>+'Working Budget with funding det'!T99</f>
        <v>1158857</v>
      </c>
    </row>
    <row r="58" spans="1:2" x14ac:dyDescent="0.25">
      <c r="A58" s="202" t="s">
        <v>1884</v>
      </c>
      <c r="B58" s="2">
        <f>+'Working Budget with funding det'!T102</f>
        <v>116874</v>
      </c>
    </row>
    <row r="59" spans="1:2" x14ac:dyDescent="0.25">
      <c r="A59" s="202" t="s">
        <v>1858</v>
      </c>
      <c r="B59" s="2">
        <f>+'Working Budget with funding det'!T105</f>
        <v>2657083</v>
      </c>
    </row>
    <row r="60" spans="1:2" x14ac:dyDescent="0.25">
      <c r="A60" s="202" t="s">
        <v>1280</v>
      </c>
      <c r="B60" s="2">
        <f>+'Working Budget with funding det'!T106</f>
        <v>119600</v>
      </c>
    </row>
    <row r="61" spans="1:2" x14ac:dyDescent="0.25">
      <c r="B61" s="2">
        <f>SUM(B52:B60)</f>
        <v>12409728</v>
      </c>
    </row>
  </sheetData>
  <pageMargins left="0.7" right="0.7" top="0.75" bottom="0.75" header="0.3" footer="0.3"/>
  <pageSetup scale="48" fitToHeight="0"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92D050"/>
  </sheetPr>
  <dimension ref="A1:AE10"/>
  <sheetViews>
    <sheetView workbookViewId="0">
      <selection activeCell="E4" sqref="E4:E10"/>
    </sheetView>
  </sheetViews>
  <sheetFormatPr defaultRowHeight="15.6" x14ac:dyDescent="0.3"/>
  <cols>
    <col min="1" max="1" width="28.44140625" style="787" customWidth="1"/>
    <col min="2" max="4" width="16.77734375" style="787" customWidth="1"/>
    <col min="5" max="5" width="10.88671875" style="787" customWidth="1"/>
    <col min="6" max="31" width="8.77734375" style="787"/>
  </cols>
  <sheetData>
    <row r="1" spans="1:5" x14ac:dyDescent="0.3">
      <c r="B1" s="1025" t="s">
        <v>253</v>
      </c>
      <c r="C1" s="1025" t="s">
        <v>469</v>
      </c>
      <c r="D1" s="1025" t="s">
        <v>1345</v>
      </c>
      <c r="E1" s="1025" t="s">
        <v>1885</v>
      </c>
    </row>
    <row r="2" spans="1:5" x14ac:dyDescent="0.3">
      <c r="B2" s="1025" t="s">
        <v>365</v>
      </c>
      <c r="C2" s="1025" t="s">
        <v>365</v>
      </c>
      <c r="D2" s="1025" t="s">
        <v>365</v>
      </c>
      <c r="E2" s="1025" t="s">
        <v>190</v>
      </c>
    </row>
    <row r="3" spans="1:5" x14ac:dyDescent="0.3">
      <c r="A3" s="787" t="s">
        <v>349</v>
      </c>
      <c r="E3" s="789"/>
    </row>
    <row r="4" spans="1:5" x14ac:dyDescent="0.3">
      <c r="A4" s="787" t="s">
        <v>1886</v>
      </c>
      <c r="B4" s="787">
        <f>+'Revenue Projections Detail'!N36+'Revenue Projections Detail'!N37+'Revenue Projections Detail'!N38</f>
        <v>801000</v>
      </c>
      <c r="C4" s="787">
        <f>+'Revenue Projections Detail'!P36+'Revenue Projections Detail'!P37+'Revenue Projections Detail'!P38</f>
        <v>956500</v>
      </c>
      <c r="D4" s="787">
        <f>+'Revenue Projections Detail'!R36+'Revenue Projections Detail'!R37+'Revenue Projections Detail'!R38</f>
        <v>871000</v>
      </c>
      <c r="E4" s="790">
        <f>ROUND((+D4/$D$10),3)</f>
        <v>0.45</v>
      </c>
    </row>
    <row r="5" spans="1:5" x14ac:dyDescent="0.3">
      <c r="A5" s="787" t="s">
        <v>1887</v>
      </c>
      <c r="B5" s="787">
        <f>+'Revenue Projections Detail'!N39+'Revenue Projections Detail'!N46</f>
        <v>144000</v>
      </c>
      <c r="C5" s="787">
        <f>+'Revenue Projections Detail'!P39+'Revenue Projections Detail'!P46</f>
        <v>159000</v>
      </c>
      <c r="D5" s="787">
        <f>+'Revenue Projections Detail'!R39+'Revenue Projections Detail'!R46</f>
        <v>147000</v>
      </c>
      <c r="E5" s="790">
        <f t="shared" ref="E5:E9" si="0">ROUND((+D5/$D$10),3)</f>
        <v>7.5999999999999998E-2</v>
      </c>
    </row>
    <row r="6" spans="1:5" x14ac:dyDescent="0.3">
      <c r="A6" s="787" t="s">
        <v>295</v>
      </c>
      <c r="B6" s="787">
        <f>+'Revenue Projections Detail'!N41</f>
        <v>263000</v>
      </c>
      <c r="C6" s="787">
        <f>+'Revenue Projections Detail'!P41</f>
        <v>283000</v>
      </c>
      <c r="D6" s="787">
        <f>+'Revenue Projections Detail'!R41</f>
        <v>304000</v>
      </c>
      <c r="E6" s="790">
        <f t="shared" si="0"/>
        <v>0.157</v>
      </c>
    </row>
    <row r="7" spans="1:5" x14ac:dyDescent="0.3">
      <c r="A7" s="787" t="s">
        <v>1888</v>
      </c>
      <c r="B7" s="787">
        <f>+'Revenue Projections Detail'!N42</f>
        <v>84728</v>
      </c>
      <c r="C7" s="787">
        <f>+'Revenue Projections Detail'!P42</f>
        <v>86235</v>
      </c>
      <c r="D7" s="787">
        <f>+'Revenue Projections Detail'!R42</f>
        <v>70769</v>
      </c>
      <c r="E7" s="790">
        <f t="shared" si="0"/>
        <v>3.6999999999999998E-2</v>
      </c>
    </row>
    <row r="8" spans="1:5" x14ac:dyDescent="0.3">
      <c r="A8" s="787" t="s">
        <v>1889</v>
      </c>
      <c r="B8" s="787">
        <f>+'Revenue Projections Detail'!N55+'Revenue Projections Detail'!N56</f>
        <v>142000</v>
      </c>
      <c r="C8" s="787">
        <f>+'Revenue Projections Detail'!P55+'Revenue Projections Detail'!P56</f>
        <v>127500</v>
      </c>
      <c r="D8" s="787">
        <f>+'Revenue Projections Detail'!R55+'Revenue Projections Detail'!R56</f>
        <v>142000</v>
      </c>
      <c r="E8" s="790">
        <f t="shared" si="0"/>
        <v>7.2999999999999995E-2</v>
      </c>
    </row>
    <row r="9" spans="1:5" x14ac:dyDescent="0.3">
      <c r="A9" s="787" t="s">
        <v>1890</v>
      </c>
      <c r="B9" s="788">
        <f>+'Revenue Projections Detail'!N40+'Revenue Projections Detail'!N43+'Revenue Projections Detail'!N45+'Revenue Projections Detail'!N47+'Revenue Projections Detail'!N50+'Revenue Projections Detail'!N51+'Revenue Projections Detail'!N57+'Revenue Projections Detail'!N44</f>
        <v>374548</v>
      </c>
      <c r="C9" s="788">
        <f>+'Revenue Projections Detail'!P40+'Revenue Projections Detail'!P43+'Revenue Projections Detail'!P45+'Revenue Projections Detail'!P47+'Revenue Projections Detail'!P50+'Revenue Projections Detail'!P51+'Revenue Projections Detail'!P57+'Revenue Projections Detail'!P44</f>
        <v>414765</v>
      </c>
      <c r="D9" s="788">
        <f>+'Revenue Projections Detail'!R40+'Revenue Projections Detail'!R43+'Revenue Projections Detail'!R45+'Revenue Projections Detail'!R47+'Revenue Projections Detail'!R50+'Revenue Projections Detail'!R51+'Revenue Projections Detail'!R57+'Revenue Projections Detail'!R44</f>
        <v>399769</v>
      </c>
      <c r="E9" s="790">
        <f t="shared" si="0"/>
        <v>0.20699999999999999</v>
      </c>
    </row>
    <row r="10" spans="1:5" x14ac:dyDescent="0.3">
      <c r="B10" s="787">
        <f t="shared" ref="B10" si="1">SUM(B3:B9)</f>
        <v>1809276</v>
      </c>
      <c r="C10" s="787">
        <f t="shared" ref="C10:D10" si="2">SUM(C3:C9)</f>
        <v>2027000</v>
      </c>
      <c r="D10" s="787">
        <f t="shared" si="2"/>
        <v>1934538</v>
      </c>
      <c r="E10" s="790">
        <f>SUM(E4:E9)</f>
        <v>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FD23F-5654-4C1D-91DB-2D9E1C37FDBF}">
  <sheetPr>
    <tabColor rgb="FF00B0F0"/>
  </sheetPr>
  <dimension ref="A2:W41"/>
  <sheetViews>
    <sheetView topLeftCell="A14" workbookViewId="0">
      <selection activeCell="C40" sqref="C40"/>
    </sheetView>
  </sheetViews>
  <sheetFormatPr defaultRowHeight="13.8" x14ac:dyDescent="0.3"/>
  <cols>
    <col min="1" max="1" width="7.77734375" style="947" customWidth="1"/>
    <col min="2" max="2" width="48" style="947" customWidth="1"/>
    <col min="3" max="3" width="12" style="1151" customWidth="1"/>
    <col min="4" max="23" width="8.88671875" style="947"/>
  </cols>
  <sheetData>
    <row r="2" spans="1:6" ht="15.6" x14ac:dyDescent="0.3">
      <c r="A2" s="1348" t="s">
        <v>2227</v>
      </c>
      <c r="B2" s="1348"/>
      <c r="C2" s="1348"/>
      <c r="D2" s="1348"/>
      <c r="E2" s="1348"/>
      <c r="F2" s="1348"/>
    </row>
    <row r="4" spans="1:6" ht="30" customHeight="1" x14ac:dyDescent="0.3">
      <c r="A4" s="1347" t="s">
        <v>2232</v>
      </c>
      <c r="B4" s="1347"/>
      <c r="C4" s="1347"/>
      <c r="D4" s="1347"/>
      <c r="E4" s="1347"/>
      <c r="F4" s="1347"/>
    </row>
    <row r="6" spans="1:6" x14ac:dyDescent="0.3">
      <c r="A6" s="1189"/>
      <c r="B6" s="1190"/>
      <c r="C6" s="1191"/>
      <c r="D6" s="1192"/>
    </row>
    <row r="7" spans="1:6" x14ac:dyDescent="0.3">
      <c r="A7" s="1193" t="s">
        <v>2228</v>
      </c>
      <c r="B7" s="954" t="s">
        <v>2229</v>
      </c>
      <c r="C7" s="1194">
        <v>1149954</v>
      </c>
      <c r="D7" s="1195"/>
    </row>
    <row r="8" spans="1:6" x14ac:dyDescent="0.3">
      <c r="A8" s="1196"/>
      <c r="C8" s="1153"/>
      <c r="D8" s="1195"/>
    </row>
    <row r="9" spans="1:6" x14ac:dyDescent="0.3">
      <c r="A9" s="1196"/>
      <c r="B9" s="947" t="s">
        <v>2233</v>
      </c>
      <c r="C9" s="1153">
        <v>247962</v>
      </c>
      <c r="D9" s="1195"/>
    </row>
    <row r="10" spans="1:6" x14ac:dyDescent="0.3">
      <c r="A10" s="1196"/>
      <c r="C10" s="1153"/>
      <c r="D10" s="1195"/>
    </row>
    <row r="11" spans="1:6" x14ac:dyDescent="0.3">
      <c r="A11" s="1196"/>
      <c r="B11" s="947" t="s">
        <v>2234</v>
      </c>
      <c r="C11" s="1153"/>
      <c r="D11" s="1195"/>
    </row>
    <row r="12" spans="1:6" x14ac:dyDescent="0.3">
      <c r="A12" s="1196"/>
      <c r="B12" s="947" t="s">
        <v>2235</v>
      </c>
      <c r="C12" s="1153">
        <v>11809191</v>
      </c>
      <c r="D12" s="1195"/>
    </row>
    <row r="13" spans="1:6" x14ac:dyDescent="0.3">
      <c r="A13" s="1196"/>
      <c r="B13" s="947" t="s">
        <v>2236</v>
      </c>
      <c r="C13" s="1152">
        <v>416263</v>
      </c>
      <c r="D13" s="1195"/>
    </row>
    <row r="14" spans="1:6" x14ac:dyDescent="0.3">
      <c r="A14" s="1196"/>
      <c r="B14" s="947" t="s">
        <v>2237</v>
      </c>
      <c r="C14" s="1153">
        <f>SUM(C12:C13)</f>
        <v>12225454</v>
      </c>
      <c r="D14" s="1195"/>
    </row>
    <row r="15" spans="1:6" x14ac:dyDescent="0.3">
      <c r="A15" s="1196"/>
      <c r="B15" s="947" t="s">
        <v>2238</v>
      </c>
      <c r="C15" s="1187">
        <v>3.5200000000000002E-2</v>
      </c>
      <c r="D15" s="1195"/>
    </row>
    <row r="16" spans="1:6" x14ac:dyDescent="0.3">
      <c r="A16" s="1197"/>
      <c r="B16" s="1198"/>
      <c r="C16" s="1172"/>
      <c r="D16" s="1199"/>
    </row>
    <row r="17" spans="1:4" x14ac:dyDescent="0.3">
      <c r="C17" s="1187"/>
    </row>
    <row r="18" spans="1:4" x14ac:dyDescent="0.3">
      <c r="A18" s="1189"/>
      <c r="B18" s="1190"/>
      <c r="C18" s="1191"/>
      <c r="D18" s="1192"/>
    </row>
    <row r="19" spans="1:4" x14ac:dyDescent="0.3">
      <c r="A19" s="1193" t="s">
        <v>2241</v>
      </c>
      <c r="B19" s="954" t="s">
        <v>2239</v>
      </c>
      <c r="C19" s="1194">
        <v>1426294</v>
      </c>
      <c r="D19" s="1195"/>
    </row>
    <row r="20" spans="1:4" x14ac:dyDescent="0.3">
      <c r="A20" s="1196"/>
      <c r="B20" s="947" t="s">
        <v>2240</v>
      </c>
      <c r="C20" s="1153"/>
      <c r="D20" s="1195"/>
    </row>
    <row r="21" spans="1:4" x14ac:dyDescent="0.3">
      <c r="A21" s="1196"/>
      <c r="C21" s="1153"/>
      <c r="D21" s="1195"/>
    </row>
    <row r="22" spans="1:4" x14ac:dyDescent="0.3">
      <c r="A22" s="1196"/>
      <c r="B22" s="947" t="s">
        <v>2233</v>
      </c>
      <c r="C22" s="1153">
        <v>105436</v>
      </c>
      <c r="D22" s="1195"/>
    </row>
    <row r="23" spans="1:4" x14ac:dyDescent="0.3">
      <c r="A23" s="1196"/>
      <c r="C23" s="1153"/>
      <c r="D23" s="1195"/>
    </row>
    <row r="24" spans="1:4" x14ac:dyDescent="0.3">
      <c r="A24" s="1196"/>
      <c r="B24" s="947" t="s">
        <v>2234</v>
      </c>
      <c r="C24" s="1153"/>
      <c r="D24" s="1195"/>
    </row>
    <row r="25" spans="1:4" x14ac:dyDescent="0.3">
      <c r="A25" s="1196"/>
      <c r="B25" s="947" t="s">
        <v>2235</v>
      </c>
      <c r="C25" s="1153">
        <v>11809191</v>
      </c>
      <c r="D25" s="1195"/>
    </row>
    <row r="26" spans="1:4" x14ac:dyDescent="0.3">
      <c r="A26" s="1196"/>
      <c r="B26" s="947" t="s">
        <v>2236</v>
      </c>
      <c r="C26" s="1152">
        <v>282039</v>
      </c>
      <c r="D26" s="1195"/>
    </row>
    <row r="27" spans="1:4" x14ac:dyDescent="0.3">
      <c r="A27" s="1196"/>
      <c r="B27" s="947" t="s">
        <v>2237</v>
      </c>
      <c r="C27" s="1153">
        <f>SUM(C25:C26)</f>
        <v>12091230</v>
      </c>
      <c r="D27" s="1195"/>
    </row>
    <row r="28" spans="1:4" x14ac:dyDescent="0.3">
      <c r="A28" s="1196"/>
      <c r="B28" s="947" t="s">
        <v>2238</v>
      </c>
      <c r="C28" s="1187">
        <v>2.3900000000000001E-2</v>
      </c>
      <c r="D28" s="1195"/>
    </row>
    <row r="29" spans="1:4" x14ac:dyDescent="0.3">
      <c r="A29" s="1197"/>
      <c r="B29" s="1198"/>
      <c r="C29" s="1172"/>
      <c r="D29" s="1199"/>
    </row>
    <row r="30" spans="1:4" x14ac:dyDescent="0.3">
      <c r="C30" s="1168"/>
    </row>
    <row r="31" spans="1:4" x14ac:dyDescent="0.3">
      <c r="A31" s="1189"/>
      <c r="B31" s="1190"/>
      <c r="C31" s="1191"/>
      <c r="D31" s="1192"/>
    </row>
    <row r="32" spans="1:4" x14ac:dyDescent="0.3">
      <c r="A32" s="1193" t="s">
        <v>2242</v>
      </c>
      <c r="B32" s="954" t="s">
        <v>2243</v>
      </c>
      <c r="C32" s="1194">
        <v>1030000</v>
      </c>
      <c r="D32" s="1195"/>
    </row>
    <row r="33" spans="1:4" x14ac:dyDescent="0.3">
      <c r="A33" s="1196"/>
      <c r="C33" s="1153"/>
      <c r="D33" s="1195"/>
    </row>
    <row r="34" spans="1:4" x14ac:dyDescent="0.3">
      <c r="A34" s="1196"/>
      <c r="B34" s="947" t="s">
        <v>2233</v>
      </c>
      <c r="C34" s="1153">
        <v>309749</v>
      </c>
      <c r="D34" s="1195"/>
    </row>
    <row r="35" spans="1:4" x14ac:dyDescent="0.3">
      <c r="A35" s="1196"/>
      <c r="C35" s="1153"/>
      <c r="D35" s="1195"/>
    </row>
    <row r="36" spans="1:4" x14ac:dyDescent="0.3">
      <c r="A36" s="1196"/>
      <c r="B36" s="947" t="s">
        <v>2234</v>
      </c>
      <c r="C36" s="1153"/>
      <c r="D36" s="1195"/>
    </row>
    <row r="37" spans="1:4" x14ac:dyDescent="0.3">
      <c r="A37" s="1196"/>
      <c r="B37" s="947" t="s">
        <v>2235</v>
      </c>
      <c r="C37" s="1153">
        <v>11809191</v>
      </c>
      <c r="D37" s="1195"/>
    </row>
    <row r="38" spans="1:4" x14ac:dyDescent="0.3">
      <c r="A38" s="1196"/>
      <c r="B38" s="947" t="s">
        <v>2236</v>
      </c>
      <c r="C38" s="1152">
        <v>474242</v>
      </c>
      <c r="D38" s="1195"/>
    </row>
    <row r="39" spans="1:4" x14ac:dyDescent="0.3">
      <c r="A39" s="1196"/>
      <c r="B39" s="947" t="s">
        <v>2237</v>
      </c>
      <c r="C39" s="1153">
        <f>SUM(C37:C38)</f>
        <v>12283433</v>
      </c>
      <c r="D39" s="1195"/>
    </row>
    <row r="40" spans="1:4" x14ac:dyDescent="0.3">
      <c r="A40" s="1196"/>
      <c r="B40" s="947" t="s">
        <v>2238</v>
      </c>
      <c r="C40" s="1187">
        <v>4.02E-2</v>
      </c>
      <c r="D40" s="1195"/>
    </row>
    <row r="41" spans="1:4" x14ac:dyDescent="0.3">
      <c r="A41" s="1197"/>
      <c r="B41" s="1198"/>
      <c r="C41" s="1152"/>
      <c r="D41" s="1199"/>
    </row>
  </sheetData>
  <mergeCells count="2">
    <mergeCell ref="A4:F4"/>
    <mergeCell ref="A2:F2"/>
  </mergeCell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I33"/>
  <sheetViews>
    <sheetView topLeftCell="A9" workbookViewId="0">
      <selection activeCell="A7" sqref="A7:E33"/>
    </sheetView>
  </sheetViews>
  <sheetFormatPr defaultRowHeight="13.2" x14ac:dyDescent="0.25"/>
  <cols>
    <col min="1" max="1" width="8.77734375" style="712"/>
    <col min="2" max="2" width="17.6640625" customWidth="1"/>
    <col min="3" max="3" width="12.77734375" style="166" customWidth="1"/>
    <col min="4" max="4" width="11.6640625" style="123" customWidth="1"/>
    <col min="8" max="8" width="8.77734375" style="781"/>
  </cols>
  <sheetData>
    <row r="2" spans="1:8" x14ac:dyDescent="0.25">
      <c r="A2" s="712" t="s">
        <v>1891</v>
      </c>
    </row>
    <row r="3" spans="1:8" x14ac:dyDescent="0.25">
      <c r="A3" s="712">
        <v>1</v>
      </c>
    </row>
    <row r="4" spans="1:8" x14ac:dyDescent="0.25">
      <c r="A4" s="712">
        <v>2</v>
      </c>
    </row>
    <row r="5" spans="1:8" x14ac:dyDescent="0.25">
      <c r="A5" s="712">
        <v>3</v>
      </c>
    </row>
    <row r="6" spans="1:8" x14ac:dyDescent="0.25">
      <c r="A6" s="712">
        <v>4</v>
      </c>
    </row>
    <row r="7" spans="1:8" x14ac:dyDescent="0.25">
      <c r="A7" s="712">
        <v>5</v>
      </c>
      <c r="B7" t="s">
        <v>679</v>
      </c>
      <c r="C7" s="166">
        <f>+'Working Budget with funding det'!T110</f>
        <v>12409728</v>
      </c>
      <c r="D7" s="123">
        <f>ROUND((+C7/$C$33),4)+0.0001</f>
        <v>0.40039999999999998</v>
      </c>
    </row>
    <row r="8" spans="1:8" x14ac:dyDescent="0.25">
      <c r="A8" s="712">
        <v>6</v>
      </c>
      <c r="B8" t="s">
        <v>137</v>
      </c>
      <c r="C8" s="166">
        <f>+'Working Budget with funding det'!T120</f>
        <v>3119324</v>
      </c>
      <c r="D8" s="123">
        <f>ROUND((+C8/$C$33),4)</f>
        <v>0.10059999999999999</v>
      </c>
    </row>
    <row r="9" spans="1:8" x14ac:dyDescent="0.25">
      <c r="A9" s="712">
        <v>7</v>
      </c>
      <c r="B9" t="s">
        <v>131</v>
      </c>
      <c r="C9" s="166">
        <f>+'Working Budget with funding det'!T127</f>
        <v>419677</v>
      </c>
      <c r="D9" s="123">
        <f>ROUND((+C9/$C$33),4)</f>
        <v>1.35E-2</v>
      </c>
    </row>
    <row r="10" spans="1:8" x14ac:dyDescent="0.25">
      <c r="A10" s="712">
        <v>8</v>
      </c>
      <c r="B10" t="s">
        <v>129</v>
      </c>
      <c r="C10" s="166">
        <f>+'Working Budget with funding det'!T262</f>
        <v>52250</v>
      </c>
      <c r="D10" s="123">
        <f>ROUND((+C10/$C$33),4)</f>
        <v>1.6999999999999999E-3</v>
      </c>
    </row>
    <row r="11" spans="1:8" x14ac:dyDescent="0.25">
      <c r="A11" s="712">
        <v>9</v>
      </c>
      <c r="B11" t="s">
        <v>575</v>
      </c>
      <c r="C11" s="166">
        <f>+'Working Budget with funding det'!T130</f>
        <v>837356</v>
      </c>
      <c r="D11" s="123">
        <f>ROUND((+C11/$C$33),4)</f>
        <v>2.7E-2</v>
      </c>
    </row>
    <row r="12" spans="1:8" x14ac:dyDescent="0.25">
      <c r="A12" s="712">
        <v>10</v>
      </c>
      <c r="B12" t="s">
        <v>477</v>
      </c>
      <c r="C12" s="166">
        <f>+'Working Budget with funding det'!U131</f>
        <v>12143442</v>
      </c>
      <c r="D12" s="123">
        <f>ROUND((+C12/$C$33),4)-0.0001</f>
        <v>0.3916</v>
      </c>
    </row>
    <row r="13" spans="1:8" x14ac:dyDescent="0.25">
      <c r="A13" s="712">
        <v>11</v>
      </c>
      <c r="B13" t="s">
        <v>2641</v>
      </c>
      <c r="C13" s="166">
        <v>24000</v>
      </c>
      <c r="D13" s="123">
        <f t="shared" ref="D13:D32" si="0">ROUND((+C13/$C$33),4)</f>
        <v>8.0000000000000004E-4</v>
      </c>
    </row>
    <row r="14" spans="1:8" x14ac:dyDescent="0.25">
      <c r="A14" s="712">
        <v>12</v>
      </c>
      <c r="B14" t="s">
        <v>2642</v>
      </c>
      <c r="C14" s="166">
        <v>175500</v>
      </c>
      <c r="D14" s="123">
        <f t="shared" si="0"/>
        <v>5.7000000000000002E-3</v>
      </c>
      <c r="H14" s="781">
        <v>2449068</v>
      </c>
    </row>
    <row r="15" spans="1:8" x14ac:dyDescent="0.25">
      <c r="A15" s="712">
        <v>13</v>
      </c>
      <c r="B15" t="s">
        <v>2018</v>
      </c>
      <c r="C15" s="166">
        <v>36000</v>
      </c>
      <c r="D15" s="123">
        <f t="shared" si="0"/>
        <v>1.1999999999999999E-3</v>
      </c>
      <c r="H15" s="781">
        <v>191000</v>
      </c>
    </row>
    <row r="16" spans="1:8" x14ac:dyDescent="0.25">
      <c r="A16" s="712">
        <v>14</v>
      </c>
      <c r="D16" s="123">
        <f t="shared" si="0"/>
        <v>0</v>
      </c>
      <c r="H16" s="781">
        <f>SUM(H14:H15)</f>
        <v>2640068</v>
      </c>
    </row>
    <row r="17" spans="1:9" x14ac:dyDescent="0.25">
      <c r="A17" s="712">
        <v>15</v>
      </c>
      <c r="B17" t="s">
        <v>2649</v>
      </c>
      <c r="C17" s="166">
        <v>260000</v>
      </c>
      <c r="D17" s="123">
        <f t="shared" si="0"/>
        <v>8.3999999999999995E-3</v>
      </c>
    </row>
    <row r="18" spans="1:9" x14ac:dyDescent="0.25">
      <c r="A18" s="712">
        <v>16</v>
      </c>
      <c r="B18" t="s">
        <v>2643</v>
      </c>
      <c r="C18" s="166">
        <v>283800</v>
      </c>
      <c r="D18" s="123">
        <f t="shared" si="0"/>
        <v>9.1999999999999998E-3</v>
      </c>
    </row>
    <row r="19" spans="1:9" x14ac:dyDescent="0.25">
      <c r="A19" s="712">
        <v>17</v>
      </c>
      <c r="B19" t="s">
        <v>2644</v>
      </c>
      <c r="C19" s="166">
        <v>150000</v>
      </c>
      <c r="D19" s="123">
        <f t="shared" si="0"/>
        <v>4.7999999999999996E-3</v>
      </c>
      <c r="H19" s="781">
        <v>2228509</v>
      </c>
      <c r="I19" s="123">
        <f>ROUND((+H19/$H$16),4)</f>
        <v>0.84409999999999996</v>
      </c>
    </row>
    <row r="20" spans="1:9" x14ac:dyDescent="0.25">
      <c r="A20" s="712">
        <v>18</v>
      </c>
      <c r="B20" t="s">
        <v>2645</v>
      </c>
      <c r="C20" s="166">
        <v>64218</v>
      </c>
      <c r="D20" s="123">
        <f t="shared" si="0"/>
        <v>2.0999999999999999E-3</v>
      </c>
      <c r="H20" s="781">
        <v>220559</v>
      </c>
      <c r="I20" s="123">
        <f t="shared" ref="I20:I23" si="1">ROUND((+H20/$H$16),4)</f>
        <v>8.3500000000000005E-2</v>
      </c>
    </row>
    <row r="21" spans="1:9" x14ac:dyDescent="0.25">
      <c r="A21" s="712">
        <v>19</v>
      </c>
      <c r="B21" t="s">
        <v>2646</v>
      </c>
      <c r="C21" s="166">
        <v>40402</v>
      </c>
      <c r="D21" s="123">
        <f t="shared" si="0"/>
        <v>1.2999999999999999E-3</v>
      </c>
      <c r="H21" s="781">
        <v>51000</v>
      </c>
      <c r="I21" s="123">
        <f t="shared" si="1"/>
        <v>1.9300000000000001E-2</v>
      </c>
    </row>
    <row r="22" spans="1:9" x14ac:dyDescent="0.25">
      <c r="A22" s="712">
        <v>20</v>
      </c>
      <c r="B22" t="s">
        <v>2647</v>
      </c>
      <c r="C22" s="166">
        <v>365000</v>
      </c>
      <c r="D22" s="123">
        <f t="shared" si="0"/>
        <v>1.18E-2</v>
      </c>
      <c r="H22" s="781">
        <v>124561</v>
      </c>
      <c r="I22" s="123">
        <f t="shared" si="1"/>
        <v>4.7199999999999999E-2</v>
      </c>
    </row>
    <row r="23" spans="1:9" x14ac:dyDescent="0.25">
      <c r="A23" s="712">
        <v>21</v>
      </c>
      <c r="B23" t="s">
        <v>2648</v>
      </c>
      <c r="C23" s="166">
        <v>78500</v>
      </c>
      <c r="D23" s="123">
        <f t="shared" si="0"/>
        <v>2.5000000000000001E-3</v>
      </c>
      <c r="H23" s="781">
        <v>15439</v>
      </c>
      <c r="I23" s="123">
        <f t="shared" si="1"/>
        <v>5.7999999999999996E-3</v>
      </c>
    </row>
    <row r="24" spans="1:9" x14ac:dyDescent="0.25">
      <c r="A24" s="712">
        <v>22</v>
      </c>
      <c r="B24" t="s">
        <v>2650</v>
      </c>
      <c r="C24" s="166">
        <v>30000</v>
      </c>
      <c r="D24" s="123">
        <f t="shared" si="0"/>
        <v>1E-3</v>
      </c>
      <c r="H24" s="781">
        <f>SUM(H19:H23)</f>
        <v>2640068</v>
      </c>
      <c r="I24" s="123">
        <f>SUM(I19:I23)</f>
        <v>0.99990000000000001</v>
      </c>
    </row>
    <row r="25" spans="1:9" x14ac:dyDescent="0.25">
      <c r="A25" s="712">
        <v>23</v>
      </c>
      <c r="B25" t="s">
        <v>2651</v>
      </c>
      <c r="C25" s="166">
        <v>296000</v>
      </c>
      <c r="D25" s="123">
        <f t="shared" si="0"/>
        <v>9.4999999999999998E-3</v>
      </c>
    </row>
    <row r="26" spans="1:9" x14ac:dyDescent="0.25">
      <c r="A26" s="712">
        <v>24</v>
      </c>
      <c r="B26" t="s">
        <v>2652</v>
      </c>
      <c r="C26" s="166">
        <v>10000</v>
      </c>
      <c r="D26" s="123">
        <f t="shared" si="0"/>
        <v>2.9999999999999997E-4</v>
      </c>
    </row>
    <row r="27" spans="1:9" x14ac:dyDescent="0.25">
      <c r="A27" s="712">
        <v>25</v>
      </c>
      <c r="B27" t="s">
        <v>412</v>
      </c>
      <c r="C27" s="166">
        <v>119653</v>
      </c>
      <c r="D27" s="123">
        <f t="shared" si="0"/>
        <v>3.8999999999999998E-3</v>
      </c>
    </row>
    <row r="28" spans="1:9" x14ac:dyDescent="0.25">
      <c r="A28" s="712">
        <v>26</v>
      </c>
      <c r="B28" t="s">
        <v>2019</v>
      </c>
      <c r="C28" s="166">
        <v>50000</v>
      </c>
      <c r="D28" s="123">
        <f t="shared" si="0"/>
        <v>1.6000000000000001E-3</v>
      </c>
    </row>
    <row r="29" spans="1:9" x14ac:dyDescent="0.25">
      <c r="A29" s="712">
        <v>27</v>
      </c>
      <c r="B29" t="s">
        <v>409</v>
      </c>
      <c r="C29" s="166">
        <v>34323</v>
      </c>
      <c r="D29" s="123">
        <f t="shared" si="0"/>
        <v>1.1000000000000001E-3</v>
      </c>
    </row>
    <row r="30" spans="1:9" x14ac:dyDescent="0.25">
      <c r="D30" s="123">
        <f t="shared" si="0"/>
        <v>0</v>
      </c>
    </row>
    <row r="31" spans="1:9" x14ac:dyDescent="0.25">
      <c r="D31" s="123">
        <f t="shared" si="0"/>
        <v>0</v>
      </c>
    </row>
    <row r="32" spans="1:9" x14ac:dyDescent="0.25">
      <c r="D32" s="123">
        <f t="shared" si="0"/>
        <v>0</v>
      </c>
    </row>
    <row r="33" spans="3:4" x14ac:dyDescent="0.25">
      <c r="C33" s="166">
        <f>SUM(C7:C32)</f>
        <v>30999173</v>
      </c>
      <c r="D33" s="123">
        <f>SUM(D7:D32)</f>
        <v>1</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EE134-8F9D-4CBD-AECD-0DEE626050A1}">
  <sheetPr>
    <tabColor rgb="FF92D050"/>
  </sheetPr>
  <dimension ref="A1:E89"/>
  <sheetViews>
    <sheetView workbookViewId="0">
      <selection activeCell="G64" sqref="G64"/>
    </sheetView>
  </sheetViews>
  <sheetFormatPr defaultRowHeight="13.8" x14ac:dyDescent="0.3"/>
  <cols>
    <col min="1" max="1" width="41.109375" style="947" customWidth="1"/>
    <col min="2" max="4" width="14.77734375" style="950" customWidth="1"/>
  </cols>
  <sheetData>
    <row r="1" spans="1:4" x14ac:dyDescent="0.3">
      <c r="A1" s="947" t="s">
        <v>1892</v>
      </c>
      <c r="B1" s="950" t="s">
        <v>1893</v>
      </c>
    </row>
    <row r="2" spans="1:4" x14ac:dyDescent="0.3">
      <c r="B2" s="950" t="s">
        <v>1894</v>
      </c>
    </row>
    <row r="3" spans="1:4" x14ac:dyDescent="0.3">
      <c r="A3" s="947" t="s">
        <v>1895</v>
      </c>
      <c r="B3" s="952" t="s">
        <v>252</v>
      </c>
      <c r="C3" s="952" t="s">
        <v>253</v>
      </c>
      <c r="D3" s="952" t="s">
        <v>732</v>
      </c>
    </row>
    <row r="5" spans="1:4" x14ac:dyDescent="0.3">
      <c r="A5" s="948" t="s">
        <v>344</v>
      </c>
    </row>
    <row r="6" spans="1:4" x14ac:dyDescent="0.3">
      <c r="A6" s="947" t="s">
        <v>276</v>
      </c>
      <c r="B6" s="950">
        <v>19037452</v>
      </c>
      <c r="C6" s="950">
        <f>+'Revenue Projections Detail'!R8</f>
        <v>21936352</v>
      </c>
      <c r="D6" s="950">
        <f>+C6-B6</f>
        <v>2898900</v>
      </c>
    </row>
    <row r="7" spans="1:4" x14ac:dyDescent="0.3">
      <c r="A7" s="949">
        <v>2.5000000000000001E-2</v>
      </c>
      <c r="B7" s="950">
        <v>475936</v>
      </c>
      <c r="C7" s="950">
        <f>+'Revenue Projections Detail'!R9</f>
        <v>548409</v>
      </c>
      <c r="D7" s="950">
        <f t="shared" ref="D7:D10" si="0">+C7-B7</f>
        <v>72473</v>
      </c>
    </row>
    <row r="8" spans="1:4" x14ac:dyDescent="0.3">
      <c r="A8" s="947" t="s">
        <v>277</v>
      </c>
      <c r="B8" s="950">
        <v>150000</v>
      </c>
      <c r="C8" s="950">
        <f>+'Revenue Projections Detail'!R10</f>
        <v>75000</v>
      </c>
      <c r="D8" s="950">
        <f t="shared" si="0"/>
        <v>-75000</v>
      </c>
    </row>
    <row r="9" spans="1:4" x14ac:dyDescent="0.3">
      <c r="A9" s="947" t="s">
        <v>148</v>
      </c>
      <c r="B9" s="950">
        <v>1156948</v>
      </c>
      <c r="C9" s="950">
        <f>+'Revenue Projections Detail'!R11</f>
        <v>1204231.58</v>
      </c>
      <c r="D9" s="950">
        <f t="shared" si="0"/>
        <v>47283.580000000075</v>
      </c>
    </row>
    <row r="10" spans="1:4" ht="15.6" x14ac:dyDescent="0.45">
      <c r="A10" s="947" t="s">
        <v>345</v>
      </c>
      <c r="B10" s="951">
        <v>-500000</v>
      </c>
      <c r="C10" s="951">
        <f>+'Revenue Projections Detail'!R12</f>
        <v>-1149544</v>
      </c>
      <c r="D10" s="953">
        <f t="shared" si="0"/>
        <v>-649544</v>
      </c>
    </row>
    <row r="11" spans="1:4" x14ac:dyDescent="0.3">
      <c r="A11" s="947" t="s">
        <v>278</v>
      </c>
      <c r="B11" s="950">
        <f>SUM(B6:B10)</f>
        <v>20320336</v>
      </c>
      <c r="C11" s="950">
        <f>SUM(C6:C10)</f>
        <v>22614448.579999998</v>
      </c>
      <c r="D11" s="950">
        <f>SUM(D6:D10)</f>
        <v>2294112.58</v>
      </c>
    </row>
    <row r="13" spans="1:4" ht="15.6" x14ac:dyDescent="0.45">
      <c r="A13" s="947" t="s">
        <v>279</v>
      </c>
      <c r="B13" s="951">
        <v>-150000</v>
      </c>
      <c r="C13" s="951">
        <f>+'Revenue Projections Detail'!R15</f>
        <v>-400000</v>
      </c>
      <c r="D13" s="953">
        <f t="shared" ref="D13" si="1">+C13-B13</f>
        <v>-250000</v>
      </c>
    </row>
    <row r="14" spans="1:4" x14ac:dyDescent="0.3">
      <c r="A14" s="947" t="s">
        <v>280</v>
      </c>
      <c r="B14" s="950">
        <f>SUM(B11:B13)</f>
        <v>20170336</v>
      </c>
      <c r="C14" s="950">
        <f>SUM(C11:C13)</f>
        <v>22214448.579999998</v>
      </c>
      <c r="D14" s="950">
        <f>SUM(D11:D13)</f>
        <v>2044112.58</v>
      </c>
    </row>
    <row r="16" spans="1:4" x14ac:dyDescent="0.3">
      <c r="A16" s="948" t="s">
        <v>346</v>
      </c>
      <c r="C16" s="950" t="str">
        <f>+'Revenue Projections Detail'!R20</f>
        <v>Est</v>
      </c>
    </row>
    <row r="17" spans="1:4" x14ac:dyDescent="0.3">
      <c r="A17" s="947" t="s">
        <v>281</v>
      </c>
      <c r="B17" s="950">
        <v>1575096</v>
      </c>
      <c r="C17" s="950">
        <f>+'Revenue Projections Detail'!R21</f>
        <v>1764674</v>
      </c>
      <c r="D17" s="950">
        <f t="shared" ref="D17:D22" si="2">+C17-B17</f>
        <v>189578</v>
      </c>
    </row>
    <row r="18" spans="1:4" x14ac:dyDescent="0.3">
      <c r="A18" s="947" t="s">
        <v>282</v>
      </c>
      <c r="B18" s="950">
        <v>51188</v>
      </c>
      <c r="C18" s="950">
        <f>+'Revenue Projections Detail'!R22</f>
        <v>25468</v>
      </c>
      <c r="D18" s="950">
        <f t="shared" si="2"/>
        <v>-25720</v>
      </c>
    </row>
    <row r="19" spans="1:4" x14ac:dyDescent="0.3">
      <c r="A19" s="947" t="s">
        <v>283</v>
      </c>
      <c r="B19" s="950">
        <v>36914</v>
      </c>
      <c r="C19" s="950">
        <f>+'Revenue Projections Detail'!R23</f>
        <v>36701</v>
      </c>
      <c r="D19" s="950">
        <f t="shared" si="2"/>
        <v>-213</v>
      </c>
    </row>
    <row r="20" spans="1:4" x14ac:dyDescent="0.3">
      <c r="A20" s="947" t="s">
        <v>284</v>
      </c>
      <c r="B20" s="950">
        <v>224065</v>
      </c>
      <c r="C20" s="950">
        <f>+'Revenue Projections Detail'!R24</f>
        <v>368422</v>
      </c>
      <c r="D20" s="950">
        <f t="shared" si="2"/>
        <v>144357</v>
      </c>
    </row>
    <row r="21" spans="1:4" x14ac:dyDescent="0.3">
      <c r="A21" s="947" t="s">
        <v>285</v>
      </c>
      <c r="B21" s="950">
        <v>16993</v>
      </c>
      <c r="C21" s="950">
        <f>+'Revenue Projections Detail'!R26</f>
        <v>25647</v>
      </c>
      <c r="D21" s="950">
        <f t="shared" si="2"/>
        <v>8654</v>
      </c>
    </row>
    <row r="22" spans="1:4" ht="15.6" x14ac:dyDescent="0.45">
      <c r="A22" s="947" t="s">
        <v>286</v>
      </c>
      <c r="B22" s="951">
        <f>-B21</f>
        <v>-16993</v>
      </c>
      <c r="C22" s="951">
        <f>+'Revenue Projections Detail'!R27</f>
        <v>-25647</v>
      </c>
      <c r="D22" s="953">
        <f t="shared" si="2"/>
        <v>-8654</v>
      </c>
    </row>
    <row r="23" spans="1:4" x14ac:dyDescent="0.3">
      <c r="A23" s="947" t="s">
        <v>287</v>
      </c>
      <c r="B23" s="950">
        <f>SUM(B17:B22)</f>
        <v>1887263</v>
      </c>
      <c r="C23" s="950">
        <f>SUM(C17:C22)</f>
        <v>2195265</v>
      </c>
      <c r="D23" s="950">
        <f>SUM(D17:D22)</f>
        <v>308002</v>
      </c>
    </row>
    <row r="25" spans="1:4" ht="15.6" x14ac:dyDescent="0.45">
      <c r="A25" s="947" t="s">
        <v>288</v>
      </c>
      <c r="B25" s="951">
        <v>-91919</v>
      </c>
      <c r="C25" s="951">
        <f>+'Revenue Projections Detail'!R30</f>
        <v>-110000</v>
      </c>
      <c r="D25" s="953">
        <f t="shared" ref="D25" si="3">+C25-B25</f>
        <v>-18081</v>
      </c>
    </row>
    <row r="26" spans="1:4" x14ac:dyDescent="0.3">
      <c r="A26" s="947" t="s">
        <v>289</v>
      </c>
      <c r="B26" s="950">
        <f>SUM(B23:B25)</f>
        <v>1795344</v>
      </c>
      <c r="C26" s="950">
        <f>SUM(C23:C25)</f>
        <v>2085265</v>
      </c>
      <c r="D26" s="950">
        <f>SUM(D23:D25)</f>
        <v>289921</v>
      </c>
    </row>
    <row r="28" spans="1:4" x14ac:dyDescent="0.3">
      <c r="A28" s="948" t="s">
        <v>349</v>
      </c>
    </row>
    <row r="29" spans="1:4" x14ac:dyDescent="0.3">
      <c r="A29" s="947" t="s">
        <v>290</v>
      </c>
      <c r="B29" s="950">
        <v>647500</v>
      </c>
      <c r="C29" s="950">
        <f>+'Revenue Projections Detail'!R36</f>
        <v>800000</v>
      </c>
      <c r="D29" s="950">
        <f t="shared" ref="D29:D40" si="4">+C29-B29</f>
        <v>152500</v>
      </c>
    </row>
    <row r="30" spans="1:4" x14ac:dyDescent="0.3">
      <c r="A30" s="947" t="s">
        <v>291</v>
      </c>
      <c r="B30" s="950">
        <v>1000</v>
      </c>
      <c r="C30" s="950">
        <f>+'Revenue Projections Detail'!R37</f>
        <v>0</v>
      </c>
      <c r="D30" s="950">
        <f t="shared" si="4"/>
        <v>-1000</v>
      </c>
    </row>
    <row r="31" spans="1:4" x14ac:dyDescent="0.3">
      <c r="A31" s="947" t="s">
        <v>292</v>
      </c>
      <c r="B31" s="950">
        <v>40000</v>
      </c>
      <c r="C31" s="950">
        <f>+'Revenue Projections Detail'!R38</f>
        <v>71000</v>
      </c>
      <c r="D31" s="950">
        <f t="shared" si="4"/>
        <v>31000</v>
      </c>
    </row>
    <row r="32" spans="1:4" x14ac:dyDescent="0.3">
      <c r="A32" s="947" t="s">
        <v>293</v>
      </c>
      <c r="B32" s="950">
        <v>110000</v>
      </c>
      <c r="C32" s="950">
        <f>+'Revenue Projections Detail'!R39</f>
        <v>137000</v>
      </c>
      <c r="D32" s="950">
        <f t="shared" si="4"/>
        <v>27000</v>
      </c>
    </row>
    <row r="33" spans="1:4" x14ac:dyDescent="0.3">
      <c r="A33" s="947" t="s">
        <v>294</v>
      </c>
      <c r="B33" s="950">
        <v>14000</v>
      </c>
      <c r="C33" s="950">
        <f>+'Revenue Projections Detail'!R40</f>
        <v>15000</v>
      </c>
      <c r="D33" s="950">
        <f t="shared" si="4"/>
        <v>1000</v>
      </c>
    </row>
    <row r="34" spans="1:4" x14ac:dyDescent="0.3">
      <c r="A34" s="947" t="s">
        <v>295</v>
      </c>
      <c r="B34" s="950">
        <v>238000</v>
      </c>
      <c r="C34" s="950">
        <f>+'Revenue Projections Detail'!R41</f>
        <v>304000</v>
      </c>
      <c r="D34" s="950">
        <f t="shared" si="4"/>
        <v>66000</v>
      </c>
    </row>
    <row r="35" spans="1:4" x14ac:dyDescent="0.3">
      <c r="A35" s="947" t="s">
        <v>350</v>
      </c>
      <c r="B35" s="950">
        <v>82247</v>
      </c>
      <c r="C35" s="950">
        <f>+'Revenue Projections Detail'!R42</f>
        <v>70769</v>
      </c>
      <c r="D35" s="950">
        <f t="shared" si="4"/>
        <v>-11478</v>
      </c>
    </row>
    <row r="36" spans="1:4" x14ac:dyDescent="0.3">
      <c r="A36" s="947" t="s">
        <v>296</v>
      </c>
      <c r="B36" s="950">
        <v>54760</v>
      </c>
      <c r="C36" s="950">
        <f>+'Revenue Projections Detail'!R43</f>
        <v>63000</v>
      </c>
      <c r="D36" s="950">
        <f t="shared" si="4"/>
        <v>8240</v>
      </c>
    </row>
    <row r="37" spans="1:4" x14ac:dyDescent="0.3">
      <c r="A37" s="947" t="s">
        <v>297</v>
      </c>
      <c r="B37" s="950">
        <v>125000</v>
      </c>
      <c r="C37" s="950">
        <f>+'Revenue Projections Detail'!R45</f>
        <v>57500</v>
      </c>
      <c r="D37" s="950">
        <f t="shared" si="4"/>
        <v>-67500</v>
      </c>
    </row>
    <row r="38" spans="1:4" x14ac:dyDescent="0.3">
      <c r="A38" s="947" t="s">
        <v>298</v>
      </c>
      <c r="B38" s="950">
        <v>19000</v>
      </c>
      <c r="C38" s="950">
        <f>+'Revenue Projections Detail'!R46</f>
        <v>10000</v>
      </c>
      <c r="D38" s="950">
        <f t="shared" si="4"/>
        <v>-9000</v>
      </c>
    </row>
    <row r="39" spans="1:4" x14ac:dyDescent="0.3">
      <c r="A39" s="947" t="s">
        <v>299</v>
      </c>
      <c r="B39" s="950">
        <v>5000</v>
      </c>
      <c r="C39" s="950">
        <f>+'Revenue Projections Detail'!R47</f>
        <v>1500</v>
      </c>
      <c r="D39" s="950">
        <f t="shared" si="4"/>
        <v>-3500</v>
      </c>
    </row>
    <row r="40" spans="1:4" ht="15.6" x14ac:dyDescent="0.45">
      <c r="A40" s="947" t="s">
        <v>302</v>
      </c>
      <c r="B40" s="953">
        <v>68668</v>
      </c>
      <c r="C40" s="953">
        <f>+'Revenue Projections Detail'!R50</f>
        <v>79000</v>
      </c>
      <c r="D40" s="953">
        <f t="shared" si="4"/>
        <v>10332</v>
      </c>
    </row>
    <row r="41" spans="1:4" x14ac:dyDescent="0.3">
      <c r="A41" s="947" t="s">
        <v>304</v>
      </c>
      <c r="B41" s="950">
        <f>SUM(B29:B40)</f>
        <v>1405175</v>
      </c>
      <c r="C41" s="950">
        <f>SUM(C29:C40)</f>
        <v>1608769</v>
      </c>
      <c r="D41" s="950">
        <f>SUM(D29:D40)</f>
        <v>203594</v>
      </c>
    </row>
    <row r="43" spans="1:4" x14ac:dyDescent="0.3">
      <c r="A43" s="947" t="s">
        <v>305</v>
      </c>
    </row>
    <row r="44" spans="1:4" x14ac:dyDescent="0.3">
      <c r="A44" s="947" t="s">
        <v>306</v>
      </c>
      <c r="B44" s="950">
        <v>77165</v>
      </c>
      <c r="C44" s="950">
        <f>+'Revenue Projections Detail'!R55</f>
        <v>77000</v>
      </c>
      <c r="D44" s="950">
        <f t="shared" ref="D44:D46" si="5">+C44-B44</f>
        <v>-165</v>
      </c>
    </row>
    <row r="45" spans="1:4" x14ac:dyDescent="0.3">
      <c r="A45" s="947" t="s">
        <v>307</v>
      </c>
      <c r="B45" s="950">
        <v>50250</v>
      </c>
      <c r="C45" s="950">
        <f>+'Revenue Projections Detail'!R56</f>
        <v>65000</v>
      </c>
      <c r="D45" s="950">
        <f t="shared" si="5"/>
        <v>14750</v>
      </c>
    </row>
    <row r="46" spans="1:4" ht="15.6" x14ac:dyDescent="0.45">
      <c r="A46" s="947" t="s">
        <v>308</v>
      </c>
      <c r="B46" s="951">
        <v>82247</v>
      </c>
      <c r="C46" s="951">
        <f>+'Revenue Projections Detail'!R57</f>
        <v>70769</v>
      </c>
      <c r="D46" s="953">
        <f t="shared" si="5"/>
        <v>-11478</v>
      </c>
    </row>
    <row r="47" spans="1:4" x14ac:dyDescent="0.3">
      <c r="A47" s="947" t="s">
        <v>309</v>
      </c>
      <c r="B47" s="950">
        <f>SUM(B41:B46)</f>
        <v>1614837</v>
      </c>
      <c r="C47" s="950">
        <f>SUM(C41:C46)</f>
        <v>1821538</v>
      </c>
      <c r="D47" s="950">
        <f>SUM(D41:D46)</f>
        <v>206701</v>
      </c>
    </row>
    <row r="49" spans="1:5" ht="14.4" thickBot="1" x14ac:dyDescent="0.35">
      <c r="A49" s="954" t="s">
        <v>1896</v>
      </c>
      <c r="B49" s="955">
        <f>+B47+B26+B14</f>
        <v>23580517</v>
      </c>
      <c r="C49" s="955">
        <f>+C47+C26+C14</f>
        <v>26121251.579999998</v>
      </c>
      <c r="D49" s="955">
        <f>+D47+D26+D14</f>
        <v>2540734.58</v>
      </c>
    </row>
    <row r="51" spans="1:5" x14ac:dyDescent="0.3">
      <c r="A51" s="954" t="s">
        <v>1897</v>
      </c>
    </row>
    <row r="52" spans="1:5" x14ac:dyDescent="0.3">
      <c r="A52" s="947" t="s">
        <v>1898</v>
      </c>
      <c r="B52" s="950">
        <f>+'Working Budget with funding det'!O56</f>
        <v>1558532</v>
      </c>
      <c r="C52" s="950">
        <f>+'Working Budget with funding det'!R56</f>
        <v>1663222</v>
      </c>
      <c r="D52" s="950">
        <f t="shared" ref="D52:D59" si="6">+C52-B52</f>
        <v>104690</v>
      </c>
    </row>
    <row r="53" spans="1:5" x14ac:dyDescent="0.3">
      <c r="A53" s="947" t="s">
        <v>1872</v>
      </c>
      <c r="B53" s="950">
        <f>+'Working Budget with funding det'!O70</f>
        <v>2518169</v>
      </c>
      <c r="C53" s="950">
        <f>+'Working Budget with funding det'!R70</f>
        <v>2763598</v>
      </c>
      <c r="D53" s="950">
        <f t="shared" si="6"/>
        <v>245429</v>
      </c>
    </row>
    <row r="54" spans="1:5" x14ac:dyDescent="0.3">
      <c r="A54" s="947" t="s">
        <v>1873</v>
      </c>
      <c r="B54" s="950">
        <f>+'Working Budget with funding det'!O80</f>
        <v>2569382</v>
      </c>
      <c r="C54" s="950">
        <f>+'Working Budget with funding det'!R80</f>
        <v>2940162</v>
      </c>
      <c r="D54" s="950">
        <f t="shared" si="6"/>
        <v>370780</v>
      </c>
      <c r="E54" s="947" t="s">
        <v>1899</v>
      </c>
    </row>
    <row r="55" spans="1:5" x14ac:dyDescent="0.3">
      <c r="A55" s="947" t="s">
        <v>1900</v>
      </c>
      <c r="B55" s="950">
        <f>+'Working Budget with funding det'!O88</f>
        <v>298287</v>
      </c>
      <c r="C55" s="950">
        <f>+'Working Budget with funding det'!R88</f>
        <v>305173</v>
      </c>
      <c r="D55" s="950">
        <f t="shared" si="6"/>
        <v>6886</v>
      </c>
    </row>
    <row r="56" spans="1:5" x14ac:dyDescent="0.3">
      <c r="A56" s="947" t="s">
        <v>1882</v>
      </c>
      <c r="B56" s="950">
        <f>+'Working Budget with funding det'!O96</f>
        <v>623164</v>
      </c>
      <c r="C56" s="950">
        <f>+'Working Budget with funding det'!R96</f>
        <v>685159</v>
      </c>
      <c r="D56" s="950">
        <f t="shared" si="6"/>
        <v>61995</v>
      </c>
    </row>
    <row r="57" spans="1:5" x14ac:dyDescent="0.3">
      <c r="A57" s="947" t="s">
        <v>1883</v>
      </c>
      <c r="B57" s="950">
        <f>+'Working Budget with funding det'!O99</f>
        <v>1162190</v>
      </c>
      <c r="C57" s="950">
        <f>+'Working Budget with funding det'!R99</f>
        <v>1158857</v>
      </c>
      <c r="D57" s="950">
        <f t="shared" si="6"/>
        <v>-3333</v>
      </c>
    </row>
    <row r="58" spans="1:5" x14ac:dyDescent="0.3">
      <c r="A58" s="947" t="s">
        <v>1884</v>
      </c>
      <c r="B58" s="950">
        <f>+'Working Budget with funding det'!O102</f>
        <v>110647</v>
      </c>
      <c r="C58" s="950">
        <f>+'Working Budget with funding det'!R102</f>
        <v>116874</v>
      </c>
      <c r="D58" s="950">
        <f t="shared" si="6"/>
        <v>6227</v>
      </c>
    </row>
    <row r="59" spans="1:5" ht="15.6" x14ac:dyDescent="0.45">
      <c r="A59" s="947" t="s">
        <v>1280</v>
      </c>
      <c r="B59" s="953">
        <f>+'Working Budget with funding det'!O108</f>
        <v>2510880</v>
      </c>
      <c r="C59" s="953">
        <f>+'Working Budget with funding det'!R108</f>
        <v>2776683</v>
      </c>
      <c r="D59" s="953">
        <f t="shared" si="6"/>
        <v>265803</v>
      </c>
    </row>
    <row r="60" spans="1:5" x14ac:dyDescent="0.3">
      <c r="A60" s="947" t="s">
        <v>1739</v>
      </c>
      <c r="B60" s="950">
        <f>SUM(B52:B59)</f>
        <v>11351251</v>
      </c>
      <c r="C60" s="950">
        <f t="shared" ref="C60:D60" si="7">SUM(C52:C59)</f>
        <v>12409728</v>
      </c>
      <c r="D60" s="950">
        <f t="shared" si="7"/>
        <v>1058477</v>
      </c>
    </row>
    <row r="62" spans="1:5" x14ac:dyDescent="0.3">
      <c r="A62" s="947" t="s">
        <v>1901</v>
      </c>
      <c r="B62" s="950">
        <v>1193743</v>
      </c>
      <c r="C62" s="950">
        <f>+'Working Budget with funding det'!R130</f>
        <v>837356</v>
      </c>
      <c r="D62" s="950">
        <f t="shared" ref="D62:D66" si="8">+C62-B62</f>
        <v>-356387</v>
      </c>
    </row>
    <row r="63" spans="1:5" ht="15.6" x14ac:dyDescent="0.45">
      <c r="A63" s="947" t="s">
        <v>1902</v>
      </c>
      <c r="B63" s="953"/>
      <c r="C63" s="953">
        <v>124356</v>
      </c>
      <c r="D63" s="953">
        <f t="shared" si="8"/>
        <v>124356</v>
      </c>
    </row>
    <row r="64" spans="1:5" x14ac:dyDescent="0.3">
      <c r="A64" s="947" t="s">
        <v>477</v>
      </c>
      <c r="B64" s="950">
        <f>+'Working Budget with funding det'!O131</f>
        <v>11341466</v>
      </c>
      <c r="C64" s="950">
        <f>+'Working Budget with funding det'!R131</f>
        <v>12143442</v>
      </c>
      <c r="D64" s="950">
        <f t="shared" si="8"/>
        <v>801976</v>
      </c>
    </row>
    <row r="66" spans="1:4" x14ac:dyDescent="0.3">
      <c r="A66" s="947" t="s">
        <v>1903</v>
      </c>
      <c r="B66" s="950">
        <v>251228</v>
      </c>
      <c r="C66" s="950">
        <f>+'Working Budget with funding det'!U120</f>
        <v>359499</v>
      </c>
      <c r="D66" s="950">
        <f t="shared" si="8"/>
        <v>108271</v>
      </c>
    </row>
    <row r="68" spans="1:4" x14ac:dyDescent="0.3">
      <c r="A68" s="947" t="s">
        <v>1904</v>
      </c>
    </row>
    <row r="69" spans="1:4" x14ac:dyDescent="0.3">
      <c r="A69" s="947" t="str">
        <f>+'Working Budget with funding det'!B144</f>
        <v>Operating Appropriation to OPEB</v>
      </c>
      <c r="B69" s="950">
        <f>+'Working Budget with funding det'!O144</f>
        <v>50000</v>
      </c>
      <c r="C69" s="950">
        <f>+'Working Budget with funding det'!R144</f>
        <v>50000</v>
      </c>
    </row>
    <row r="70" spans="1:4" x14ac:dyDescent="0.3">
      <c r="A70" s="947" t="str">
        <f>+'Working Budget with funding det'!B145</f>
        <v>Add'l Appropriation to OPEB</v>
      </c>
      <c r="B70" s="950">
        <f>+'Working Budget with funding det'!O145</f>
        <v>0</v>
      </c>
      <c r="C70" s="950">
        <f>+'Working Budget with funding det'!R145</f>
        <v>0</v>
      </c>
    </row>
    <row r="71" spans="1:4" x14ac:dyDescent="0.3">
      <c r="A71" s="947" t="str">
        <f>+'Working Budget with funding det'!B146</f>
        <v>Operating Appropriation to CI Stab</v>
      </c>
      <c r="B71" s="950">
        <f>+'Working Budget with funding det'!O146</f>
        <v>44960</v>
      </c>
      <c r="C71" s="950">
        <f>+'Working Budget with funding det'!R146</f>
        <v>46761</v>
      </c>
    </row>
    <row r="72" spans="1:4" x14ac:dyDescent="0.3">
      <c r="A72" s="947" t="str">
        <f>+'Working Budget with funding det'!B147</f>
        <v>Operating Appropriation to Town Gen Stab</v>
      </c>
      <c r="B72" s="950">
        <f>+'Working Budget with funding det'!O147</f>
        <v>0</v>
      </c>
      <c r="C72" s="950">
        <f>+'Working Budget with funding det'!R147</f>
        <v>0</v>
      </c>
    </row>
    <row r="73" spans="1:4" x14ac:dyDescent="0.3">
      <c r="A73" s="947" t="str">
        <f>+'Working Budget with funding det'!B150</f>
        <v>50% Kearsarge Lease - 48.5 % to GM Stab</v>
      </c>
      <c r="B73" s="950">
        <f>+'Working Budget with funding det'!O150</f>
        <v>40608</v>
      </c>
      <c r="C73" s="950">
        <f>+'Working Budget with funding det'!R150</f>
        <v>34323</v>
      </c>
    </row>
    <row r="74" spans="1:4" x14ac:dyDescent="0.3">
      <c r="A74" s="947" t="str">
        <f>+'Working Budget with funding det'!B151</f>
        <v>50% Kearsarge Lease - 51.5 % to Town Cap Stab</v>
      </c>
      <c r="B74" s="950">
        <f>+'Working Budget with funding det'!O151</f>
        <v>43120</v>
      </c>
      <c r="C74" s="950">
        <f>+'Working Budget with funding det'!R151</f>
        <v>36446</v>
      </c>
    </row>
    <row r="75" spans="1:4" x14ac:dyDescent="0.3">
      <c r="A75" s="947" t="str">
        <f>+'Working Budget with funding det'!B152</f>
        <v>50% Kearsarge Lease - 51.5 % to Town Cap Stab</v>
      </c>
      <c r="B75" s="950">
        <f>+'Working Budget with funding det'!O152</f>
        <v>43120</v>
      </c>
      <c r="C75" s="950">
        <f>+'Working Budget with funding det'!R152</f>
        <v>36446</v>
      </c>
    </row>
    <row r="76" spans="1:4" x14ac:dyDescent="0.3">
      <c r="A76" s="947" t="str">
        <f>+'Working Budget with funding det'!B164</f>
        <v xml:space="preserve">Assessors Utility Valuation </v>
      </c>
      <c r="B76" s="950">
        <f>+'Working Budget with funding det'!O164</f>
        <v>0</v>
      </c>
    </row>
    <row r="77" spans="1:4" x14ac:dyDescent="0.3">
      <c r="A77" s="947" t="str">
        <f>+'Working Budget with funding det'!B165</f>
        <v>Unsafe/Unhealth Buildings</v>
      </c>
      <c r="B77" s="950">
        <f>+'Working Budget with funding det'!O165</f>
        <v>0</v>
      </c>
    </row>
    <row r="78" spans="1:4" x14ac:dyDescent="0.3">
      <c r="A78" s="947" t="str">
        <f>+'Working Budget with funding det'!B166</f>
        <v>Unexpected Engineering Expenses</v>
      </c>
      <c r="B78" s="950">
        <f>+'Working Budget with funding det'!O166</f>
        <v>0</v>
      </c>
    </row>
    <row r="79" spans="1:4" x14ac:dyDescent="0.3">
      <c r="A79" s="947" t="str">
        <f>+'Working Budget with funding det'!B167</f>
        <v>Unexpected Project Shortfalls</v>
      </c>
      <c r="B79" s="950">
        <f>+'Working Budget with funding det'!O167</f>
        <v>21584</v>
      </c>
    </row>
    <row r="80" spans="1:4" x14ac:dyDescent="0.3">
      <c r="A80" s="947" t="str">
        <f>+'Working Budget with funding det'!B203</f>
        <v>Smith Votech Tuition/Trans (FY22-FY24)</v>
      </c>
      <c r="C80" s="950">
        <f>+'Working Budget with funding det'!R203</f>
        <v>0</v>
      </c>
    </row>
    <row r="81" spans="1:4" x14ac:dyDescent="0.3">
      <c r="A81" s="947" t="str">
        <f>+'Working Budget with funding det'!B216</f>
        <v>Police Discretionary (to budget for FY21)</v>
      </c>
      <c r="C81" s="950">
        <f>+'Working Budget with funding det'!R216</f>
        <v>0</v>
      </c>
    </row>
    <row r="82" spans="1:4" x14ac:dyDescent="0.3">
      <c r="A82" s="947" t="str">
        <f>+'Working Budget with funding det'!B172</f>
        <v xml:space="preserve">DPW Discretionary </v>
      </c>
      <c r="B82" s="950">
        <f>+'Working Budget with funding det'!O172</f>
        <v>75000</v>
      </c>
      <c r="C82" s="950">
        <f>+'Working Budget with funding det'!R172</f>
        <v>64218</v>
      </c>
    </row>
    <row r="84" spans="1:4" x14ac:dyDescent="0.3">
      <c r="A84" s="947" t="str">
        <f>+'Working Budget with funding det'!B271</f>
        <v>Total Special Articles</v>
      </c>
      <c r="B84" s="950">
        <f>SUM(B69:B83)</f>
        <v>318392</v>
      </c>
      <c r="C84" s="950">
        <f>SUM(C69:C83)</f>
        <v>268194</v>
      </c>
      <c r="D84" s="950">
        <f t="shared" ref="D84" si="9">+C84-B84</f>
        <v>-50198</v>
      </c>
    </row>
    <row r="86" spans="1:4" x14ac:dyDescent="0.3">
      <c r="A86" s="947" t="s">
        <v>1905</v>
      </c>
      <c r="B86" s="950">
        <f>+B49</f>
        <v>23580517</v>
      </c>
      <c r="C86" s="950">
        <f t="shared" ref="C86:D86" si="10">+C49</f>
        <v>26121251.579999998</v>
      </c>
      <c r="D86" s="950">
        <f t="shared" si="10"/>
        <v>2540734.58</v>
      </c>
    </row>
    <row r="87" spans="1:4" x14ac:dyDescent="0.3">
      <c r="A87" s="947" t="s">
        <v>1906</v>
      </c>
      <c r="B87" s="950">
        <f>SUM(B60:B82)</f>
        <v>24456080</v>
      </c>
      <c r="C87" s="950">
        <f>SUM(C60:C82)</f>
        <v>26142575</v>
      </c>
      <c r="D87" s="950">
        <f t="shared" ref="D87" si="11">+C87-B87</f>
        <v>1686495</v>
      </c>
    </row>
    <row r="88" spans="1:4" x14ac:dyDescent="0.3">
      <c r="A88" s="947">
        <f>+'Working Budget with funding det'!B279</f>
        <v>0</v>
      </c>
      <c r="B88" s="950">
        <f>+'Working Budget with funding det'!O279</f>
        <v>0</v>
      </c>
      <c r="C88" s="950">
        <f>+'Working Budget with funding det'!R279</f>
        <v>0</v>
      </c>
    </row>
    <row r="89" spans="1:4" x14ac:dyDescent="0.3">
      <c r="A89" s="947" t="str">
        <f>+'Working Budget with funding det'!B280</f>
        <v>ESTIMATED SHORTFALL</v>
      </c>
      <c r="B89" s="950">
        <f>+B86-B87</f>
        <v>-875563</v>
      </c>
      <c r="C89" s="950">
        <f>+C86-C87</f>
        <v>-21323.420000001788</v>
      </c>
      <c r="D89" s="950">
        <f>+D86-D87</f>
        <v>854239.58000000007</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33468-E0E1-4564-8136-836F4587678A}">
  <sheetPr>
    <tabColor theme="0" tint="-0.499984740745262"/>
  </sheetPr>
  <dimension ref="A1:U33"/>
  <sheetViews>
    <sheetView workbookViewId="0">
      <selection activeCell="P17" sqref="P17"/>
    </sheetView>
  </sheetViews>
  <sheetFormatPr defaultRowHeight="13.2" x14ac:dyDescent="0.25"/>
  <cols>
    <col min="2" max="2" width="22.33203125" customWidth="1"/>
    <col min="3" max="12" width="10.44140625" hidden="1" customWidth="1"/>
    <col min="13" max="21" width="10.44140625" customWidth="1"/>
  </cols>
  <sheetData>
    <row r="1" spans="1:21" x14ac:dyDescent="0.25">
      <c r="A1" s="701" t="s">
        <v>736</v>
      </c>
      <c r="B1" s="290" t="s">
        <v>194</v>
      </c>
      <c r="C1" s="1"/>
      <c r="D1" s="194"/>
      <c r="E1" s="194"/>
      <c r="F1" s="194"/>
      <c r="G1" s="194"/>
      <c r="H1" s="194"/>
      <c r="I1" s="194"/>
      <c r="J1" s="194"/>
      <c r="K1" s="194"/>
      <c r="L1" s="194"/>
      <c r="M1" s="194"/>
      <c r="N1" s="194"/>
      <c r="O1" s="194"/>
      <c r="P1" s="194"/>
      <c r="Q1" s="194"/>
      <c r="S1" s="1"/>
      <c r="T1" s="1"/>
    </row>
    <row r="2" spans="1:21" ht="13.8" x14ac:dyDescent="0.25">
      <c r="A2" s="702" t="s">
        <v>944</v>
      </c>
      <c r="B2" s="43"/>
      <c r="C2" s="1"/>
      <c r="D2" s="1"/>
      <c r="E2" s="125"/>
      <c r="F2" s="1"/>
      <c r="G2" s="1"/>
      <c r="H2" s="1"/>
      <c r="I2" s="125" t="s">
        <v>706</v>
      </c>
      <c r="J2" s="125"/>
      <c r="K2" s="125"/>
      <c r="L2" s="125"/>
      <c r="M2" s="125"/>
      <c r="N2" s="125"/>
      <c r="O2" s="125"/>
      <c r="P2" s="125"/>
      <c r="Q2" s="125"/>
      <c r="R2" s="58" t="s">
        <v>100</v>
      </c>
      <c r="S2" s="1"/>
      <c r="T2" s="1"/>
      <c r="U2" s="44" t="s">
        <v>945</v>
      </c>
    </row>
    <row r="3" spans="1:21" ht="13.8" thickBot="1" x14ac:dyDescent="0.3">
      <c r="A3" s="703"/>
      <c r="B3" s="4"/>
      <c r="C3" s="23"/>
      <c r="D3" s="23"/>
      <c r="E3" s="23"/>
      <c r="F3" s="23"/>
      <c r="G3" s="23"/>
      <c r="H3" s="23"/>
      <c r="I3" s="23"/>
      <c r="J3" s="23"/>
      <c r="K3" s="23"/>
      <c r="L3" s="23"/>
      <c r="M3" s="23"/>
      <c r="N3" s="23"/>
      <c r="O3" s="23"/>
      <c r="P3" s="23"/>
      <c r="Q3" s="23"/>
      <c r="R3" s="4"/>
      <c r="S3" s="23"/>
      <c r="T3" s="23"/>
      <c r="U3" s="4"/>
    </row>
    <row r="4" spans="1:21" ht="13.8" thickTop="1" x14ac:dyDescent="0.25">
      <c r="A4" s="704"/>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708</v>
      </c>
      <c r="S4" s="79" t="s">
        <v>1345</v>
      </c>
      <c r="T4" s="79" t="s">
        <v>1345</v>
      </c>
      <c r="U4" s="7" t="s">
        <v>1345</v>
      </c>
    </row>
    <row r="5" spans="1:21" x14ac:dyDescent="0.25">
      <c r="A5" s="705"/>
      <c r="B5" s="184"/>
      <c r="C5" s="112"/>
      <c r="D5" s="82"/>
      <c r="E5" s="104"/>
      <c r="F5" s="82"/>
      <c r="G5" s="82"/>
      <c r="H5" s="104"/>
      <c r="I5" s="229"/>
      <c r="J5" s="229"/>
      <c r="K5" s="229"/>
      <c r="L5" s="229"/>
      <c r="M5" s="229"/>
      <c r="N5" s="229"/>
      <c r="O5" s="229"/>
      <c r="P5" s="229"/>
      <c r="Q5" s="229"/>
      <c r="R5" s="104" t="s">
        <v>709</v>
      </c>
      <c r="S5" s="83" t="s">
        <v>710</v>
      </c>
      <c r="T5" s="83" t="s">
        <v>711</v>
      </c>
      <c r="U5" s="178" t="s">
        <v>712</v>
      </c>
    </row>
    <row r="6" spans="1:21" x14ac:dyDescent="0.25">
      <c r="A6" s="705"/>
      <c r="B6" s="184"/>
      <c r="C6" s="112"/>
      <c r="D6" s="112"/>
      <c r="E6" s="112"/>
      <c r="F6" s="112"/>
      <c r="G6" s="112"/>
      <c r="H6" s="112"/>
      <c r="I6" s="83"/>
      <c r="J6" s="83"/>
      <c r="K6" s="83"/>
      <c r="L6" s="83"/>
      <c r="M6" s="83"/>
      <c r="N6" s="83"/>
      <c r="O6" s="83"/>
      <c r="P6" s="83"/>
      <c r="Q6" s="83"/>
      <c r="R6" s="112"/>
      <c r="S6" s="83" t="s">
        <v>713</v>
      </c>
      <c r="T6" s="83" t="s">
        <v>481</v>
      </c>
      <c r="U6" s="45" t="s">
        <v>714</v>
      </c>
    </row>
    <row r="7" spans="1:21" ht="13.8" thickBot="1" x14ac:dyDescent="0.3">
      <c r="A7" s="706" t="s">
        <v>715</v>
      </c>
      <c r="B7" s="78"/>
      <c r="C7" s="242" t="s">
        <v>243</v>
      </c>
      <c r="D7" s="242" t="s">
        <v>244</v>
      </c>
      <c r="E7" s="9" t="s">
        <v>245</v>
      </c>
      <c r="F7" s="9" t="s">
        <v>464</v>
      </c>
      <c r="G7" s="9" t="s">
        <v>465</v>
      </c>
      <c r="H7" s="9" t="s">
        <v>248</v>
      </c>
      <c r="I7" s="9" t="s">
        <v>249</v>
      </c>
      <c r="J7" s="9" t="s">
        <v>468</v>
      </c>
      <c r="K7" s="9" t="s">
        <v>251</v>
      </c>
      <c r="L7" s="9" t="s">
        <v>251</v>
      </c>
      <c r="M7" s="9" t="s">
        <v>252</v>
      </c>
      <c r="N7" s="9" t="s">
        <v>252</v>
      </c>
      <c r="O7" s="9" t="s">
        <v>253</v>
      </c>
      <c r="P7" s="9" t="s">
        <v>253</v>
      </c>
      <c r="Q7" s="1051" t="s">
        <v>469</v>
      </c>
      <c r="R7" s="120">
        <v>45291</v>
      </c>
      <c r="S7" s="9" t="s">
        <v>716</v>
      </c>
      <c r="T7" s="9"/>
      <c r="U7" s="9" t="s">
        <v>481</v>
      </c>
    </row>
    <row r="8" spans="1:21" ht="13.8" thickTop="1" x14ac:dyDescent="0.25">
      <c r="A8" s="725"/>
      <c r="B8" s="185"/>
      <c r="C8" s="117"/>
      <c r="D8" s="18"/>
      <c r="E8" s="18"/>
      <c r="F8" s="18"/>
      <c r="G8" s="18"/>
      <c r="H8" s="18"/>
      <c r="I8" s="19"/>
      <c r="J8" s="19"/>
      <c r="K8" s="19"/>
      <c r="L8" s="18"/>
      <c r="M8" s="18"/>
      <c r="N8" s="18"/>
      <c r="O8" s="19"/>
      <c r="P8" s="19"/>
      <c r="Q8" s="19"/>
      <c r="R8" s="18"/>
      <c r="S8" s="19"/>
      <c r="T8" s="19"/>
      <c r="U8" s="19"/>
    </row>
    <row r="9" spans="1:21" ht="13.8" thickBot="1" x14ac:dyDescent="0.3">
      <c r="A9" s="725">
        <v>5113</v>
      </c>
      <c r="B9" s="60" t="s">
        <v>946</v>
      </c>
      <c r="C9" s="117"/>
      <c r="D9" s="18"/>
      <c r="E9" s="18"/>
      <c r="F9" s="18"/>
      <c r="G9" s="18"/>
      <c r="H9" s="15"/>
      <c r="I9" s="16"/>
      <c r="J9" s="16"/>
      <c r="K9" s="16">
        <v>4000</v>
      </c>
      <c r="L9" s="15">
        <v>4000</v>
      </c>
      <c r="M9" s="16">
        <v>4000</v>
      </c>
      <c r="N9" s="15">
        <v>4000</v>
      </c>
      <c r="O9" s="16">
        <f>-3077+4000</f>
        <v>923</v>
      </c>
      <c r="P9" s="15">
        <v>1000</v>
      </c>
      <c r="Q9" s="16"/>
      <c r="R9" s="15"/>
      <c r="S9" s="16"/>
      <c r="T9" s="16"/>
      <c r="U9" s="16"/>
    </row>
    <row r="10" spans="1:21" x14ac:dyDescent="0.25">
      <c r="A10" s="725"/>
      <c r="B10" s="61" t="s">
        <v>880</v>
      </c>
      <c r="C10" s="117"/>
      <c r="D10" s="18"/>
      <c r="E10" s="18"/>
      <c r="F10" s="18"/>
      <c r="G10" s="18"/>
      <c r="H10" s="18"/>
      <c r="I10" s="19"/>
      <c r="J10" s="19"/>
      <c r="K10" s="19">
        <f>+K9</f>
        <v>4000</v>
      </c>
      <c r="L10" s="18">
        <f t="shared" ref="L10:R10" si="0">+L9</f>
        <v>4000</v>
      </c>
      <c r="M10" s="19">
        <f t="shared" si="0"/>
        <v>4000</v>
      </c>
      <c r="N10" s="18">
        <f t="shared" si="0"/>
        <v>4000</v>
      </c>
      <c r="O10" s="19">
        <f t="shared" si="0"/>
        <v>923</v>
      </c>
      <c r="P10" s="19">
        <f t="shared" si="0"/>
        <v>1000</v>
      </c>
      <c r="Q10" s="19"/>
      <c r="R10" s="19">
        <f t="shared" si="0"/>
        <v>0</v>
      </c>
      <c r="S10" s="19">
        <f>+S9</f>
        <v>0</v>
      </c>
      <c r="T10" s="19"/>
      <c r="U10" s="19"/>
    </row>
    <row r="11" spans="1:21" x14ac:dyDescent="0.25">
      <c r="A11" s="725"/>
      <c r="B11" s="60"/>
      <c r="C11" s="117"/>
      <c r="D11" s="18"/>
      <c r="E11" s="18"/>
      <c r="F11" s="18"/>
      <c r="G11" s="18"/>
      <c r="H11" s="18"/>
      <c r="I11" s="19"/>
      <c r="J11" s="19"/>
      <c r="K11" s="19"/>
      <c r="L11" s="18"/>
      <c r="M11" s="19"/>
      <c r="N11" s="18"/>
      <c r="O11" s="19"/>
      <c r="P11" s="18"/>
      <c r="Q11" s="19"/>
      <c r="R11" s="18"/>
      <c r="S11" s="19"/>
      <c r="T11" s="19"/>
      <c r="U11" s="19"/>
    </row>
    <row r="12" spans="1:21" x14ac:dyDescent="0.25">
      <c r="A12" s="725"/>
      <c r="B12" s="101"/>
      <c r="C12" s="117"/>
      <c r="D12" s="18"/>
      <c r="E12" s="18"/>
      <c r="F12" s="18"/>
      <c r="G12" s="18"/>
      <c r="H12" s="18"/>
      <c r="I12" s="19"/>
      <c r="J12" s="19"/>
      <c r="K12" s="19"/>
      <c r="L12" s="18"/>
      <c r="M12" s="19"/>
      <c r="N12" s="18"/>
      <c r="O12" s="19"/>
      <c r="P12" s="18"/>
      <c r="Q12" s="19"/>
      <c r="R12" s="18"/>
      <c r="S12" s="19"/>
      <c r="T12" s="19"/>
      <c r="U12" s="19"/>
    </row>
    <row r="13" spans="1:21" ht="13.8" thickBot="1" x14ac:dyDescent="0.3">
      <c r="A13" s="708">
        <v>5740</v>
      </c>
      <c r="B13" s="584" t="s">
        <v>947</v>
      </c>
      <c r="C13" s="116">
        <v>1485</v>
      </c>
      <c r="D13" s="15">
        <v>0</v>
      </c>
      <c r="E13" s="15">
        <v>676</v>
      </c>
      <c r="F13" s="15">
        <v>776</v>
      </c>
      <c r="G13" s="15">
        <v>984</v>
      </c>
      <c r="H13" s="15">
        <v>884</v>
      </c>
      <c r="I13" s="15">
        <v>882.6</v>
      </c>
      <c r="J13" s="15">
        <v>930</v>
      </c>
      <c r="K13" s="16">
        <v>1000</v>
      </c>
      <c r="L13" s="15">
        <v>815</v>
      </c>
      <c r="M13" s="16">
        <v>1000</v>
      </c>
      <c r="N13" s="15">
        <v>884</v>
      </c>
      <c r="O13" s="16">
        <v>1000</v>
      </c>
      <c r="P13" s="15">
        <v>923</v>
      </c>
      <c r="Q13" s="16"/>
      <c r="R13" s="15"/>
      <c r="S13" s="16"/>
      <c r="T13" s="16"/>
      <c r="U13" s="16"/>
    </row>
    <row r="14" spans="1:21" x14ac:dyDescent="0.25">
      <c r="A14" s="708"/>
      <c r="B14" s="61" t="s">
        <v>728</v>
      </c>
      <c r="C14" s="117">
        <f t="shared" ref="C14:S14" si="1">SUM(C13:C13)</f>
        <v>1485</v>
      </c>
      <c r="D14" s="18">
        <f t="shared" si="1"/>
        <v>0</v>
      </c>
      <c r="E14" s="18">
        <f t="shared" si="1"/>
        <v>676</v>
      </c>
      <c r="F14" s="18">
        <f>+F13</f>
        <v>776</v>
      </c>
      <c r="G14" s="18">
        <f>+G13</f>
        <v>984</v>
      </c>
      <c r="H14" s="18">
        <f>+H13</f>
        <v>884</v>
      </c>
      <c r="I14" s="18">
        <f t="shared" si="1"/>
        <v>882.6</v>
      </c>
      <c r="J14" s="18">
        <f t="shared" si="1"/>
        <v>930</v>
      </c>
      <c r="K14" s="34">
        <f t="shared" si="1"/>
        <v>1000</v>
      </c>
      <c r="L14" s="18">
        <f t="shared" si="1"/>
        <v>815</v>
      </c>
      <c r="M14" s="34">
        <f t="shared" si="1"/>
        <v>1000</v>
      </c>
      <c r="N14" s="18">
        <f t="shared" si="1"/>
        <v>884</v>
      </c>
      <c r="O14" s="34">
        <f t="shared" si="1"/>
        <v>1000</v>
      </c>
      <c r="P14" s="34">
        <f t="shared" si="1"/>
        <v>923</v>
      </c>
      <c r="Q14" s="34"/>
      <c r="R14" s="18">
        <f t="shared" si="1"/>
        <v>0</v>
      </c>
      <c r="S14" s="34">
        <f t="shared" si="1"/>
        <v>0</v>
      </c>
      <c r="T14" s="34"/>
      <c r="U14" s="34">
        <f>SUM(U13:U13)</f>
        <v>0</v>
      </c>
    </row>
    <row r="15" spans="1:21" x14ac:dyDescent="0.25">
      <c r="A15" s="708"/>
      <c r="B15" s="60"/>
      <c r="C15" s="115"/>
      <c r="D15" s="13"/>
      <c r="E15" s="13"/>
      <c r="F15" s="13"/>
      <c r="G15" s="13"/>
      <c r="H15" s="13"/>
      <c r="I15" s="13"/>
      <c r="J15" s="13"/>
      <c r="K15" s="14"/>
      <c r="L15" s="13"/>
      <c r="M15" s="14"/>
      <c r="N15" s="13"/>
      <c r="O15" s="14"/>
      <c r="P15" s="13"/>
      <c r="Q15" s="14"/>
      <c r="R15" s="13"/>
      <c r="S15" s="14"/>
      <c r="T15" s="14"/>
      <c r="U15" s="14"/>
    </row>
    <row r="16" spans="1:21" x14ac:dyDescent="0.25">
      <c r="A16" s="708"/>
      <c r="B16" s="60"/>
      <c r="C16" s="115"/>
      <c r="D16" s="13"/>
      <c r="E16" s="13"/>
      <c r="F16" s="13"/>
      <c r="G16" s="13"/>
      <c r="H16" s="13"/>
      <c r="I16" s="13"/>
      <c r="J16" s="13"/>
      <c r="K16" s="14"/>
      <c r="L16" s="13"/>
      <c r="M16" s="14"/>
      <c r="N16" s="13"/>
      <c r="O16" s="14"/>
      <c r="P16" s="13"/>
      <c r="Q16" s="14"/>
      <c r="R16" s="13"/>
      <c r="S16" s="14"/>
      <c r="T16" s="14"/>
      <c r="U16" s="14"/>
    </row>
    <row r="17" spans="1:21" ht="13.8" thickBot="1" x14ac:dyDescent="0.3">
      <c r="A17" s="709"/>
      <c r="B17" s="583" t="s">
        <v>948</v>
      </c>
      <c r="C17" s="577">
        <f t="shared" ref="C17:R17" si="2">+C14</f>
        <v>1485</v>
      </c>
      <c r="D17" s="21">
        <f t="shared" si="2"/>
        <v>0</v>
      </c>
      <c r="E17" s="21">
        <f>+E14</f>
        <v>676</v>
      </c>
      <c r="F17" s="21">
        <f>+F14</f>
        <v>776</v>
      </c>
      <c r="G17" s="21">
        <f>+G14</f>
        <v>984</v>
      </c>
      <c r="H17" s="21">
        <f>+H14</f>
        <v>884</v>
      </c>
      <c r="I17" s="21">
        <f t="shared" si="2"/>
        <v>882.6</v>
      </c>
      <c r="J17" s="21">
        <f t="shared" si="2"/>
        <v>930</v>
      </c>
      <c r="K17" s="39">
        <f>+K14+K10</f>
        <v>5000</v>
      </c>
      <c r="L17" s="21">
        <f t="shared" ref="L17:P17" si="3">+L14+L10</f>
        <v>4815</v>
      </c>
      <c r="M17" s="39">
        <f t="shared" si="3"/>
        <v>5000</v>
      </c>
      <c r="N17" s="21">
        <f t="shared" si="3"/>
        <v>4884</v>
      </c>
      <c r="O17" s="39">
        <f t="shared" si="3"/>
        <v>1923</v>
      </c>
      <c r="P17" s="39">
        <f t="shared" si="3"/>
        <v>1923</v>
      </c>
      <c r="Q17" s="39"/>
      <c r="R17" s="21">
        <f t="shared" si="2"/>
        <v>0</v>
      </c>
      <c r="S17" s="39">
        <f>+S14+S10</f>
        <v>0</v>
      </c>
      <c r="T17" s="39">
        <f>+S17</f>
        <v>0</v>
      </c>
      <c r="U17" s="39">
        <f>+S17</f>
        <v>0</v>
      </c>
    </row>
    <row r="18" spans="1:21" ht="13.8" thickTop="1" x14ac:dyDescent="0.25">
      <c r="A18" s="703"/>
      <c r="B18" s="584"/>
      <c r="C18" s="24"/>
      <c r="D18" s="24"/>
      <c r="E18" s="24"/>
      <c r="F18" s="24"/>
      <c r="G18" s="24"/>
      <c r="H18" s="24"/>
      <c r="I18" s="24"/>
      <c r="J18" s="24"/>
      <c r="K18" s="24"/>
      <c r="L18" s="24"/>
      <c r="M18" s="24"/>
      <c r="N18" s="24"/>
      <c r="O18" s="24"/>
      <c r="P18" s="24"/>
      <c r="Q18" s="24"/>
      <c r="R18" s="25"/>
      <c r="S18" s="24"/>
      <c r="T18" s="24"/>
      <c r="U18" s="23"/>
    </row>
    <row r="19" spans="1:21" x14ac:dyDescent="0.25">
      <c r="A19" s="712"/>
      <c r="B19" s="213"/>
      <c r="C19" s="1"/>
      <c r="D19" s="1"/>
      <c r="E19" s="1"/>
      <c r="F19" s="1"/>
      <c r="G19" s="1"/>
      <c r="H19" s="1"/>
    </row>
    <row r="20" spans="1:21" x14ac:dyDescent="0.25">
      <c r="A20" s="712"/>
      <c r="B20" s="213"/>
      <c r="C20" s="1"/>
      <c r="D20" s="1"/>
      <c r="E20" s="1"/>
      <c r="F20" s="1"/>
      <c r="G20" s="1"/>
      <c r="H20" s="1"/>
    </row>
    <row r="21" spans="1:21" x14ac:dyDescent="0.25">
      <c r="A21" s="712"/>
      <c r="B21" s="268"/>
      <c r="C21" s="1"/>
      <c r="D21" s="1"/>
      <c r="E21" s="1"/>
      <c r="F21" s="1"/>
      <c r="G21" s="1"/>
      <c r="H21" s="1"/>
    </row>
    <row r="22" spans="1:21" ht="13.8" thickBot="1" x14ac:dyDescent="0.3">
      <c r="A22" s="712"/>
      <c r="B22" s="213"/>
      <c r="C22" s="1"/>
      <c r="D22" s="1"/>
      <c r="E22" s="1"/>
      <c r="F22" s="1"/>
      <c r="G22" s="1"/>
      <c r="H22" s="1"/>
    </row>
    <row r="23" spans="1:21" ht="13.8" thickTop="1" x14ac:dyDescent="0.25">
      <c r="A23" s="718"/>
      <c r="B23" s="349"/>
      <c r="C23" s="350" t="s">
        <v>256</v>
      </c>
      <c r="D23" s="351" t="s">
        <v>256</v>
      </c>
      <c r="E23" s="351" t="s">
        <v>256</v>
      </c>
      <c r="F23" s="1"/>
      <c r="G23" s="1"/>
      <c r="H23" s="1"/>
      <c r="K23" s="352" t="s">
        <v>255</v>
      </c>
      <c r="L23" s="353" t="s">
        <v>716</v>
      </c>
      <c r="M23" s="352" t="s">
        <v>255</v>
      </c>
      <c r="N23" s="353" t="s">
        <v>716</v>
      </c>
      <c r="O23" s="354" t="s">
        <v>730</v>
      </c>
      <c r="P23" s="354"/>
      <c r="Q23" s="354"/>
      <c r="R23" s="353" t="s">
        <v>731</v>
      </c>
      <c r="S23" s="355"/>
      <c r="T23" s="550"/>
      <c r="U23" s="354"/>
    </row>
    <row r="24" spans="1:21" ht="13.8" thickBot="1" x14ac:dyDescent="0.3">
      <c r="A24" s="719" t="s">
        <v>715</v>
      </c>
      <c r="B24" s="356"/>
      <c r="C24" s="357" t="s">
        <v>243</v>
      </c>
      <c r="D24" s="357" t="s">
        <v>244</v>
      </c>
      <c r="E24" s="358" t="s">
        <v>245</v>
      </c>
      <c r="F24" s="1"/>
      <c r="G24" s="1"/>
      <c r="H24" s="1"/>
      <c r="K24" s="359" t="s">
        <v>253</v>
      </c>
      <c r="L24" s="359" t="s">
        <v>469</v>
      </c>
      <c r="M24" s="359" t="s">
        <v>252</v>
      </c>
      <c r="N24" s="359" t="s">
        <v>253</v>
      </c>
      <c r="O24" s="358" t="s">
        <v>732</v>
      </c>
      <c r="P24" s="359"/>
      <c r="Q24" s="359"/>
      <c r="R24" s="360" t="s">
        <v>732</v>
      </c>
      <c r="S24" s="361" t="s">
        <v>733</v>
      </c>
      <c r="T24" s="551"/>
      <c r="U24" s="359"/>
    </row>
    <row r="25" spans="1:21" ht="13.8" thickTop="1" x14ac:dyDescent="0.25">
      <c r="A25" s="726"/>
      <c r="B25" s="376"/>
      <c r="C25" s="365"/>
      <c r="D25" s="365"/>
      <c r="E25" s="365"/>
      <c r="F25" s="1"/>
      <c r="G25" s="1"/>
      <c r="H25" s="1"/>
      <c r="K25" s="366"/>
      <c r="L25" s="365"/>
      <c r="M25" s="366"/>
      <c r="N25" s="365"/>
      <c r="O25" s="368"/>
      <c r="P25" s="396"/>
      <c r="Q25" s="396"/>
      <c r="R25" s="374"/>
      <c r="S25" s="367"/>
      <c r="T25" s="553"/>
      <c r="U25" s="368"/>
    </row>
    <row r="26" spans="1:21" x14ac:dyDescent="0.25">
      <c r="A26" s="726">
        <v>5100</v>
      </c>
      <c r="B26" s="376" t="s">
        <v>946</v>
      </c>
      <c r="C26" s="365"/>
      <c r="D26" s="365"/>
      <c r="E26" s="365"/>
      <c r="F26" s="596"/>
      <c r="G26" s="596"/>
      <c r="H26" s="1"/>
      <c r="K26" s="366">
        <f>+O9</f>
        <v>923</v>
      </c>
      <c r="L26" s="365">
        <f>+S9</f>
        <v>0</v>
      </c>
      <c r="M26" s="366">
        <f>+S9</f>
        <v>0</v>
      </c>
      <c r="N26" s="365">
        <f>+U9</f>
        <v>0</v>
      </c>
      <c r="O26" s="368">
        <f>+L26-K26</f>
        <v>-923</v>
      </c>
      <c r="P26" s="396"/>
      <c r="Q26" s="396"/>
      <c r="R26" s="374">
        <f>IF(K26+L26&lt;&gt;0,IF(K26&lt;&gt;0,IF(O26&lt;&gt;0,ROUND((+O26/K26),4),""),1),"")</f>
        <v>-1</v>
      </c>
      <c r="S26" s="367" t="s">
        <v>1930</v>
      </c>
      <c r="T26" s="553"/>
      <c r="U26" s="368"/>
    </row>
    <row r="27" spans="1:21" x14ac:dyDescent="0.25">
      <c r="A27" s="726"/>
      <c r="B27" s="397"/>
      <c r="C27" s="377"/>
      <c r="D27" s="377"/>
      <c r="E27" s="377"/>
      <c r="F27" s="1"/>
      <c r="G27" s="1"/>
      <c r="H27" s="1"/>
      <c r="K27" s="595"/>
      <c r="L27" s="377"/>
      <c r="M27" s="595"/>
      <c r="N27" s="377"/>
      <c r="O27" s="368"/>
      <c r="P27" s="396"/>
      <c r="Q27" s="396"/>
      <c r="R27" s="374"/>
      <c r="S27" s="367"/>
      <c r="T27" s="553"/>
      <c r="U27" s="368"/>
    </row>
    <row r="28" spans="1:21" ht="13.8" thickBot="1" x14ac:dyDescent="0.3">
      <c r="A28" s="724">
        <v>5740</v>
      </c>
      <c r="B28" s="388" t="s">
        <v>947</v>
      </c>
      <c r="C28" s="371">
        <v>1485</v>
      </c>
      <c r="D28" s="371">
        <v>0</v>
      </c>
      <c r="E28" s="371">
        <v>676</v>
      </c>
      <c r="F28" s="1"/>
      <c r="G28" s="1"/>
      <c r="H28" s="1"/>
      <c r="K28" s="381">
        <f>+O13</f>
        <v>1000</v>
      </c>
      <c r="L28" s="526">
        <f>+S13</f>
        <v>0</v>
      </c>
      <c r="M28" s="381">
        <f>+S13</f>
        <v>0</v>
      </c>
      <c r="N28" s="526">
        <f>+U13</f>
        <v>0</v>
      </c>
      <c r="O28" s="368">
        <f>+L28-K28</f>
        <v>-1000</v>
      </c>
      <c r="P28" s="396"/>
      <c r="Q28" s="396"/>
      <c r="R28" s="374">
        <f>IF(K28+L28&lt;&gt;0,IF(K28&lt;&gt;0,IF(O28&lt;&gt;0,ROUND((+O28/K28),4),""),1),"")</f>
        <v>-1</v>
      </c>
      <c r="S28" s="367" t="s">
        <v>1931</v>
      </c>
      <c r="T28" s="553"/>
      <c r="U28" s="368"/>
    </row>
    <row r="29" spans="1:21" x14ac:dyDescent="0.25">
      <c r="A29" s="712"/>
      <c r="C29" s="1"/>
      <c r="D29" s="1"/>
      <c r="E29" s="1"/>
      <c r="F29" s="1"/>
      <c r="G29" s="1"/>
      <c r="H29" s="1"/>
      <c r="K29" s="1"/>
      <c r="M29" s="1"/>
    </row>
    <row r="30" spans="1:21" x14ac:dyDescent="0.25">
      <c r="A30" s="712"/>
      <c r="B30" s="4" t="s">
        <v>735</v>
      </c>
      <c r="C30" s="23"/>
      <c r="D30" s="23"/>
      <c r="E30" s="23"/>
      <c r="F30" s="23"/>
      <c r="G30" s="23"/>
      <c r="H30" s="1"/>
      <c r="K30" s="597">
        <f>SUM(K26:K28)</f>
        <v>1923</v>
      </c>
      <c r="L30" s="597">
        <f>SUM(L26:L28)</f>
        <v>0</v>
      </c>
      <c r="M30" s="597">
        <f>SUM(M26:M28)</f>
        <v>0</v>
      </c>
      <c r="N30" s="597">
        <f>SUM(N26:N28)</f>
        <v>0</v>
      </c>
      <c r="O30" s="25">
        <f>+L30-K30</f>
        <v>-1923</v>
      </c>
      <c r="P30" s="25"/>
      <c r="Q30" s="25"/>
      <c r="R30" s="598">
        <f>IF(K30+L30&lt;&gt;0,IF(K30&lt;&gt;0,IF(O30&lt;&gt;0,ROUND((+O30/K30),4),""),1),"")</f>
        <v>-1</v>
      </c>
    </row>
    <row r="31" spans="1:21" x14ac:dyDescent="0.25">
      <c r="A31" s="712"/>
      <c r="C31" s="1"/>
      <c r="D31" s="1"/>
      <c r="E31" s="1"/>
      <c r="F31" s="1"/>
      <c r="G31" s="1"/>
      <c r="H31" s="1"/>
    </row>
    <row r="32" spans="1:21" x14ac:dyDescent="0.25">
      <c r="A32" s="712"/>
      <c r="C32" s="1"/>
      <c r="D32" s="1"/>
      <c r="E32" s="1"/>
      <c r="F32" s="1"/>
      <c r="G32" s="1"/>
      <c r="H32" s="1"/>
    </row>
    <row r="33" spans="1:8" x14ac:dyDescent="0.25">
      <c r="A33" s="712"/>
      <c r="C33" s="1"/>
      <c r="D33" s="1"/>
      <c r="E33" s="1"/>
      <c r="F33" s="1"/>
      <c r="G33" s="1"/>
      <c r="H33" s="1"/>
    </row>
  </sheetData>
  <hyperlinks>
    <hyperlink ref="A1" location="'Working Budget with funding det'!A1" display="Main " xr:uid="{A76D4ADC-0DE5-4B25-ADEB-5263083850DE}"/>
    <hyperlink ref="B1" location="'Table of Contents'!A1" display="TOC" xr:uid="{C28CFDF0-1E7A-4246-8300-482198EF3220}"/>
  </hyperlinks>
  <pageMargins left="0.7" right="0.7" top="0.75" bottom="0.75" header="0.3" footer="0.3"/>
  <pageSetup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12C40-FD28-4956-AAFD-46CDA3A56999}">
  <dimension ref="A1:EZ290"/>
  <sheetViews>
    <sheetView zoomScaleNormal="100" workbookViewId="0">
      <pane xSplit="2" ySplit="2" topLeftCell="C254" activePane="bottomRight" state="frozen"/>
      <selection pane="topRight" activeCell="C1" sqref="C1"/>
      <selection pane="bottomLeft" activeCell="A3" sqref="A3"/>
      <selection pane="bottomRight" activeCell="B241" sqref="B241"/>
    </sheetView>
  </sheetViews>
  <sheetFormatPr defaultRowHeight="13.8" x14ac:dyDescent="0.3"/>
  <cols>
    <col min="1" max="1" width="2.6640625" style="947" customWidth="1"/>
    <col min="2" max="2" width="22.5546875" style="947" customWidth="1"/>
    <col min="3" max="5" width="13.77734375" style="1146" customWidth="1"/>
    <col min="6" max="6" width="13.77734375" style="1151" customWidth="1"/>
    <col min="7" max="8" width="13.77734375" style="1146" customWidth="1"/>
    <col min="9" max="9" width="13.77734375" style="1151" customWidth="1"/>
    <col min="10" max="11" width="13.77734375" style="1146" customWidth="1"/>
    <col min="12" max="12" width="13.77734375" style="1151" customWidth="1"/>
    <col min="13" max="14" width="13.77734375" style="1146" customWidth="1"/>
    <col min="15" max="15" width="13.77734375" style="1151" customWidth="1"/>
    <col min="16" max="17" width="13.77734375" style="1146" customWidth="1"/>
    <col min="18" max="18" width="13.77734375" style="1151" customWidth="1"/>
    <col min="19" max="20" width="13.77734375" style="1146" customWidth="1"/>
    <col min="21" max="21" width="13.77734375" style="1151" customWidth="1"/>
    <col min="22" max="23" width="13.77734375" style="1146" customWidth="1"/>
    <col min="24" max="24" width="13.77734375" style="1151" customWidth="1"/>
    <col min="25" max="26" width="13.77734375" style="1146" customWidth="1"/>
    <col min="27" max="28" width="13.77734375" style="1151" customWidth="1"/>
    <col min="29" max="30" width="13.77734375" style="1146" customWidth="1"/>
    <col min="31" max="32" width="13.77734375" style="1151" customWidth="1"/>
    <col min="33" max="36" width="13.77734375" style="1146" customWidth="1"/>
    <col min="37" max="37" width="13.77734375" style="1151" customWidth="1"/>
    <col min="38" max="42" width="13.77734375" style="1146" customWidth="1"/>
    <col min="43" max="43" width="13.77734375" style="1201" customWidth="1"/>
    <col min="44" max="44" width="13.77734375" style="947" customWidth="1"/>
    <col min="45" max="45" width="11.44140625" style="947" customWidth="1"/>
    <col min="46" max="46" width="10.5546875" style="947" customWidth="1"/>
    <col min="47" max="47" width="8.88671875" style="947"/>
    <col min="48" max="52" width="11.44140625" style="947" customWidth="1"/>
    <col min="53" max="156" width="8.88671875" style="947"/>
  </cols>
  <sheetData>
    <row r="1" spans="1:54" x14ac:dyDescent="0.3">
      <c r="C1" s="1147" t="s">
        <v>2219</v>
      </c>
      <c r="D1" s="1147" t="s">
        <v>2219</v>
      </c>
      <c r="E1" s="1147" t="s">
        <v>2213</v>
      </c>
      <c r="F1" s="1150" t="s">
        <v>1845</v>
      </c>
      <c r="G1" s="1147" t="s">
        <v>2219</v>
      </c>
      <c r="H1" s="1147" t="s">
        <v>2213</v>
      </c>
      <c r="I1" s="1150" t="s">
        <v>1845</v>
      </c>
      <c r="J1" s="1147" t="s">
        <v>2219</v>
      </c>
      <c r="K1" s="1147" t="s">
        <v>2213</v>
      </c>
      <c r="L1" s="1150" t="s">
        <v>1845</v>
      </c>
      <c r="M1" s="1147" t="s">
        <v>2219</v>
      </c>
      <c r="N1" s="1147" t="s">
        <v>2213</v>
      </c>
      <c r="O1" s="1150" t="s">
        <v>1845</v>
      </c>
      <c r="P1" s="1147" t="s">
        <v>2219</v>
      </c>
      <c r="Q1" s="1147" t="s">
        <v>2213</v>
      </c>
      <c r="R1" s="1150" t="s">
        <v>1845</v>
      </c>
      <c r="S1" s="1147" t="s">
        <v>2219</v>
      </c>
      <c r="T1" s="1147" t="s">
        <v>2213</v>
      </c>
      <c r="U1" s="1150" t="s">
        <v>1845</v>
      </c>
      <c r="V1" s="1147" t="s">
        <v>2219</v>
      </c>
      <c r="W1" s="1147" t="s">
        <v>2213</v>
      </c>
      <c r="X1" s="1150" t="s">
        <v>1845</v>
      </c>
      <c r="Y1" s="1147" t="s">
        <v>2219</v>
      </c>
      <c r="Z1" s="1147" t="s">
        <v>2213</v>
      </c>
      <c r="AA1" s="1150" t="s">
        <v>1845</v>
      </c>
      <c r="AB1" s="1147" t="s">
        <v>2213</v>
      </c>
      <c r="AC1" s="1147" t="s">
        <v>2219</v>
      </c>
      <c r="AD1" s="1147" t="s">
        <v>2213</v>
      </c>
      <c r="AE1" s="1150" t="s">
        <v>1845</v>
      </c>
      <c r="AF1" s="1147" t="s">
        <v>2213</v>
      </c>
      <c r="AG1" s="1147" t="s">
        <v>2219</v>
      </c>
      <c r="AH1" s="1147" t="s">
        <v>2213</v>
      </c>
      <c r="AI1" s="1147" t="s">
        <v>2245</v>
      </c>
      <c r="AJ1" s="1147" t="s">
        <v>2245</v>
      </c>
      <c r="AK1" s="1150" t="s">
        <v>1845</v>
      </c>
      <c r="AL1" s="1147" t="s">
        <v>2213</v>
      </c>
      <c r="AM1" s="1147" t="s">
        <v>2219</v>
      </c>
      <c r="AN1" s="1147" t="s">
        <v>2213</v>
      </c>
      <c r="AQ1" s="1150" t="s">
        <v>1845</v>
      </c>
      <c r="AR1" s="1147" t="s">
        <v>2213</v>
      </c>
      <c r="AS1" s="1200" t="s">
        <v>2245</v>
      </c>
      <c r="AT1" s="1200" t="s">
        <v>2245</v>
      </c>
      <c r="AU1" s="947" t="s">
        <v>2262</v>
      </c>
      <c r="BA1" s="947" t="s">
        <v>2259</v>
      </c>
    </row>
    <row r="2" spans="1:54" ht="14.4" thickBot="1" x14ac:dyDescent="0.35">
      <c r="A2" s="947" t="s">
        <v>2212</v>
      </c>
      <c r="C2" s="1210" t="s">
        <v>243</v>
      </c>
      <c r="D2" s="1210" t="s">
        <v>244</v>
      </c>
      <c r="E2" s="1210" t="s">
        <v>2222</v>
      </c>
      <c r="F2" s="1211" t="s">
        <v>245</v>
      </c>
      <c r="G2" s="1210" t="s">
        <v>245</v>
      </c>
      <c r="H2" s="1210" t="s">
        <v>2222</v>
      </c>
      <c r="I2" s="1211" t="s">
        <v>464</v>
      </c>
      <c r="J2" s="1210" t="s">
        <v>464</v>
      </c>
      <c r="K2" s="1210" t="s">
        <v>2222</v>
      </c>
      <c r="L2" s="1211" t="s">
        <v>465</v>
      </c>
      <c r="M2" s="1210" t="s">
        <v>465</v>
      </c>
      <c r="N2" s="1210" t="s">
        <v>2222</v>
      </c>
      <c r="O2" s="1211" t="s">
        <v>248</v>
      </c>
      <c r="P2" s="1210" t="s">
        <v>248</v>
      </c>
      <c r="Q2" s="1210" t="s">
        <v>2222</v>
      </c>
      <c r="R2" s="1211" t="s">
        <v>249</v>
      </c>
      <c r="S2" s="1210" t="s">
        <v>249</v>
      </c>
      <c r="T2" s="1210" t="s">
        <v>2222</v>
      </c>
      <c r="U2" s="1211" t="s">
        <v>468</v>
      </c>
      <c r="V2" s="1210" t="s">
        <v>468</v>
      </c>
      <c r="W2" s="1210" t="s">
        <v>2222</v>
      </c>
      <c r="X2" s="1211" t="s">
        <v>251</v>
      </c>
      <c r="Y2" s="1210" t="s">
        <v>251</v>
      </c>
      <c r="Z2" s="1210" t="s">
        <v>2222</v>
      </c>
      <c r="AA2" s="1211" t="s">
        <v>252</v>
      </c>
      <c r="AB2" s="1210" t="s">
        <v>2223</v>
      </c>
      <c r="AC2" s="1210" t="s">
        <v>252</v>
      </c>
      <c r="AD2" s="1210" t="s">
        <v>2222</v>
      </c>
      <c r="AE2" s="1211" t="s">
        <v>253</v>
      </c>
      <c r="AF2" s="1210" t="s">
        <v>2223</v>
      </c>
      <c r="AG2" s="1210" t="s">
        <v>253</v>
      </c>
      <c r="AH2" s="1210" t="s">
        <v>2222</v>
      </c>
      <c r="AI2" s="1210" t="s">
        <v>2246</v>
      </c>
      <c r="AJ2" s="1210" t="s">
        <v>2247</v>
      </c>
      <c r="AK2" s="1211" t="s">
        <v>469</v>
      </c>
      <c r="AL2" s="1210" t="s">
        <v>2223</v>
      </c>
      <c r="AM2" s="1210" t="s">
        <v>469</v>
      </c>
      <c r="AN2" s="1210" t="s">
        <v>2222</v>
      </c>
      <c r="AQ2" s="1211" t="s">
        <v>1345</v>
      </c>
      <c r="AR2" s="1210" t="s">
        <v>2223</v>
      </c>
      <c r="AS2" s="1212" t="s">
        <v>2246</v>
      </c>
      <c r="AT2" s="1212" t="s">
        <v>2247</v>
      </c>
      <c r="AV2" s="1216" t="s">
        <v>1346</v>
      </c>
      <c r="AW2" s="1216" t="s">
        <v>1347</v>
      </c>
      <c r="AX2" s="1216" t="s">
        <v>1348</v>
      </c>
      <c r="AY2" s="1216" t="s">
        <v>1349</v>
      </c>
      <c r="AZ2" s="1216" t="s">
        <v>1350</v>
      </c>
      <c r="BA2" s="947" t="s">
        <v>2263</v>
      </c>
    </row>
    <row r="3" spans="1:54" ht="14.4" thickTop="1" x14ac:dyDescent="0.3"/>
    <row r="4" spans="1:54" x14ac:dyDescent="0.3">
      <c r="A4" s="954" t="s">
        <v>513</v>
      </c>
    </row>
    <row r="5" spans="1:54" x14ac:dyDescent="0.3">
      <c r="B5" s="947" t="s">
        <v>2218</v>
      </c>
      <c r="C5" s="1146">
        <f>+'113 Town Mtg'!C10</f>
        <v>327</v>
      </c>
      <c r="D5" s="1146">
        <f>+'113 Town Mtg'!D10</f>
        <v>340</v>
      </c>
      <c r="E5" s="1168">
        <f>ROUND(((+D5-C5)/C5),4)</f>
        <v>3.9800000000000002E-2</v>
      </c>
      <c r="F5" s="1151">
        <v>340</v>
      </c>
      <c r="G5" s="1146">
        <f>+'113 Town Mtg'!E10</f>
        <v>340</v>
      </c>
      <c r="H5" s="1168">
        <f>ROUND(((+G5-D5)/D5),4)</f>
        <v>0</v>
      </c>
      <c r="I5" s="1151">
        <v>340</v>
      </c>
      <c r="J5" s="1146">
        <f>+'113 Town Mtg'!F10</f>
        <v>340</v>
      </c>
      <c r="K5" s="1168">
        <f>ROUND(((+J5-G5)/G5),4)</f>
        <v>0</v>
      </c>
      <c r="L5" s="1151">
        <v>350</v>
      </c>
      <c r="M5" s="1146">
        <f>+'113 Town Mtg'!G10</f>
        <v>340</v>
      </c>
      <c r="N5" s="1168">
        <f>ROUND(((+M5-J5)/J5),4)</f>
        <v>0</v>
      </c>
      <c r="O5" s="1151">
        <v>350</v>
      </c>
      <c r="P5" s="1146">
        <f>+'113 Town Mtg'!H10</f>
        <v>350</v>
      </c>
      <c r="Q5" s="1168">
        <f>ROUND(((+P5-M5)/M5),4)</f>
        <v>2.9399999999999999E-2</v>
      </c>
      <c r="R5" s="1151">
        <v>350</v>
      </c>
      <c r="S5" s="1146">
        <f>+'113 Town Mtg'!I10</f>
        <v>350</v>
      </c>
      <c r="T5" s="1168">
        <f>ROUND(((+S5-P5)/P5),4)</f>
        <v>0</v>
      </c>
      <c r="U5" s="1151">
        <v>370</v>
      </c>
      <c r="V5" s="1146">
        <f>+'113 Town Mtg'!J10</f>
        <v>370</v>
      </c>
      <c r="W5" s="1168">
        <f>ROUND(((+V5-S5)/S5),4)</f>
        <v>5.7099999999999998E-2</v>
      </c>
      <c r="X5" s="1151">
        <f>+'113 Town Mtg'!K10</f>
        <v>370</v>
      </c>
      <c r="Y5" s="1146">
        <f>+'113 Town Mtg'!L10</f>
        <v>370</v>
      </c>
      <c r="Z5" s="1168">
        <f>ROUND(((+Y5-V5)/V5),4)</f>
        <v>0</v>
      </c>
      <c r="AA5" s="1151">
        <f>+'113 Town Mtg'!M10</f>
        <v>370</v>
      </c>
      <c r="AB5" s="1168">
        <f>ROUND(((+AA5-X5)/X5),4)</f>
        <v>0</v>
      </c>
      <c r="AC5" s="1146">
        <f>+'113 Town Mtg'!N10</f>
        <v>370</v>
      </c>
      <c r="AD5" s="1168">
        <f t="shared" ref="AD5:AD7" si="0">ROUND(((+AC5-Y5)/Y5),4)</f>
        <v>0</v>
      </c>
      <c r="AE5" s="1151">
        <f>+'113 Town Mtg'!O10</f>
        <v>370</v>
      </c>
      <c r="AF5" s="1168">
        <f t="shared" ref="AF5:AF7" si="1">ROUND(((+AE5-AA5)/AA5),4)</f>
        <v>0</v>
      </c>
      <c r="AG5" s="1146">
        <f>+'113 Town Mtg'!P10</f>
        <v>370</v>
      </c>
      <c r="AH5" s="1168">
        <f t="shared" ref="AH5:AH7" si="2">ROUND(((+AG5-AC5)/AC5),4)</f>
        <v>0</v>
      </c>
      <c r="AI5" s="1168">
        <f>ROUND((((+AG5-P5)/P5)/5),4)</f>
        <v>1.14E-2</v>
      </c>
      <c r="AJ5" s="1168">
        <f>ROUND((((+AG5-C5)/C5)/10),4)</f>
        <v>1.3100000000000001E-2</v>
      </c>
      <c r="AK5" s="1151">
        <f>+'113 Town Mtg'!Q10</f>
        <v>500</v>
      </c>
      <c r="AL5" s="1168">
        <f t="shared" ref="AL5:AL7" si="3">ROUND(((+AK5-AE5)/AE5),4)</f>
        <v>0.35139999999999999</v>
      </c>
      <c r="AM5" s="1146">
        <f>+'113 Town Mtg'!R10</f>
        <v>0</v>
      </c>
      <c r="AN5" s="1168">
        <f t="shared" ref="AN5:AN7" si="4">ROUND(((+AM5-AG5)/AG5),4)</f>
        <v>-1</v>
      </c>
      <c r="AO5" s="1168"/>
      <c r="AP5" s="1168"/>
      <c r="AQ5" s="1151">
        <f>+'113 Town Mtg'!S10</f>
        <v>500</v>
      </c>
      <c r="AR5" s="1168">
        <f t="shared" ref="AR5:AR7" si="5">ROUND(((+AQ5-AK5)/AK5),4)</f>
        <v>0</v>
      </c>
      <c r="AS5" s="1168">
        <f>ROUND((((+AQ5-U5)/U5)/5),4)</f>
        <v>7.0300000000000001E-2</v>
      </c>
      <c r="AT5" s="1168">
        <f>ROUND((((+AQ5-F5)/F5)/10),4)</f>
        <v>4.7100000000000003E-2</v>
      </c>
      <c r="AV5" s="1151">
        <f>ROUND((+AQ5*(1+AT5)),0)</f>
        <v>524</v>
      </c>
      <c r="AW5" s="1151">
        <f>ROUND((+AV5*(1+AT5)),0)</f>
        <v>549</v>
      </c>
      <c r="AX5" s="1151">
        <f>ROUND((+AW5*(1+AT5)),0)</f>
        <v>575</v>
      </c>
      <c r="AY5" s="1151">
        <f>ROUND((+AX5*(1+AT5)),0)</f>
        <v>602</v>
      </c>
      <c r="AZ5" s="1151">
        <f>ROUND((+AY5*(1+AT5)),0)</f>
        <v>630</v>
      </c>
    </row>
    <row r="6" spans="1:54" x14ac:dyDescent="0.3">
      <c r="B6" s="947" t="s">
        <v>1869</v>
      </c>
      <c r="C6" s="1148">
        <f>+'113 Town Mtg'!C21</f>
        <v>1234.73</v>
      </c>
      <c r="D6" s="1148">
        <f>+'113 Town Mtg'!D21</f>
        <v>1083.3800000000001</v>
      </c>
      <c r="E6" s="1172">
        <f t="shared" ref="E6:E7" si="6">ROUND(((+D6-C6)/C6),4)</f>
        <v>-0.1226</v>
      </c>
      <c r="F6" s="1152">
        <v>1380</v>
      </c>
      <c r="G6" s="1148">
        <f>+'113 Town Mtg'!E21</f>
        <v>1274.5999999999999</v>
      </c>
      <c r="H6" s="1172">
        <f t="shared" ref="H6:H7" si="7">ROUND(((+G6-D6)/D6),4)</f>
        <v>0.17649999999999999</v>
      </c>
      <c r="I6" s="1152">
        <v>1380</v>
      </c>
      <c r="J6" s="1148">
        <f>+'113 Town Mtg'!F21</f>
        <v>1028.8599999999999</v>
      </c>
      <c r="K6" s="1172">
        <f>ROUND(((+J6-G6)/G6),4)</f>
        <v>-0.1928</v>
      </c>
      <c r="L6" s="1152">
        <v>1350</v>
      </c>
      <c r="M6" s="1148">
        <f>+'113 Town Mtg'!G21</f>
        <v>1241.73</v>
      </c>
      <c r="N6" s="1172">
        <f>ROUND(((+M6-J6)/J6),4)</f>
        <v>0.2069</v>
      </c>
      <c r="O6" s="1152">
        <v>1350</v>
      </c>
      <c r="P6" s="1148">
        <f>+'113 Town Mtg'!H21</f>
        <v>1433.82</v>
      </c>
      <c r="Q6" s="1172">
        <f>ROUND(((+P6-M6)/M6),4)</f>
        <v>0.1547</v>
      </c>
      <c r="R6" s="1152">
        <v>1450</v>
      </c>
      <c r="S6" s="1148">
        <f>+'113 Town Mtg'!I21</f>
        <v>1450</v>
      </c>
      <c r="T6" s="1172">
        <f>ROUND(((+S6-P6)/P6),4)</f>
        <v>1.1299999999999999E-2</v>
      </c>
      <c r="U6" s="1152">
        <v>1700</v>
      </c>
      <c r="V6" s="1148">
        <f>+'113 Town Mtg'!J21</f>
        <v>3667.63</v>
      </c>
      <c r="W6" s="1172">
        <f>ROUND(((+V6-S6)/S6),4)</f>
        <v>1.5294000000000001</v>
      </c>
      <c r="X6" s="1152">
        <f>+'113 Town Mtg'!K21</f>
        <v>1720</v>
      </c>
      <c r="Y6" s="1148">
        <f>+'113 Town Mtg'!L21</f>
        <v>1033.7</v>
      </c>
      <c r="Z6" s="1172">
        <f t="shared" ref="Z6:Z7" si="8">ROUND(((+Y6-V6)/V6),4)</f>
        <v>-0.71819999999999995</v>
      </c>
      <c r="AA6" s="1152">
        <f>+'113 Town Mtg'!M21</f>
        <v>1770</v>
      </c>
      <c r="AB6" s="1172">
        <f t="shared" ref="AB6:AB7" si="9">ROUND(((+AA6-X6)/X6),4)</f>
        <v>2.9100000000000001E-2</v>
      </c>
      <c r="AC6" s="1148">
        <f>+'113 Town Mtg'!N21</f>
        <v>1770</v>
      </c>
      <c r="AD6" s="1172">
        <f t="shared" si="0"/>
        <v>0.71230000000000004</v>
      </c>
      <c r="AE6" s="1152">
        <f>+'113 Town Mtg'!O21</f>
        <v>2020</v>
      </c>
      <c r="AF6" s="1172">
        <f t="shared" si="1"/>
        <v>0.14119999999999999</v>
      </c>
      <c r="AG6" s="1148">
        <f>+'113 Town Mtg'!P21</f>
        <v>1798.48</v>
      </c>
      <c r="AH6" s="1172">
        <f t="shared" si="2"/>
        <v>1.61E-2</v>
      </c>
      <c r="AI6" s="1172"/>
      <c r="AJ6" s="1172"/>
      <c r="AK6" s="1152">
        <f>+'113 Town Mtg'!Q21</f>
        <v>2480</v>
      </c>
      <c r="AL6" s="1172">
        <f t="shared" si="3"/>
        <v>0.22770000000000001</v>
      </c>
      <c r="AM6" s="1148">
        <f>+'113 Town Mtg'!R21</f>
        <v>231.79</v>
      </c>
      <c r="AN6" s="1172">
        <f t="shared" si="4"/>
        <v>-0.87109999999999999</v>
      </c>
      <c r="AO6" s="1172"/>
      <c r="AP6" s="1172"/>
      <c r="AQ6" s="1152">
        <f>+'113 Town Mtg'!S21</f>
        <v>2680</v>
      </c>
      <c r="AR6" s="1172">
        <f t="shared" si="5"/>
        <v>8.0600000000000005E-2</v>
      </c>
      <c r="AS6" s="1172">
        <f>ROUND((((+AQ6-U6)/U6)/5),4)</f>
        <v>0.1153</v>
      </c>
      <c r="AT6" s="1172">
        <f>ROUND((((+AQ6-F6)/F6)/10),4)</f>
        <v>9.4200000000000006E-2</v>
      </c>
      <c r="AV6" s="1152">
        <f>ROUND((+AQ6*(1+AT6)),0)</f>
        <v>2932</v>
      </c>
      <c r="AW6" s="1152">
        <f>ROUND((+AV6*(1+AT6)),0)</f>
        <v>3208</v>
      </c>
      <c r="AX6" s="1152">
        <f>ROUND((+AW6*(1+AT6)),0)</f>
        <v>3510</v>
      </c>
      <c r="AY6" s="1152">
        <f>ROUND((+AX6*(1+AT6)),0)</f>
        <v>3841</v>
      </c>
      <c r="AZ6" s="1152">
        <f>ROUND((+AY6*(1+AT6)),0)</f>
        <v>4203</v>
      </c>
    </row>
    <row r="7" spans="1:54" x14ac:dyDescent="0.3">
      <c r="B7" s="947" t="s">
        <v>887</v>
      </c>
      <c r="C7" s="1146">
        <f>SUM(C4:C6)</f>
        <v>1561.73</v>
      </c>
      <c r="D7" s="1146">
        <f t="shared" ref="D7:AQ7" si="10">SUM(D4:D6)</f>
        <v>1423.38</v>
      </c>
      <c r="E7" s="1168">
        <f t="shared" si="6"/>
        <v>-8.8599999999999998E-2</v>
      </c>
      <c r="F7" s="1151">
        <f t="shared" si="10"/>
        <v>1720</v>
      </c>
      <c r="G7" s="1146">
        <f t="shared" si="10"/>
        <v>1614.6</v>
      </c>
      <c r="H7" s="1168">
        <f t="shared" si="7"/>
        <v>0.1343</v>
      </c>
      <c r="I7" s="1151">
        <f t="shared" si="10"/>
        <v>1720</v>
      </c>
      <c r="J7" s="1146">
        <f t="shared" si="10"/>
        <v>1368.86</v>
      </c>
      <c r="K7" s="1168">
        <f>ROUND(((+J7-G7)/G7),4)</f>
        <v>-0.1522</v>
      </c>
      <c r="L7" s="1151">
        <f t="shared" si="10"/>
        <v>1700</v>
      </c>
      <c r="M7" s="1146">
        <f t="shared" si="10"/>
        <v>1581.73</v>
      </c>
      <c r="N7" s="1168">
        <f>ROUND(((+M7-J7)/J7),4)</f>
        <v>0.1555</v>
      </c>
      <c r="O7" s="1151">
        <f t="shared" si="10"/>
        <v>1700</v>
      </c>
      <c r="P7" s="1146">
        <f t="shared" si="10"/>
        <v>1783.82</v>
      </c>
      <c r="Q7" s="1168">
        <f>ROUND(((+P7-M7)/M7),4)</f>
        <v>0.1278</v>
      </c>
      <c r="R7" s="1151">
        <f t="shared" si="10"/>
        <v>1800</v>
      </c>
      <c r="S7" s="1146">
        <f t="shared" si="10"/>
        <v>1800</v>
      </c>
      <c r="T7" s="1168">
        <f>ROUND(((+S7-P7)/P7),4)</f>
        <v>9.1000000000000004E-3</v>
      </c>
      <c r="U7" s="1151">
        <f t="shared" si="10"/>
        <v>2070</v>
      </c>
      <c r="V7" s="1146">
        <f t="shared" si="10"/>
        <v>4037.63</v>
      </c>
      <c r="W7" s="1168">
        <f>ROUND(((+V7-S7)/S7),4)</f>
        <v>1.2431000000000001</v>
      </c>
      <c r="X7" s="1151">
        <f t="shared" si="10"/>
        <v>2090</v>
      </c>
      <c r="Y7" s="1146">
        <f t="shared" si="10"/>
        <v>1403.7</v>
      </c>
      <c r="Z7" s="1168">
        <f t="shared" si="8"/>
        <v>-0.65229999999999999</v>
      </c>
      <c r="AA7" s="1151">
        <f t="shared" si="10"/>
        <v>2140</v>
      </c>
      <c r="AB7" s="1168">
        <f t="shared" si="9"/>
        <v>2.3900000000000001E-2</v>
      </c>
      <c r="AC7" s="1146">
        <f t="shared" si="10"/>
        <v>2140</v>
      </c>
      <c r="AD7" s="1168">
        <f t="shared" si="0"/>
        <v>0.52449999999999997</v>
      </c>
      <c r="AE7" s="1151">
        <f t="shared" si="10"/>
        <v>2390</v>
      </c>
      <c r="AF7" s="1168">
        <f t="shared" si="1"/>
        <v>0.1168</v>
      </c>
      <c r="AG7" s="1146">
        <f t="shared" si="10"/>
        <v>2168.48</v>
      </c>
      <c r="AH7" s="1168">
        <f t="shared" si="2"/>
        <v>1.3299999999999999E-2</v>
      </c>
      <c r="AI7" s="1168"/>
      <c r="AJ7" s="1168"/>
      <c r="AK7" s="1151">
        <f t="shared" si="10"/>
        <v>2980</v>
      </c>
      <c r="AL7" s="1168">
        <f t="shared" si="3"/>
        <v>0.24690000000000001</v>
      </c>
      <c r="AM7" s="1146">
        <f t="shared" si="10"/>
        <v>231.79</v>
      </c>
      <c r="AN7" s="1168">
        <f t="shared" si="4"/>
        <v>-0.8931</v>
      </c>
      <c r="AO7" s="1168"/>
      <c r="AP7" s="1168"/>
      <c r="AQ7" s="1151">
        <f t="shared" si="10"/>
        <v>3180</v>
      </c>
      <c r="AR7" s="1168">
        <f t="shared" si="5"/>
        <v>6.7100000000000007E-2</v>
      </c>
      <c r="AS7" s="1168">
        <f>ROUND((((+AQ7-U7)/U7)/5),4)</f>
        <v>0.1072</v>
      </c>
      <c r="AT7" s="1168">
        <f>ROUND((((+AQ7-F7)/F7)/10),4)</f>
        <v>8.4900000000000003E-2</v>
      </c>
      <c r="AV7" s="1151">
        <f t="shared" ref="AV7:AZ7" si="11">SUM(AV4:AV6)</f>
        <v>3456</v>
      </c>
      <c r="AW7" s="1151">
        <f t="shared" si="11"/>
        <v>3757</v>
      </c>
      <c r="AX7" s="1151">
        <f t="shared" si="11"/>
        <v>4085</v>
      </c>
      <c r="AY7" s="1151">
        <f t="shared" si="11"/>
        <v>4443</v>
      </c>
      <c r="AZ7" s="1151">
        <f t="shared" si="11"/>
        <v>4833</v>
      </c>
    </row>
    <row r="8" spans="1:54" x14ac:dyDescent="0.3">
      <c r="AL8" s="1151"/>
      <c r="AQ8" s="1151"/>
      <c r="AR8" s="1151"/>
    </row>
    <row r="9" spans="1:54" x14ac:dyDescent="0.3">
      <c r="A9" s="954" t="s">
        <v>514</v>
      </c>
      <c r="AL9" s="1151"/>
      <c r="AQ9" s="1151"/>
      <c r="AR9" s="1151"/>
    </row>
    <row r="10" spans="1:54" x14ac:dyDescent="0.3">
      <c r="B10" s="947" t="s">
        <v>2218</v>
      </c>
      <c r="C10" s="1146">
        <f>+'122 Selectboard'!C19</f>
        <v>124238.45999999999</v>
      </c>
      <c r="D10" s="1146">
        <f>+'122 Selectboard'!D19</f>
        <v>136085.68000000002</v>
      </c>
      <c r="E10" s="1168">
        <f t="shared" ref="E10:E12" si="12">ROUND(((+D10-C10)/C10),4)</f>
        <v>9.5399999999999999E-2</v>
      </c>
      <c r="F10" s="1151">
        <v>145852</v>
      </c>
      <c r="G10" s="1146">
        <f>+'122 Selectboard'!E19</f>
        <v>142467.15</v>
      </c>
      <c r="H10" s="1168">
        <f t="shared" ref="H10:H12" si="13">ROUND(((+G10-D10)/D10),4)</f>
        <v>4.6899999999999997E-2</v>
      </c>
      <c r="I10" s="1151">
        <v>156785</v>
      </c>
      <c r="J10" s="1146">
        <f>+'122 Selectboard'!F19</f>
        <v>146970.52000000002</v>
      </c>
      <c r="K10" s="1168">
        <f>ROUND(((+J10-G10)/G10),4)</f>
        <v>3.1600000000000003E-2</v>
      </c>
      <c r="L10" s="1151">
        <v>183178</v>
      </c>
      <c r="M10" s="1146">
        <f>+'122 Selectboard'!G19</f>
        <v>179934.23</v>
      </c>
      <c r="N10" s="1168">
        <f>ROUND(((+M10-J10)/J10),4)</f>
        <v>0.2243</v>
      </c>
      <c r="O10" s="1151">
        <v>155769</v>
      </c>
      <c r="P10" s="1146">
        <f>+'122 Selectboard'!H19</f>
        <v>155853.56999999998</v>
      </c>
      <c r="Q10" s="1168">
        <f>ROUND(((+P10-M10)/M10),4)</f>
        <v>-0.1338</v>
      </c>
      <c r="R10" s="1151">
        <v>160901</v>
      </c>
      <c r="S10" s="1146">
        <f>+'122 Selectboard'!I19</f>
        <v>161134.44999999998</v>
      </c>
      <c r="T10" s="1168">
        <f>ROUND(((+S10-P10)/P10),4)</f>
        <v>3.39E-2</v>
      </c>
      <c r="U10" s="1151">
        <v>161416</v>
      </c>
      <c r="V10" s="1146">
        <f>+'122 Selectboard'!J19</f>
        <v>167267.16999999998</v>
      </c>
      <c r="W10" s="1168">
        <f>ROUND(((+V10-S10)/S10),4)</f>
        <v>3.8100000000000002E-2</v>
      </c>
      <c r="X10" s="1151">
        <f>+'122 Selectboard'!K19</f>
        <v>181314</v>
      </c>
      <c r="Y10" s="1146">
        <f>+'122 Selectboard'!L19</f>
        <v>175147.07</v>
      </c>
      <c r="Z10" s="1168">
        <f t="shared" ref="Z10:Z12" si="14">ROUND(((+Y10-V10)/V10),4)</f>
        <v>4.7100000000000003E-2</v>
      </c>
      <c r="AA10" s="1151">
        <f>+'122 Selectboard'!M19</f>
        <v>177579</v>
      </c>
      <c r="AB10" s="1168">
        <f t="shared" ref="AB10:AB12" si="15">ROUND(((+AA10-X10)/X10),4)</f>
        <v>-2.06E-2</v>
      </c>
      <c r="AC10" s="1146">
        <f>+'122 Selectboard'!N19</f>
        <v>177691.69</v>
      </c>
      <c r="AD10" s="1168">
        <f t="shared" ref="AD10:AD12" si="16">ROUND(((+AC10-Y10)/Y10),4)</f>
        <v>1.4500000000000001E-2</v>
      </c>
      <c r="AE10" s="1151">
        <f>+'122 Selectboard'!O19</f>
        <v>289460</v>
      </c>
      <c r="AF10" s="1168">
        <f t="shared" ref="AF10:AF12" si="17">ROUND(((+AE10-AA10)/AA10),4)</f>
        <v>0.63</v>
      </c>
      <c r="AG10" s="1146">
        <f>+'122 Selectboard'!P19</f>
        <v>265090.84999999998</v>
      </c>
      <c r="AH10" s="1168">
        <f t="shared" ref="AH10:AH12" si="18">ROUND(((+AG10-AC10)/AC10),4)</f>
        <v>0.4919</v>
      </c>
      <c r="AI10" s="1168"/>
      <c r="AJ10" s="1168"/>
      <c r="AK10" s="1151">
        <f>+'122 Selectboard'!Q19</f>
        <v>308181</v>
      </c>
      <c r="AL10" s="1168">
        <f t="shared" ref="AL10:AL12" si="19">ROUND(((+AK10-AE10)/AE10),4)</f>
        <v>6.4699999999999994E-2</v>
      </c>
      <c r="AM10" s="1146">
        <f>+'122 Selectboard'!R19</f>
        <v>144987.77000000002</v>
      </c>
      <c r="AN10" s="1168">
        <f t="shared" ref="AN10:AN12" si="20">ROUND(((+AM10-AG10)/AG10),4)</f>
        <v>-0.4531</v>
      </c>
      <c r="AO10" s="1168"/>
      <c r="AP10" s="1168"/>
      <c r="AQ10" s="1151">
        <f>+'122 Selectboard'!S19</f>
        <v>300330</v>
      </c>
      <c r="AR10" s="1168">
        <f t="shared" ref="AR10:AR12" si="21">ROUND(((+AQ10-AK10)/AK10),4)</f>
        <v>-2.5499999999999998E-2</v>
      </c>
      <c r="AS10" s="1168">
        <f t="shared" ref="AS10:AS11" si="22">ROUND((((+AQ10-U10)/U10)/5),4)</f>
        <v>0.1721</v>
      </c>
      <c r="AT10" s="1168">
        <f t="shared" ref="AT10:AT11" si="23">ROUND((((+AQ10-F10)/F10)/10),4)</f>
        <v>0.10589999999999999</v>
      </c>
      <c r="AV10" s="1151">
        <f>ROUND((+AQ10*(1.034)),0)</f>
        <v>310541</v>
      </c>
      <c r="AW10" s="1151">
        <f>ROUND((+AV10*(1.034)),0)</f>
        <v>321099</v>
      </c>
      <c r="AX10" s="1151">
        <f>ROUND((+AW10*(1.034)),0)</f>
        <v>332016</v>
      </c>
      <c r="AY10" s="1151">
        <f>ROUND((+AX10*(1.034)),0)</f>
        <v>343305</v>
      </c>
      <c r="AZ10" s="1151">
        <f>ROUND((+AY10*(1.034)),0)</f>
        <v>354977</v>
      </c>
      <c r="BA10" s="1214">
        <v>3.4000000000000002E-2</v>
      </c>
      <c r="BB10" s="947" t="s">
        <v>2261</v>
      </c>
    </row>
    <row r="11" spans="1:54" x14ac:dyDescent="0.3">
      <c r="B11" s="947" t="s">
        <v>1869</v>
      </c>
      <c r="C11" s="1148">
        <f>+'122 Selectboard'!C34</f>
        <v>5397.73</v>
      </c>
      <c r="D11" s="1148">
        <f>+'122 Selectboard'!D34</f>
        <v>5777.9699999999993</v>
      </c>
      <c r="E11" s="1172">
        <f t="shared" si="12"/>
        <v>7.0400000000000004E-2</v>
      </c>
      <c r="F11" s="1152">
        <v>9250</v>
      </c>
      <c r="G11" s="1148">
        <f>+'122 Selectboard'!E34</f>
        <v>6200.34</v>
      </c>
      <c r="H11" s="1172">
        <f t="shared" si="13"/>
        <v>7.3099999999999998E-2</v>
      </c>
      <c r="I11" s="1152">
        <v>9250</v>
      </c>
      <c r="J11" s="1148">
        <f>+'122 Selectboard'!F34</f>
        <v>8582.380000000001</v>
      </c>
      <c r="K11" s="1172">
        <f>ROUND(((+J11-G11)/G11),4)</f>
        <v>0.38419999999999999</v>
      </c>
      <c r="L11" s="1152">
        <v>14100</v>
      </c>
      <c r="M11" s="1148">
        <f>+'122 Selectboard'!G34</f>
        <v>13506.769999999999</v>
      </c>
      <c r="N11" s="1172">
        <f>ROUND(((+M11-J11)/J11),4)</f>
        <v>0.57379999999999998</v>
      </c>
      <c r="O11" s="1152">
        <v>13443</v>
      </c>
      <c r="P11" s="1148">
        <f>+'122 Selectboard'!H34</f>
        <v>19312.16</v>
      </c>
      <c r="Q11" s="1172">
        <f>ROUND(((+P11-M11)/M11),4)</f>
        <v>0.42980000000000002</v>
      </c>
      <c r="R11" s="1152">
        <v>14724</v>
      </c>
      <c r="S11" s="1148">
        <f>+'122 Selectboard'!I34</f>
        <v>11355.65</v>
      </c>
      <c r="T11" s="1172">
        <f>ROUND(((+S11-P11)/P11),4)</f>
        <v>-0.41199999999999998</v>
      </c>
      <c r="U11" s="1152">
        <v>17880</v>
      </c>
      <c r="V11" s="1148">
        <f>+'122 Selectboard'!J34</f>
        <v>13878.5</v>
      </c>
      <c r="W11" s="1172">
        <f>ROUND(((+V11-S11)/S11),4)</f>
        <v>0.22220000000000001</v>
      </c>
      <c r="X11" s="1152">
        <f>+'122 Selectboard'!K34</f>
        <v>16700</v>
      </c>
      <c r="Y11" s="1148">
        <f>+'122 Selectboard'!L34</f>
        <v>14637.279999999999</v>
      </c>
      <c r="Z11" s="1172">
        <f t="shared" si="14"/>
        <v>5.4699999999999999E-2</v>
      </c>
      <c r="AA11" s="1152">
        <f>+'122 Selectboard'!M34</f>
        <v>17150</v>
      </c>
      <c r="AB11" s="1172">
        <f t="shared" si="15"/>
        <v>2.69E-2</v>
      </c>
      <c r="AC11" s="1148">
        <f>+'122 Selectboard'!N34</f>
        <v>12638.27</v>
      </c>
      <c r="AD11" s="1172">
        <f t="shared" si="16"/>
        <v>-0.1366</v>
      </c>
      <c r="AE11" s="1152">
        <f>+'122 Selectboard'!O34</f>
        <v>24050</v>
      </c>
      <c r="AF11" s="1172">
        <f t="shared" si="17"/>
        <v>0.40229999999999999</v>
      </c>
      <c r="AG11" s="1148">
        <f>+'122 Selectboard'!P34</f>
        <v>19546.490000000002</v>
      </c>
      <c r="AH11" s="1172">
        <f t="shared" si="18"/>
        <v>0.54659999999999997</v>
      </c>
      <c r="AI11" s="1172"/>
      <c r="AJ11" s="1172"/>
      <c r="AK11" s="1152">
        <f>+'122 Selectboard'!Q34</f>
        <v>22400</v>
      </c>
      <c r="AL11" s="1172">
        <f t="shared" si="19"/>
        <v>-6.8599999999999994E-2</v>
      </c>
      <c r="AM11" s="1148">
        <f>+'122 Selectboard'!R34</f>
        <v>6240.29</v>
      </c>
      <c r="AN11" s="1172">
        <f t="shared" si="20"/>
        <v>-0.68069999999999997</v>
      </c>
      <c r="AO11" s="1172"/>
      <c r="AP11" s="1172"/>
      <c r="AQ11" s="1152">
        <f>+'122 Selectboard'!S34</f>
        <v>25900</v>
      </c>
      <c r="AR11" s="1172">
        <f t="shared" si="21"/>
        <v>0.15629999999999999</v>
      </c>
      <c r="AS11" s="1172">
        <f t="shared" si="22"/>
        <v>8.9700000000000002E-2</v>
      </c>
      <c r="AT11" s="1172">
        <f t="shared" si="23"/>
        <v>0.18</v>
      </c>
      <c r="AV11" s="1152">
        <f t="shared" ref="AV11" si="24">ROUND((+AQ11*(1+AT11)),0)</f>
        <v>30562</v>
      </c>
      <c r="AW11" s="1152">
        <f t="shared" ref="AW11" si="25">ROUND((+AV11*(1+AT11)),0)</f>
        <v>36063</v>
      </c>
      <c r="AX11" s="1152">
        <f t="shared" ref="AX11" si="26">ROUND((+AW11*(1+AT11)),0)</f>
        <v>42554</v>
      </c>
      <c r="AY11" s="1152">
        <f t="shared" ref="AY11" si="27">ROUND((+AX11*(1+AT11)),0)</f>
        <v>50214</v>
      </c>
      <c r="AZ11" s="1152">
        <f t="shared" ref="AZ11" si="28">ROUND((+AY11*(1+AT11)),0)</f>
        <v>59253</v>
      </c>
    </row>
    <row r="12" spans="1:54" x14ac:dyDescent="0.3">
      <c r="B12" s="947" t="s">
        <v>887</v>
      </c>
      <c r="C12" s="1146">
        <f>SUM(C9:C11)</f>
        <v>129636.18999999999</v>
      </c>
      <c r="D12" s="1146">
        <f t="shared" ref="D12:AQ12" si="29">SUM(D9:D11)</f>
        <v>141863.65000000002</v>
      </c>
      <c r="E12" s="1168">
        <f t="shared" si="12"/>
        <v>9.4299999999999995E-2</v>
      </c>
      <c r="F12" s="1151">
        <f t="shared" si="29"/>
        <v>155102</v>
      </c>
      <c r="G12" s="1146">
        <f t="shared" si="29"/>
        <v>148667.49</v>
      </c>
      <c r="H12" s="1168">
        <f t="shared" si="13"/>
        <v>4.8000000000000001E-2</v>
      </c>
      <c r="I12" s="1151">
        <f t="shared" si="29"/>
        <v>166035</v>
      </c>
      <c r="J12" s="1146">
        <f t="shared" si="29"/>
        <v>155552.90000000002</v>
      </c>
      <c r="K12" s="1168">
        <f>ROUND(((+J12-G12)/G12),4)</f>
        <v>4.6300000000000001E-2</v>
      </c>
      <c r="L12" s="1151">
        <f t="shared" si="29"/>
        <v>197278</v>
      </c>
      <c r="M12" s="1146">
        <f t="shared" si="29"/>
        <v>193441</v>
      </c>
      <c r="N12" s="1168">
        <f>ROUND(((+M12-J12)/J12),4)</f>
        <v>0.24360000000000001</v>
      </c>
      <c r="O12" s="1151">
        <f t="shared" si="29"/>
        <v>169212</v>
      </c>
      <c r="P12" s="1146">
        <f t="shared" si="29"/>
        <v>175165.72999999998</v>
      </c>
      <c r="Q12" s="1168">
        <f>ROUND(((+P12-M12)/M12),4)</f>
        <v>-9.4500000000000001E-2</v>
      </c>
      <c r="R12" s="1151">
        <f t="shared" si="29"/>
        <v>175625</v>
      </c>
      <c r="S12" s="1146">
        <f t="shared" si="29"/>
        <v>172490.09999999998</v>
      </c>
      <c r="T12" s="1168">
        <f>ROUND(((+S12-P12)/P12),4)</f>
        <v>-1.5299999999999999E-2</v>
      </c>
      <c r="U12" s="1151">
        <f t="shared" si="29"/>
        <v>179296</v>
      </c>
      <c r="V12" s="1146">
        <f t="shared" si="29"/>
        <v>181145.66999999998</v>
      </c>
      <c r="W12" s="1168">
        <f>ROUND(((+V12-S12)/S12),4)</f>
        <v>5.0200000000000002E-2</v>
      </c>
      <c r="X12" s="1151">
        <f t="shared" si="29"/>
        <v>198014</v>
      </c>
      <c r="Y12" s="1146">
        <f t="shared" si="29"/>
        <v>189784.35</v>
      </c>
      <c r="Z12" s="1168">
        <f t="shared" si="14"/>
        <v>4.7699999999999999E-2</v>
      </c>
      <c r="AA12" s="1151">
        <f t="shared" si="29"/>
        <v>194729</v>
      </c>
      <c r="AB12" s="1168">
        <f t="shared" si="15"/>
        <v>-1.66E-2</v>
      </c>
      <c r="AC12" s="1146">
        <f t="shared" si="29"/>
        <v>190329.96</v>
      </c>
      <c r="AD12" s="1168">
        <f t="shared" si="16"/>
        <v>2.8999999999999998E-3</v>
      </c>
      <c r="AE12" s="1151">
        <f t="shared" si="29"/>
        <v>313510</v>
      </c>
      <c r="AF12" s="1168">
        <f t="shared" si="17"/>
        <v>0.61</v>
      </c>
      <c r="AG12" s="1146">
        <f t="shared" si="29"/>
        <v>284637.33999999997</v>
      </c>
      <c r="AH12" s="1168">
        <f t="shared" si="18"/>
        <v>0.4955</v>
      </c>
      <c r="AI12" s="1168"/>
      <c r="AJ12" s="1168"/>
      <c r="AK12" s="1151">
        <f t="shared" si="29"/>
        <v>330581</v>
      </c>
      <c r="AL12" s="1168">
        <f t="shared" si="19"/>
        <v>5.45E-2</v>
      </c>
      <c r="AM12" s="1146">
        <f t="shared" si="29"/>
        <v>151228.06000000003</v>
      </c>
      <c r="AN12" s="1168">
        <f t="shared" si="20"/>
        <v>-0.46870000000000001</v>
      </c>
      <c r="AO12" s="1168"/>
      <c r="AP12" s="1168"/>
      <c r="AQ12" s="1151">
        <f t="shared" si="29"/>
        <v>326230</v>
      </c>
      <c r="AR12" s="1168">
        <f t="shared" si="21"/>
        <v>-1.32E-2</v>
      </c>
      <c r="AS12" s="1168">
        <f>ROUND((((+AQ12-U12)/U12)/5),4)</f>
        <v>0.16389999999999999</v>
      </c>
      <c r="AT12" s="1168">
        <f>ROUND((((+AQ12-F12)/F12)/10),4)</f>
        <v>0.1103</v>
      </c>
      <c r="AV12" s="1151">
        <f t="shared" ref="AV12:AZ12" si="30">SUM(AV9:AV11)</f>
        <v>341103</v>
      </c>
      <c r="AW12" s="1151">
        <f t="shared" si="30"/>
        <v>357162</v>
      </c>
      <c r="AX12" s="1151">
        <f t="shared" si="30"/>
        <v>374570</v>
      </c>
      <c r="AY12" s="1151">
        <f t="shared" si="30"/>
        <v>393519</v>
      </c>
      <c r="AZ12" s="1151">
        <f t="shared" si="30"/>
        <v>414230</v>
      </c>
    </row>
    <row r="13" spans="1:54" x14ac:dyDescent="0.3">
      <c r="AL13" s="1151"/>
      <c r="AQ13" s="1151"/>
      <c r="AR13" s="1151"/>
    </row>
    <row r="14" spans="1:54" x14ac:dyDescent="0.3">
      <c r="A14" s="954" t="s">
        <v>515</v>
      </c>
      <c r="AL14" s="1151"/>
      <c r="AQ14" s="1151"/>
      <c r="AR14" s="1151"/>
    </row>
    <row r="15" spans="1:54" x14ac:dyDescent="0.3">
      <c r="B15" s="947" t="s">
        <v>1869</v>
      </c>
      <c r="C15" s="1148">
        <f>+'131 Fin Comm'!C17</f>
        <v>659.25</v>
      </c>
      <c r="D15" s="1148">
        <f>+'131 Fin Comm'!D17</f>
        <v>315.39999999999998</v>
      </c>
      <c r="E15" s="1172">
        <f t="shared" ref="E15:E16" si="31">ROUND(((+D15-C15)/C15),4)</f>
        <v>-0.52159999999999995</v>
      </c>
      <c r="F15" s="1152">
        <v>840</v>
      </c>
      <c r="G15" s="1148">
        <f>+'131 Fin Comm'!E17</f>
        <v>571.79999999999995</v>
      </c>
      <c r="H15" s="1172">
        <f t="shared" ref="H15:H16" si="32">ROUND(((+G15-D15)/D15),4)</f>
        <v>0.81289999999999996</v>
      </c>
      <c r="I15" s="1152">
        <v>840</v>
      </c>
      <c r="J15" s="1148">
        <f>+'131 Fin Comm'!F17</f>
        <v>615.22</v>
      </c>
      <c r="K15" s="1172">
        <f>ROUND(((+J15-G15)/G15),4)</f>
        <v>7.5899999999999995E-2</v>
      </c>
      <c r="L15" s="1152">
        <v>690</v>
      </c>
      <c r="M15" s="1148">
        <f>+'131 Fin Comm'!G17</f>
        <v>422</v>
      </c>
      <c r="N15" s="1172">
        <f>ROUND(((+M15-J15)/J15),4)</f>
        <v>-0.31409999999999999</v>
      </c>
      <c r="O15" s="1152">
        <v>680</v>
      </c>
      <c r="P15" s="1148">
        <f>+'131 Fin Comm'!H17</f>
        <v>468</v>
      </c>
      <c r="Q15" s="1172">
        <f>ROUND(((+P15-M15)/M15),4)</f>
        <v>0.109</v>
      </c>
      <c r="R15" s="1152">
        <v>680</v>
      </c>
      <c r="S15" s="1148">
        <f>+'131 Fin Comm'!I17</f>
        <v>673.07999999999993</v>
      </c>
      <c r="T15" s="1172">
        <f>ROUND(((+S15-P15)/P15),4)</f>
        <v>0.43819999999999998</v>
      </c>
      <c r="U15" s="1152">
        <v>680</v>
      </c>
      <c r="V15" s="1148">
        <f>+'131 Fin Comm'!J17</f>
        <v>464.1</v>
      </c>
      <c r="W15" s="1172">
        <f>ROUND(((+V15-S15)/S15),4)</f>
        <v>-0.3105</v>
      </c>
      <c r="X15" s="1152">
        <f>+'131 Fin Comm'!K17</f>
        <v>1000</v>
      </c>
      <c r="Y15" s="1148">
        <f>+'131 Fin Comm'!L17</f>
        <v>280</v>
      </c>
      <c r="Z15" s="1172">
        <f t="shared" ref="Z15:Z16" si="33">ROUND(((+Y15-V15)/V15),4)</f>
        <v>-0.3967</v>
      </c>
      <c r="AA15" s="1152">
        <f>+'131 Fin Comm'!M17</f>
        <v>2000</v>
      </c>
      <c r="AB15" s="1172">
        <f t="shared" ref="AB15:AB16" si="34">ROUND(((+AA15-X15)/X15),4)</f>
        <v>1</v>
      </c>
      <c r="AC15" s="1148">
        <f>+'131 Fin Comm'!N17</f>
        <v>1915.75</v>
      </c>
      <c r="AD15" s="1172">
        <f t="shared" ref="AD15:AD16" si="35">ROUND(((+AC15-Y15)/Y15),4)</f>
        <v>5.8419999999999996</v>
      </c>
      <c r="AE15" s="1152">
        <f>+'131 Fin Comm'!O17</f>
        <v>2000</v>
      </c>
      <c r="AF15" s="1172">
        <f t="shared" ref="AF15:AF16" si="36">ROUND(((+AE15-AA15)/AA15),4)</f>
        <v>0</v>
      </c>
      <c r="AG15" s="1148">
        <f>+'131 Fin Comm'!P17</f>
        <v>981.89</v>
      </c>
      <c r="AH15" s="1172">
        <f t="shared" ref="AH15:AH16" si="37">ROUND(((+AG15-AC15)/AC15),4)</f>
        <v>-0.48749999999999999</v>
      </c>
      <c r="AI15" s="1172"/>
      <c r="AJ15" s="1172"/>
      <c r="AK15" s="1152">
        <f>+'131 Fin Comm'!Q17</f>
        <v>2000</v>
      </c>
      <c r="AL15" s="1172">
        <f t="shared" ref="AL15:AL16" si="38">ROUND(((+AK15-AE15)/AE15),4)</f>
        <v>0</v>
      </c>
      <c r="AM15" s="1148">
        <f>+'131 Fin Comm'!R17</f>
        <v>190</v>
      </c>
      <c r="AN15" s="1172">
        <f t="shared" ref="AN15:AN16" si="39">ROUND(((+AM15-AG15)/AG15),4)</f>
        <v>-0.80649999999999999</v>
      </c>
      <c r="AO15" s="1172"/>
      <c r="AP15" s="1172"/>
      <c r="AQ15" s="1152">
        <f>+'131 Fin Comm'!S17</f>
        <v>600</v>
      </c>
      <c r="AR15" s="1172">
        <f t="shared" ref="AR15:AR16" si="40">ROUND(((+AQ15-AK15)/AK15),4)</f>
        <v>-0.7</v>
      </c>
      <c r="AS15" s="1172">
        <f>ROUND((((+AQ15-U15)/U15)/5),4)</f>
        <v>-2.35E-2</v>
      </c>
      <c r="AT15" s="1172">
        <f>ROUND((((+AQ15-F15)/F15)/10),4)</f>
        <v>-2.86E-2</v>
      </c>
      <c r="AV15" s="1152">
        <f>ROUND((+AQ15*(1+AT15)),0)</f>
        <v>583</v>
      </c>
      <c r="AW15" s="1152">
        <f>ROUND((+AV15*(1+AT15)),0)</f>
        <v>566</v>
      </c>
      <c r="AX15" s="1152">
        <f>ROUND((+AW15*(1+AT15)),0)</f>
        <v>550</v>
      </c>
      <c r="AY15" s="1152">
        <f>ROUND((+AX15*(1+AT15)),0)</f>
        <v>534</v>
      </c>
      <c r="AZ15" s="1152">
        <f>ROUND((+AY15*(1+AT15)),0)</f>
        <v>519</v>
      </c>
    </row>
    <row r="16" spans="1:54" x14ac:dyDescent="0.3">
      <c r="B16" s="947" t="s">
        <v>887</v>
      </c>
      <c r="C16" s="1146">
        <f>SUM(C14:C15)</f>
        <v>659.25</v>
      </c>
      <c r="D16" s="1146">
        <f t="shared" ref="D16:AQ16" si="41">SUM(D14:D15)</f>
        <v>315.39999999999998</v>
      </c>
      <c r="E16" s="1168">
        <f t="shared" si="31"/>
        <v>-0.52159999999999995</v>
      </c>
      <c r="F16" s="1151">
        <f t="shared" si="41"/>
        <v>840</v>
      </c>
      <c r="G16" s="1146">
        <f t="shared" si="41"/>
        <v>571.79999999999995</v>
      </c>
      <c r="H16" s="1168">
        <f t="shared" si="32"/>
        <v>0.81289999999999996</v>
      </c>
      <c r="I16" s="1151">
        <f t="shared" si="41"/>
        <v>840</v>
      </c>
      <c r="J16" s="1146">
        <f t="shared" si="41"/>
        <v>615.22</v>
      </c>
      <c r="K16" s="1168">
        <f>ROUND(((+J16-G16)/G16),4)</f>
        <v>7.5899999999999995E-2</v>
      </c>
      <c r="L16" s="1151">
        <f t="shared" si="41"/>
        <v>690</v>
      </c>
      <c r="M16" s="1146">
        <f t="shared" si="41"/>
        <v>422</v>
      </c>
      <c r="N16" s="1168">
        <f>ROUND(((+M16-J16)/J16),4)</f>
        <v>-0.31409999999999999</v>
      </c>
      <c r="O16" s="1151">
        <f t="shared" si="41"/>
        <v>680</v>
      </c>
      <c r="P16" s="1146">
        <f t="shared" si="41"/>
        <v>468</v>
      </c>
      <c r="Q16" s="1168">
        <f>ROUND(((+P16-M16)/M16),4)</f>
        <v>0.109</v>
      </c>
      <c r="R16" s="1151">
        <f t="shared" si="41"/>
        <v>680</v>
      </c>
      <c r="S16" s="1146">
        <f t="shared" si="41"/>
        <v>673.07999999999993</v>
      </c>
      <c r="T16" s="1168">
        <f>ROUND(((+S16-P16)/P16),4)</f>
        <v>0.43819999999999998</v>
      </c>
      <c r="U16" s="1151">
        <f t="shared" si="41"/>
        <v>680</v>
      </c>
      <c r="V16" s="1146">
        <f t="shared" si="41"/>
        <v>464.1</v>
      </c>
      <c r="W16" s="1168">
        <f>ROUND(((+V16-S16)/S16),4)</f>
        <v>-0.3105</v>
      </c>
      <c r="X16" s="1151">
        <f t="shared" si="41"/>
        <v>1000</v>
      </c>
      <c r="Y16" s="1146">
        <f t="shared" si="41"/>
        <v>280</v>
      </c>
      <c r="Z16" s="1168">
        <f t="shared" si="33"/>
        <v>-0.3967</v>
      </c>
      <c r="AA16" s="1151">
        <f t="shared" si="41"/>
        <v>2000</v>
      </c>
      <c r="AB16" s="1168">
        <f t="shared" si="34"/>
        <v>1</v>
      </c>
      <c r="AC16" s="1146">
        <f t="shared" si="41"/>
        <v>1915.75</v>
      </c>
      <c r="AD16" s="1168">
        <f t="shared" si="35"/>
        <v>5.8419999999999996</v>
      </c>
      <c r="AE16" s="1151">
        <f t="shared" si="41"/>
        <v>2000</v>
      </c>
      <c r="AF16" s="1168">
        <f t="shared" si="36"/>
        <v>0</v>
      </c>
      <c r="AG16" s="1146">
        <f t="shared" si="41"/>
        <v>981.89</v>
      </c>
      <c r="AH16" s="1168">
        <f t="shared" si="37"/>
        <v>-0.48749999999999999</v>
      </c>
      <c r="AI16" s="1168"/>
      <c r="AJ16" s="1168"/>
      <c r="AK16" s="1151">
        <f t="shared" si="41"/>
        <v>2000</v>
      </c>
      <c r="AL16" s="1168">
        <f t="shared" si="38"/>
        <v>0</v>
      </c>
      <c r="AM16" s="1146">
        <f t="shared" si="41"/>
        <v>190</v>
      </c>
      <c r="AN16" s="1168">
        <f t="shared" si="39"/>
        <v>-0.80649999999999999</v>
      </c>
      <c r="AO16" s="1168"/>
      <c r="AP16" s="1168"/>
      <c r="AQ16" s="1151">
        <f t="shared" si="41"/>
        <v>600</v>
      </c>
      <c r="AR16" s="1168">
        <f t="shared" si="40"/>
        <v>-0.7</v>
      </c>
      <c r="AS16" s="1168">
        <f>ROUND((((+AQ16-U16)/U16)/5),4)</f>
        <v>-2.35E-2</v>
      </c>
      <c r="AT16" s="1168">
        <f>ROUND((((+AQ16-F16)/F16)/10),4)</f>
        <v>-2.86E-2</v>
      </c>
      <c r="AV16" s="1151">
        <f t="shared" ref="AV16:AZ16" si="42">SUM(AV14:AV15)</f>
        <v>583</v>
      </c>
      <c r="AW16" s="1151">
        <f t="shared" si="42"/>
        <v>566</v>
      </c>
      <c r="AX16" s="1151">
        <f t="shared" si="42"/>
        <v>550</v>
      </c>
      <c r="AY16" s="1151">
        <f t="shared" si="42"/>
        <v>534</v>
      </c>
      <c r="AZ16" s="1151">
        <f t="shared" si="42"/>
        <v>519</v>
      </c>
    </row>
    <row r="17" spans="1:53" x14ac:dyDescent="0.3">
      <c r="AL17" s="1151"/>
      <c r="AQ17" s="1151"/>
      <c r="AR17" s="1151"/>
    </row>
    <row r="18" spans="1:53" x14ac:dyDescent="0.3">
      <c r="A18" s="954" t="s">
        <v>516</v>
      </c>
      <c r="AL18" s="1151"/>
      <c r="AQ18" s="1151"/>
      <c r="AR18" s="1151"/>
    </row>
    <row r="19" spans="1:53" x14ac:dyDescent="0.3">
      <c r="B19" s="947" t="s">
        <v>1869</v>
      </c>
      <c r="C19" s="1148">
        <f>+'132 Reserve Fund'!C11</f>
        <v>44620</v>
      </c>
      <c r="D19" s="1148">
        <f>+'132 Reserve Fund'!D11</f>
        <v>24500</v>
      </c>
      <c r="E19" s="1172">
        <f t="shared" ref="E19:E20" si="43">ROUND(((+D19-C19)/C19),4)</f>
        <v>-0.45090000000000002</v>
      </c>
      <c r="F19" s="1152">
        <v>50000</v>
      </c>
      <c r="G19" s="1148">
        <f>+'132 Reserve Fund'!E11</f>
        <v>41400</v>
      </c>
      <c r="H19" s="1172">
        <f t="shared" ref="H19:H20" si="44">ROUND(((+G19-D19)/D19),4)</f>
        <v>0.68979999999999997</v>
      </c>
      <c r="I19" s="1152">
        <v>50000</v>
      </c>
      <c r="J19" s="1148">
        <f>+'132 Reserve Fund'!F11</f>
        <v>55839.67</v>
      </c>
      <c r="K19" s="1172">
        <f>ROUND(((+J19-G19)/G19),4)</f>
        <v>0.3488</v>
      </c>
      <c r="L19" s="1152">
        <v>60000</v>
      </c>
      <c r="M19" s="1148">
        <f>+'132 Reserve Fund'!G11</f>
        <v>58400.800000000003</v>
      </c>
      <c r="N19" s="1172">
        <f>ROUND(((+M19-J19)/J19),4)</f>
        <v>4.5900000000000003E-2</v>
      </c>
      <c r="O19" s="1152">
        <v>60000</v>
      </c>
      <c r="P19" s="1148">
        <f>+'132 Reserve Fund'!H11</f>
        <v>43309.74</v>
      </c>
      <c r="Q19" s="1172">
        <f>ROUND(((+P19-M19)/M19),4)</f>
        <v>-0.25840000000000002</v>
      </c>
      <c r="R19" s="1152">
        <v>60000</v>
      </c>
      <c r="S19" s="1148">
        <f>+'132 Reserve Fund'!I11</f>
        <v>20200</v>
      </c>
      <c r="T19" s="1172">
        <f>ROUND(((+S19-P19)/P19),4)</f>
        <v>-0.53359999999999996</v>
      </c>
      <c r="U19" s="1152">
        <v>60000</v>
      </c>
      <c r="V19" s="1148">
        <f>+'132 Reserve Fund'!J11</f>
        <v>29700</v>
      </c>
      <c r="W19" s="1172">
        <f>ROUND(((+V19-S19)/S19),4)</f>
        <v>0.4703</v>
      </c>
      <c r="X19" s="1152">
        <f>+'132 Reserve Fund'!K11</f>
        <v>60000</v>
      </c>
      <c r="Y19" s="1148">
        <f>+'132 Reserve Fund'!L11</f>
        <v>18500</v>
      </c>
      <c r="Z19" s="1172">
        <f t="shared" ref="Z19:Z20" si="45">ROUND(((+Y19-V19)/V19),4)</f>
        <v>-0.37709999999999999</v>
      </c>
      <c r="AA19" s="1152">
        <f>+'132 Reserve Fund'!M11</f>
        <v>60000</v>
      </c>
      <c r="AB19" s="1172">
        <f t="shared" ref="AB19:AB20" si="46">ROUND(((+AA19-X19)/X19),4)</f>
        <v>0</v>
      </c>
      <c r="AC19" s="1148">
        <f>+'132 Reserve Fund'!N11</f>
        <v>28650</v>
      </c>
      <c r="AD19" s="1172">
        <f t="shared" ref="AD19:AD20" si="47">ROUND(((+AC19-Y19)/Y19),4)</f>
        <v>0.54859999999999998</v>
      </c>
      <c r="AE19" s="1152">
        <f>+'132 Reserve Fund'!O11</f>
        <v>50000</v>
      </c>
      <c r="AF19" s="1172">
        <f t="shared" ref="AF19:AF20" si="48">ROUND(((+AE19-AA19)/AA19),4)</f>
        <v>-0.16669999999999999</v>
      </c>
      <c r="AG19" s="1148">
        <f>+'132 Reserve Fund'!P11</f>
        <v>75725</v>
      </c>
      <c r="AH19" s="1172">
        <f t="shared" ref="AH19:AH20" si="49">ROUND(((+AG19-AC19)/AC19),4)</f>
        <v>1.6431</v>
      </c>
      <c r="AI19" s="1172"/>
      <c r="AJ19" s="1172"/>
      <c r="AK19" s="1152">
        <f>+'132 Reserve Fund'!Q11</f>
        <v>50000</v>
      </c>
      <c r="AL19" s="1172">
        <f t="shared" ref="AL19:AL20" si="50">ROUND(((+AK19-AE19)/AE19),4)</f>
        <v>0</v>
      </c>
      <c r="AM19" s="1148">
        <f>+'132 Reserve Fund'!R11</f>
        <v>0</v>
      </c>
      <c r="AN19" s="1172">
        <f t="shared" ref="AN19:AN20" si="51">ROUND(((+AM19-AG19)/AG19),4)</f>
        <v>-1</v>
      </c>
      <c r="AO19" s="1172"/>
      <c r="AP19" s="1172"/>
      <c r="AQ19" s="1152">
        <f>+'132 Reserve Fund'!S11</f>
        <v>50000</v>
      </c>
      <c r="AR19" s="1172">
        <f t="shared" ref="AR19:AR20" si="52">ROUND(((+AQ19-AK19)/AK19),4)</f>
        <v>0</v>
      </c>
      <c r="AS19" s="1172">
        <f>ROUND((((+AQ19-U19)/U19)/5),4)</f>
        <v>-3.3300000000000003E-2</v>
      </c>
      <c r="AT19" s="1172">
        <f>ROUND((((+AQ19-F19)/F19)/10),4)</f>
        <v>0</v>
      </c>
      <c r="AV19" s="1152">
        <f>ROUND((+AQ19*(1.02)),0)</f>
        <v>51000</v>
      </c>
      <c r="AW19" s="1152">
        <f>ROUND((+AV19*(1.02)),0)</f>
        <v>52020</v>
      </c>
      <c r="AX19" s="1152">
        <f>ROUND((+AW19*(1.02)),0)</f>
        <v>53060</v>
      </c>
      <c r="AY19" s="1152">
        <f>ROUND((+AX19*(1.02)),0)</f>
        <v>54121</v>
      </c>
      <c r="AZ19" s="1152">
        <f>ROUND((+AY19*(1+0.02)),0)</f>
        <v>55203</v>
      </c>
      <c r="BA19" s="947" t="s">
        <v>2260</v>
      </c>
    </row>
    <row r="20" spans="1:53" x14ac:dyDescent="0.3">
      <c r="B20" s="947" t="s">
        <v>887</v>
      </c>
      <c r="C20" s="1146">
        <f>SUM(C18:C19)</f>
        <v>44620</v>
      </c>
      <c r="D20" s="1146">
        <f t="shared" ref="D20:AQ20" si="53">SUM(D18:D19)</f>
        <v>24500</v>
      </c>
      <c r="E20" s="1168">
        <f t="shared" si="43"/>
        <v>-0.45090000000000002</v>
      </c>
      <c r="F20" s="1151">
        <f t="shared" si="53"/>
        <v>50000</v>
      </c>
      <c r="G20" s="1146">
        <f t="shared" si="53"/>
        <v>41400</v>
      </c>
      <c r="H20" s="1168">
        <f t="shared" si="44"/>
        <v>0.68979999999999997</v>
      </c>
      <c r="I20" s="1151">
        <f t="shared" si="53"/>
        <v>50000</v>
      </c>
      <c r="J20" s="1146">
        <f t="shared" si="53"/>
        <v>55839.67</v>
      </c>
      <c r="K20" s="1168">
        <f>ROUND(((+J20-G20)/G20),4)</f>
        <v>0.3488</v>
      </c>
      <c r="L20" s="1151">
        <f t="shared" si="53"/>
        <v>60000</v>
      </c>
      <c r="M20" s="1146">
        <f t="shared" si="53"/>
        <v>58400.800000000003</v>
      </c>
      <c r="N20" s="1168">
        <f>ROUND(((+M20-J20)/J20),4)</f>
        <v>4.5900000000000003E-2</v>
      </c>
      <c r="O20" s="1151">
        <f t="shared" si="53"/>
        <v>60000</v>
      </c>
      <c r="P20" s="1146">
        <f t="shared" si="53"/>
        <v>43309.74</v>
      </c>
      <c r="Q20" s="1168">
        <f>ROUND(((+P20-M20)/M20),4)</f>
        <v>-0.25840000000000002</v>
      </c>
      <c r="R20" s="1151">
        <f t="shared" si="53"/>
        <v>60000</v>
      </c>
      <c r="S20" s="1146">
        <f t="shared" si="53"/>
        <v>20200</v>
      </c>
      <c r="T20" s="1168">
        <f>ROUND(((+S20-P20)/P20),4)</f>
        <v>-0.53359999999999996</v>
      </c>
      <c r="U20" s="1151">
        <f t="shared" si="53"/>
        <v>60000</v>
      </c>
      <c r="V20" s="1146">
        <f t="shared" si="53"/>
        <v>29700</v>
      </c>
      <c r="W20" s="1168">
        <f>ROUND(((+V20-S20)/S20),4)</f>
        <v>0.4703</v>
      </c>
      <c r="X20" s="1151">
        <f t="shared" si="53"/>
        <v>60000</v>
      </c>
      <c r="Y20" s="1146">
        <f t="shared" si="53"/>
        <v>18500</v>
      </c>
      <c r="Z20" s="1168">
        <f t="shared" si="45"/>
        <v>-0.37709999999999999</v>
      </c>
      <c r="AA20" s="1151">
        <f t="shared" si="53"/>
        <v>60000</v>
      </c>
      <c r="AB20" s="1168">
        <f t="shared" si="46"/>
        <v>0</v>
      </c>
      <c r="AC20" s="1146">
        <f t="shared" si="53"/>
        <v>28650</v>
      </c>
      <c r="AD20" s="1168">
        <f t="shared" si="47"/>
        <v>0.54859999999999998</v>
      </c>
      <c r="AE20" s="1151">
        <f t="shared" si="53"/>
        <v>50000</v>
      </c>
      <c r="AF20" s="1168">
        <f t="shared" si="48"/>
        <v>-0.16669999999999999</v>
      </c>
      <c r="AG20" s="1146">
        <f t="shared" si="53"/>
        <v>75725</v>
      </c>
      <c r="AH20" s="1168">
        <f t="shared" si="49"/>
        <v>1.6431</v>
      </c>
      <c r="AI20" s="1168"/>
      <c r="AJ20" s="1168"/>
      <c r="AK20" s="1151">
        <f t="shared" si="53"/>
        <v>50000</v>
      </c>
      <c r="AL20" s="1168">
        <f t="shared" si="50"/>
        <v>0</v>
      </c>
      <c r="AM20" s="1146">
        <f t="shared" si="53"/>
        <v>0</v>
      </c>
      <c r="AN20" s="1168">
        <f t="shared" si="51"/>
        <v>-1</v>
      </c>
      <c r="AO20" s="1168"/>
      <c r="AP20" s="1168"/>
      <c r="AQ20" s="1151">
        <f t="shared" si="53"/>
        <v>50000</v>
      </c>
      <c r="AR20" s="1168">
        <f t="shared" si="52"/>
        <v>0</v>
      </c>
      <c r="AS20" s="1168">
        <f>ROUND((((+AQ20-U20)/U20)/5),4)</f>
        <v>-3.3300000000000003E-2</v>
      </c>
      <c r="AT20" s="1168">
        <f>ROUND((((+AQ20-F20)/F20)/10),4)</f>
        <v>0</v>
      </c>
      <c r="AV20" s="1151">
        <f t="shared" ref="AV20:AZ20" si="54">SUM(AV18:AV19)</f>
        <v>51000</v>
      </c>
      <c r="AW20" s="1151">
        <f t="shared" si="54"/>
        <v>52020</v>
      </c>
      <c r="AX20" s="1151">
        <f t="shared" si="54"/>
        <v>53060</v>
      </c>
      <c r="AY20" s="1151">
        <f t="shared" si="54"/>
        <v>54121</v>
      </c>
      <c r="AZ20" s="1151">
        <f t="shared" si="54"/>
        <v>55203</v>
      </c>
    </row>
    <row r="21" spans="1:53" x14ac:dyDescent="0.3">
      <c r="AL21" s="1151"/>
      <c r="AQ21" s="1151"/>
      <c r="AR21" s="1151"/>
    </row>
    <row r="22" spans="1:53" x14ac:dyDescent="0.3">
      <c r="A22" s="954" t="s">
        <v>517</v>
      </c>
      <c r="AL22" s="1151"/>
      <c r="AQ22" s="1151"/>
      <c r="AR22" s="1151"/>
    </row>
    <row r="23" spans="1:53" x14ac:dyDescent="0.3">
      <c r="B23" s="947" t="s">
        <v>2218</v>
      </c>
      <c r="C23" s="1146">
        <f>+'135 Acct'!C12</f>
        <v>63383.880000000005</v>
      </c>
      <c r="D23" s="1146">
        <f>+'135 Acct'!D12</f>
        <v>64530.559999999998</v>
      </c>
      <c r="E23" s="1168">
        <f t="shared" ref="E23:E25" si="55">ROUND(((+D23-C23)/C23),4)</f>
        <v>1.8100000000000002E-2</v>
      </c>
      <c r="F23" s="1151">
        <v>67970</v>
      </c>
      <c r="G23" s="1146">
        <f>+'135 Acct'!E12</f>
        <v>66873.42</v>
      </c>
      <c r="H23" s="1168">
        <f t="shared" ref="H23:H25" si="56">ROUND(((+G23-D23)/D23),4)</f>
        <v>3.6299999999999999E-2</v>
      </c>
      <c r="I23" s="1151">
        <v>69165</v>
      </c>
      <c r="J23" s="1146">
        <f>+'135 Acct'!F12</f>
        <v>68144.77</v>
      </c>
      <c r="K23" s="1168">
        <f>ROUND(((+J23-G23)/G23),4)</f>
        <v>1.9E-2</v>
      </c>
      <c r="L23" s="1151">
        <v>68954</v>
      </c>
      <c r="M23" s="1146">
        <f>+'135 Acct'!G12</f>
        <v>68954</v>
      </c>
      <c r="N23" s="1168">
        <f>ROUND(((+M23-J23)/J23),4)</f>
        <v>1.1900000000000001E-2</v>
      </c>
      <c r="O23" s="1151">
        <v>69998</v>
      </c>
      <c r="P23" s="1146">
        <f>+'135 Acct'!H12</f>
        <v>69988</v>
      </c>
      <c r="Q23" s="1168">
        <f>ROUND(((+P23-M23)/M23),4)</f>
        <v>1.4999999999999999E-2</v>
      </c>
      <c r="R23" s="1151">
        <v>71338</v>
      </c>
      <c r="S23" s="1146">
        <f>+'135 Acct'!I12</f>
        <v>71388</v>
      </c>
      <c r="T23" s="1168">
        <f>ROUND(((+S23-P23)/P23),4)</f>
        <v>0.02</v>
      </c>
      <c r="U23" s="1151">
        <v>71338</v>
      </c>
      <c r="V23" s="1146">
        <f>+'135 Acct'!J12</f>
        <v>73905</v>
      </c>
      <c r="W23" s="1168">
        <f>ROUND(((+V23-S23)/S23),4)</f>
        <v>3.5299999999999998E-2</v>
      </c>
      <c r="X23" s="1151">
        <f>+'135 Acct'!K12</f>
        <v>75014</v>
      </c>
      <c r="Y23" s="1146">
        <f>+'135 Acct'!L12</f>
        <v>75014</v>
      </c>
      <c r="Z23" s="1168">
        <f t="shared" ref="Z23:Z25" si="57">ROUND(((+Y23-V23)/V23),4)</f>
        <v>1.4999999999999999E-2</v>
      </c>
      <c r="AA23" s="1151">
        <f>+'135 Acct'!M12</f>
        <v>76139</v>
      </c>
      <c r="AB23" s="1168">
        <f t="shared" ref="AB23:AB25" si="58">ROUND(((+AA23-X23)/X23),4)</f>
        <v>1.4999999999999999E-2</v>
      </c>
      <c r="AC23" s="1146">
        <f>+'135 Acct'!N12</f>
        <v>76139</v>
      </c>
      <c r="AD23" s="1168">
        <f t="shared" ref="AD23:AD25" si="59">ROUND(((+AC23-Y23)/Y23),4)</f>
        <v>1.4999999999999999E-2</v>
      </c>
      <c r="AE23" s="1151">
        <f>+'135 Acct'!O12</f>
        <v>78423</v>
      </c>
      <c r="AF23" s="1168">
        <f t="shared" ref="AF23:AF25" si="60">ROUND(((+AE23-AA23)/AA23),4)</f>
        <v>0.03</v>
      </c>
      <c r="AG23" s="1146">
        <f>+'135 Acct'!P12</f>
        <v>78423</v>
      </c>
      <c r="AH23" s="1168">
        <f t="shared" ref="AH23:AH25" si="61">ROUND(((+AG23-AC23)/AC23),4)</f>
        <v>0.03</v>
      </c>
      <c r="AI23" s="1168"/>
      <c r="AJ23" s="1168"/>
      <c r="AK23" s="1151">
        <f>+'135 Acct'!Q12</f>
        <v>81384</v>
      </c>
      <c r="AL23" s="1168">
        <f t="shared" ref="AL23:AL25" si="62">ROUND(((+AK23-AE23)/AE23),4)</f>
        <v>3.78E-2</v>
      </c>
      <c r="AM23" s="1146">
        <f>+'135 Acct'!R12</f>
        <v>39746.050000000003</v>
      </c>
      <c r="AN23" s="1168">
        <f t="shared" ref="AN23:AN25" si="63">ROUND(((+AM23-AG23)/AG23),4)</f>
        <v>-0.49320000000000003</v>
      </c>
      <c r="AO23" s="1168"/>
      <c r="AP23" s="1168"/>
      <c r="AQ23" s="1151">
        <f>+'135 Acct'!S12</f>
        <v>83494</v>
      </c>
      <c r="AR23" s="1168">
        <f t="shared" ref="AR23:AR25" si="64">ROUND(((+AQ23-AK23)/AK23),4)</f>
        <v>2.5899999999999999E-2</v>
      </c>
      <c r="AS23" s="1168">
        <f t="shared" ref="AS23:AS24" si="65">ROUND((((+AQ23-U23)/U23)/5),4)</f>
        <v>3.4099999999999998E-2</v>
      </c>
      <c r="AT23" s="1168">
        <f t="shared" ref="AT23:AT24" si="66">ROUND((((+AQ23-F23)/F23)/10),4)</f>
        <v>2.2800000000000001E-2</v>
      </c>
      <c r="AV23" s="1151">
        <f t="shared" ref="AV23:AV24" si="67">ROUND((+AQ23*(1+AT23)),0)</f>
        <v>85398</v>
      </c>
      <c r="AW23" s="1151">
        <f t="shared" ref="AW23:AW24" si="68">ROUND((+AV23*(1+AT23)),0)</f>
        <v>87345</v>
      </c>
      <c r="AX23" s="1151">
        <f t="shared" ref="AX23:AX24" si="69">ROUND((+AW23*(1+AT23)),0)</f>
        <v>89336</v>
      </c>
      <c r="AY23" s="1151">
        <f t="shared" ref="AY23:AY24" si="70">ROUND((+AX23*(1+AT23)),0)</f>
        <v>91373</v>
      </c>
      <c r="AZ23" s="1151">
        <f t="shared" ref="AZ23:AZ24" si="71">ROUND((+AY23*(1+AT23)),0)</f>
        <v>93456</v>
      </c>
    </row>
    <row r="24" spans="1:53" x14ac:dyDescent="0.3">
      <c r="B24" s="947" t="s">
        <v>1869</v>
      </c>
      <c r="C24" s="1148">
        <f>+'135 Acct'!C27</f>
        <v>6294.6800000000012</v>
      </c>
      <c r="D24" s="1148">
        <f>+'135 Acct'!D27</f>
        <v>5069.1000000000004</v>
      </c>
      <c r="E24" s="1172">
        <f t="shared" si="55"/>
        <v>-0.19470000000000001</v>
      </c>
      <c r="F24" s="1152">
        <v>7390</v>
      </c>
      <c r="G24" s="1148">
        <f>+'135 Acct'!E27</f>
        <v>7062.52</v>
      </c>
      <c r="H24" s="1172">
        <f t="shared" si="56"/>
        <v>0.39319999999999999</v>
      </c>
      <c r="I24" s="1152">
        <v>6935</v>
      </c>
      <c r="J24" s="1148">
        <f>+'135 Acct'!F27</f>
        <v>8292.33</v>
      </c>
      <c r="K24" s="1172">
        <f>ROUND(((+J24-G24)/G24),4)</f>
        <v>0.1741</v>
      </c>
      <c r="L24" s="1152">
        <v>6150</v>
      </c>
      <c r="M24" s="1148">
        <f>+'135 Acct'!G27</f>
        <v>6144.3499999999995</v>
      </c>
      <c r="N24" s="1172">
        <f>ROUND(((+M24-J24)/J24),4)</f>
        <v>-0.25900000000000001</v>
      </c>
      <c r="O24" s="1152">
        <v>6175</v>
      </c>
      <c r="P24" s="1148">
        <f>+'135 Acct'!H27</f>
        <v>5912.1500000000005</v>
      </c>
      <c r="Q24" s="1172">
        <f>ROUND(((+P24-M24)/M24),4)</f>
        <v>-3.78E-2</v>
      </c>
      <c r="R24" s="1152">
        <v>6377</v>
      </c>
      <c r="S24" s="1148">
        <f>+'135 Acct'!I27</f>
        <v>6133.6100000000006</v>
      </c>
      <c r="T24" s="1172">
        <f>ROUND(((+S24-P24)/P24),4)</f>
        <v>3.7499999999999999E-2</v>
      </c>
      <c r="U24" s="1152">
        <v>7775</v>
      </c>
      <c r="V24" s="1148">
        <f>+'135 Acct'!J27</f>
        <v>6468.84</v>
      </c>
      <c r="W24" s="1172">
        <f>ROUND(((+V24-S24)/S24),4)</f>
        <v>5.4699999999999999E-2</v>
      </c>
      <c r="X24" s="1152">
        <f>+'135 Acct'!K27</f>
        <v>6920</v>
      </c>
      <c r="Y24" s="1148">
        <f>+'135 Acct'!L27</f>
        <v>6575.32</v>
      </c>
      <c r="Z24" s="1172">
        <f t="shared" si="57"/>
        <v>1.6500000000000001E-2</v>
      </c>
      <c r="AA24" s="1152">
        <f>+'135 Acct'!M27</f>
        <v>7261</v>
      </c>
      <c r="AB24" s="1172">
        <f t="shared" si="58"/>
        <v>4.9299999999999997E-2</v>
      </c>
      <c r="AC24" s="1148">
        <f>+'135 Acct'!N27</f>
        <v>6532.81</v>
      </c>
      <c r="AD24" s="1172">
        <f t="shared" si="59"/>
        <v>-6.4999999999999997E-3</v>
      </c>
      <c r="AE24" s="1152">
        <f>+'135 Acct'!O27</f>
        <v>12461</v>
      </c>
      <c r="AF24" s="1172">
        <f t="shared" si="60"/>
        <v>0.71619999999999995</v>
      </c>
      <c r="AG24" s="1148">
        <f>+'135 Acct'!P27</f>
        <v>8994.4500000000007</v>
      </c>
      <c r="AH24" s="1172">
        <f t="shared" si="61"/>
        <v>0.37680000000000002</v>
      </c>
      <c r="AI24" s="1172"/>
      <c r="AJ24" s="1172"/>
      <c r="AK24" s="1152">
        <f>+'135 Acct'!Q27</f>
        <v>9116</v>
      </c>
      <c r="AL24" s="1172">
        <f t="shared" si="62"/>
        <v>-0.26840000000000003</v>
      </c>
      <c r="AM24" s="1148">
        <f>+'135 Acct'!R27</f>
        <v>6458.04</v>
      </c>
      <c r="AN24" s="1172">
        <f t="shared" si="63"/>
        <v>-0.28199999999999997</v>
      </c>
      <c r="AO24" s="1172"/>
      <c r="AP24" s="1172"/>
      <c r="AQ24" s="1152">
        <f>+'135 Acct'!S27</f>
        <v>9506</v>
      </c>
      <c r="AR24" s="1172">
        <f t="shared" si="64"/>
        <v>4.2799999999999998E-2</v>
      </c>
      <c r="AS24" s="1172">
        <f t="shared" si="65"/>
        <v>4.4499999999999998E-2</v>
      </c>
      <c r="AT24" s="1172">
        <f t="shared" si="66"/>
        <v>2.86E-2</v>
      </c>
      <c r="AV24" s="1152">
        <f t="shared" si="67"/>
        <v>9778</v>
      </c>
      <c r="AW24" s="1152">
        <f t="shared" si="68"/>
        <v>10058</v>
      </c>
      <c r="AX24" s="1152">
        <f t="shared" si="69"/>
        <v>10346</v>
      </c>
      <c r="AY24" s="1152">
        <f t="shared" si="70"/>
        <v>10642</v>
      </c>
      <c r="AZ24" s="1152">
        <f t="shared" si="71"/>
        <v>10946</v>
      </c>
    </row>
    <row r="25" spans="1:53" x14ac:dyDescent="0.3">
      <c r="B25" s="947" t="s">
        <v>887</v>
      </c>
      <c r="C25" s="1146">
        <f>SUM(C22:C24)</f>
        <v>69678.560000000012</v>
      </c>
      <c r="D25" s="1146">
        <f t="shared" ref="D25:AQ25" si="72">SUM(D22:D24)</f>
        <v>69599.66</v>
      </c>
      <c r="E25" s="1168">
        <f t="shared" si="55"/>
        <v>-1.1000000000000001E-3</v>
      </c>
      <c r="F25" s="1151">
        <f t="shared" si="72"/>
        <v>75360</v>
      </c>
      <c r="G25" s="1146">
        <f t="shared" si="72"/>
        <v>73935.94</v>
      </c>
      <c r="H25" s="1168">
        <f t="shared" si="56"/>
        <v>6.2300000000000001E-2</v>
      </c>
      <c r="I25" s="1151">
        <f t="shared" si="72"/>
        <v>76100</v>
      </c>
      <c r="J25" s="1146">
        <f t="shared" si="72"/>
        <v>76437.100000000006</v>
      </c>
      <c r="K25" s="1168">
        <f>ROUND(((+J25-G25)/G25),4)</f>
        <v>3.3799999999999997E-2</v>
      </c>
      <c r="L25" s="1151">
        <f t="shared" si="72"/>
        <v>75104</v>
      </c>
      <c r="M25" s="1146">
        <f t="shared" si="72"/>
        <v>75098.350000000006</v>
      </c>
      <c r="N25" s="1168">
        <f>ROUND(((+M25-J25)/J25),4)</f>
        <v>-1.7500000000000002E-2</v>
      </c>
      <c r="O25" s="1151">
        <f t="shared" si="72"/>
        <v>76173</v>
      </c>
      <c r="P25" s="1146">
        <f t="shared" si="72"/>
        <v>75900.149999999994</v>
      </c>
      <c r="Q25" s="1168">
        <f>ROUND(((+P25-M25)/M25),4)</f>
        <v>1.0699999999999999E-2</v>
      </c>
      <c r="R25" s="1151">
        <f t="shared" si="72"/>
        <v>77715</v>
      </c>
      <c r="S25" s="1146">
        <f t="shared" si="72"/>
        <v>77521.61</v>
      </c>
      <c r="T25" s="1168">
        <f>ROUND(((+S25-P25)/P25),4)</f>
        <v>2.1399999999999999E-2</v>
      </c>
      <c r="U25" s="1151">
        <f t="shared" si="72"/>
        <v>79113</v>
      </c>
      <c r="V25" s="1146">
        <f t="shared" si="72"/>
        <v>80373.84</v>
      </c>
      <c r="W25" s="1168">
        <f>ROUND(((+V25-S25)/S25),4)</f>
        <v>3.6799999999999999E-2</v>
      </c>
      <c r="X25" s="1151">
        <f t="shared" si="72"/>
        <v>81934</v>
      </c>
      <c r="Y25" s="1146">
        <f t="shared" si="72"/>
        <v>81589.320000000007</v>
      </c>
      <c r="Z25" s="1168">
        <f t="shared" si="57"/>
        <v>1.5100000000000001E-2</v>
      </c>
      <c r="AA25" s="1151">
        <f t="shared" si="72"/>
        <v>83400</v>
      </c>
      <c r="AB25" s="1168">
        <f t="shared" si="58"/>
        <v>1.7899999999999999E-2</v>
      </c>
      <c r="AC25" s="1146">
        <f t="shared" si="72"/>
        <v>82671.81</v>
      </c>
      <c r="AD25" s="1168">
        <f t="shared" si="59"/>
        <v>1.3299999999999999E-2</v>
      </c>
      <c r="AE25" s="1151">
        <f t="shared" si="72"/>
        <v>90884</v>
      </c>
      <c r="AF25" s="1168">
        <f t="shared" si="60"/>
        <v>8.9700000000000002E-2</v>
      </c>
      <c r="AG25" s="1146">
        <f t="shared" si="72"/>
        <v>87417.45</v>
      </c>
      <c r="AH25" s="1168">
        <f t="shared" si="61"/>
        <v>5.74E-2</v>
      </c>
      <c r="AI25" s="1168"/>
      <c r="AJ25" s="1168"/>
      <c r="AK25" s="1151">
        <f t="shared" si="72"/>
        <v>90500</v>
      </c>
      <c r="AL25" s="1168">
        <f t="shared" si="62"/>
        <v>-4.1999999999999997E-3</v>
      </c>
      <c r="AM25" s="1146">
        <f t="shared" si="72"/>
        <v>46204.090000000004</v>
      </c>
      <c r="AN25" s="1168">
        <f t="shared" si="63"/>
        <v>-0.47149999999999997</v>
      </c>
      <c r="AO25" s="1168"/>
      <c r="AP25" s="1168"/>
      <c r="AQ25" s="1151">
        <f t="shared" si="72"/>
        <v>93000</v>
      </c>
      <c r="AR25" s="1168">
        <f t="shared" si="64"/>
        <v>2.76E-2</v>
      </c>
      <c r="AS25" s="1168">
        <f>ROUND((((+AQ25-U25)/U25)/5),4)</f>
        <v>3.5099999999999999E-2</v>
      </c>
      <c r="AT25" s="1168">
        <f>ROUND((((+AQ25-F25)/F25)/10),4)</f>
        <v>2.3400000000000001E-2</v>
      </c>
      <c r="AV25" s="1151">
        <f t="shared" ref="AV25:AZ25" si="73">SUM(AV22:AV24)</f>
        <v>95176</v>
      </c>
      <c r="AW25" s="1151">
        <f t="shared" si="73"/>
        <v>97403</v>
      </c>
      <c r="AX25" s="1151">
        <f t="shared" si="73"/>
        <v>99682</v>
      </c>
      <c r="AY25" s="1151">
        <f t="shared" si="73"/>
        <v>102015</v>
      </c>
      <c r="AZ25" s="1151">
        <f t="shared" si="73"/>
        <v>104402</v>
      </c>
    </row>
    <row r="26" spans="1:53" x14ac:dyDescent="0.3">
      <c r="AL26" s="1151"/>
      <c r="AQ26" s="1151"/>
      <c r="AR26" s="1151"/>
    </row>
    <row r="27" spans="1:53" x14ac:dyDescent="0.3">
      <c r="A27" s="954" t="s">
        <v>518</v>
      </c>
      <c r="AL27" s="1151"/>
      <c r="AQ27" s="1151"/>
      <c r="AR27" s="1151"/>
    </row>
    <row r="28" spans="1:53" x14ac:dyDescent="0.3">
      <c r="B28" s="947" t="s">
        <v>2218</v>
      </c>
      <c r="C28" s="1146">
        <f>+'141 BOA'!C16</f>
        <v>118067.39</v>
      </c>
      <c r="D28" s="1146">
        <f>+'141 BOA'!D16</f>
        <v>122093.25</v>
      </c>
      <c r="E28" s="1168">
        <f t="shared" ref="E28:E30" si="74">ROUND(((+D28-C28)/C28),4)</f>
        <v>3.4099999999999998E-2</v>
      </c>
      <c r="F28" s="1151">
        <v>126218</v>
      </c>
      <c r="G28" s="1146">
        <f>+'141 BOA'!E16</f>
        <v>124982.37000000001</v>
      </c>
      <c r="H28" s="1168">
        <f t="shared" ref="H28:H30" si="75">ROUND(((+G28-D28)/D28),4)</f>
        <v>2.3699999999999999E-2</v>
      </c>
      <c r="I28" s="1151">
        <v>131010</v>
      </c>
      <c r="J28" s="1146">
        <f>+'141 BOA'!F16</f>
        <v>131230.44</v>
      </c>
      <c r="K28" s="1168">
        <f>ROUND(((+J28-G28)/G28),4)</f>
        <v>0.05</v>
      </c>
      <c r="L28" s="1151">
        <v>135152</v>
      </c>
      <c r="M28" s="1146">
        <f>+'141 BOA'!G16</f>
        <v>135150.20000000001</v>
      </c>
      <c r="N28" s="1168">
        <f>ROUND(((+M28-J28)/J28),4)</f>
        <v>2.9899999999999999E-2</v>
      </c>
      <c r="O28" s="1151">
        <v>140395</v>
      </c>
      <c r="P28" s="1146">
        <f>+'141 BOA'!H16</f>
        <v>140393.79999999999</v>
      </c>
      <c r="Q28" s="1168">
        <f>ROUND(((+P28-M28)/M28),4)</f>
        <v>3.8800000000000001E-2</v>
      </c>
      <c r="R28" s="1151">
        <v>146006</v>
      </c>
      <c r="S28" s="1146">
        <f>+'141 BOA'!I16</f>
        <v>146005.20000000001</v>
      </c>
      <c r="T28" s="1168">
        <f>ROUND(((+S28-P28)/P28),4)</f>
        <v>0.04</v>
      </c>
      <c r="U28" s="1151">
        <v>150199</v>
      </c>
      <c r="V28" s="1146">
        <f>+'141 BOA'!J16</f>
        <v>151250.16</v>
      </c>
      <c r="W28" s="1168">
        <f>ROUND(((+V28-S28)/S28),4)</f>
        <v>3.5900000000000001E-2</v>
      </c>
      <c r="X28" s="1151">
        <f>+'141 BOA'!K16</f>
        <v>156997</v>
      </c>
      <c r="Y28" s="1146">
        <f>+'141 BOA'!L16</f>
        <v>138774.37999999998</v>
      </c>
      <c r="Z28" s="1168">
        <f t="shared" ref="Z28:Z30" si="76">ROUND(((+Y28-V28)/V28),4)</f>
        <v>-8.2500000000000004E-2</v>
      </c>
      <c r="AA28" s="1151">
        <f>+'141 BOA'!M16</f>
        <v>123110</v>
      </c>
      <c r="AB28" s="1168">
        <f t="shared" ref="AB28:AB30" si="77">ROUND(((+AA28-X28)/X28),4)</f>
        <v>-0.21579999999999999</v>
      </c>
      <c r="AC28" s="1146">
        <f>+'141 BOA'!N16</f>
        <v>107995.31</v>
      </c>
      <c r="AD28" s="1168">
        <f t="shared" ref="AD28:AD30" si="78">ROUND(((+AC28-Y28)/Y28),4)</f>
        <v>-0.2218</v>
      </c>
      <c r="AE28" s="1151">
        <f>+'141 BOA'!O16</f>
        <v>120558</v>
      </c>
      <c r="AF28" s="1168">
        <f t="shared" ref="AF28:AF30" si="79">ROUND(((+AE28-AA28)/AA28),4)</f>
        <v>-2.07E-2</v>
      </c>
      <c r="AG28" s="1146">
        <f>+'141 BOA'!P16</f>
        <v>120384.69</v>
      </c>
      <c r="AH28" s="1168">
        <f t="shared" ref="AH28:AH30" si="80">ROUND(((+AG28-AC28)/AC28),4)</f>
        <v>0.1147</v>
      </c>
      <c r="AI28" s="1168"/>
      <c r="AJ28" s="1168"/>
      <c r="AK28" s="1151">
        <f>+'141 BOA'!Q16</f>
        <v>124371</v>
      </c>
      <c r="AL28" s="1168">
        <f t="shared" ref="AL28:AL30" si="81">ROUND(((+AK28-AE28)/AE28),4)</f>
        <v>3.1600000000000003E-2</v>
      </c>
      <c r="AM28" s="1146">
        <f>+'141 BOA'!R16</f>
        <v>60044.82</v>
      </c>
      <c r="AN28" s="1168">
        <f t="shared" ref="AN28:AN30" si="82">ROUND(((+AM28-AG28)/AG28),4)</f>
        <v>-0.50119999999999998</v>
      </c>
      <c r="AO28" s="1168"/>
      <c r="AP28" s="1168"/>
      <c r="AQ28" s="1151">
        <f>+'141 BOA'!S16</f>
        <v>129179</v>
      </c>
      <c r="AR28" s="1168">
        <f t="shared" ref="AR28:AR30" si="83">ROUND(((+AQ28-AK28)/AK28),4)</f>
        <v>3.8699999999999998E-2</v>
      </c>
      <c r="AS28" s="1168">
        <f t="shared" ref="AS28:AS29" si="84">ROUND((((+AQ28-U28)/U28)/5),4)</f>
        <v>-2.8000000000000001E-2</v>
      </c>
      <c r="AT28" s="1168">
        <f t="shared" ref="AT28:AT29" si="85">ROUND((((+AQ28-F28)/F28)/10),4)</f>
        <v>2.3E-3</v>
      </c>
      <c r="AV28" s="1151">
        <f>ROUND((+AQ28*(1.038)),0)</f>
        <v>134088</v>
      </c>
      <c r="AW28" s="1151">
        <f>ROUND((+AV28*(1.038)),0)</f>
        <v>139183</v>
      </c>
      <c r="AX28" s="1151">
        <f>ROUND((+AW28*(1.038)),0)</f>
        <v>144472</v>
      </c>
      <c r="AY28" s="1151">
        <f>ROUND((+AX28*(1.038)),0)</f>
        <v>149962</v>
      </c>
      <c r="AZ28" s="1151">
        <f>ROUND((+AY28*(1.038)),0)</f>
        <v>155661</v>
      </c>
      <c r="BA28" s="1214">
        <v>3.7999999999999999E-2</v>
      </c>
    </row>
    <row r="29" spans="1:53" x14ac:dyDescent="0.3">
      <c r="B29" s="947" t="s">
        <v>1869</v>
      </c>
      <c r="C29" s="1148">
        <f>+'141 BOA'!C37</f>
        <v>23584.149999999998</v>
      </c>
      <c r="D29" s="1148">
        <f>+'141 BOA'!D37</f>
        <v>22891.799999999996</v>
      </c>
      <c r="E29" s="1172">
        <f t="shared" si="74"/>
        <v>-2.9399999999999999E-2</v>
      </c>
      <c r="F29" s="1152">
        <v>23760</v>
      </c>
      <c r="G29" s="1148">
        <f>+'141 BOA'!E37</f>
        <v>26774.629999999997</v>
      </c>
      <c r="H29" s="1172">
        <f t="shared" si="75"/>
        <v>0.1696</v>
      </c>
      <c r="I29" s="1152">
        <v>29383</v>
      </c>
      <c r="J29" s="1148">
        <f>+'141 BOA'!F37</f>
        <v>24079.85</v>
      </c>
      <c r="K29" s="1172">
        <f>ROUND(((+J29-G29)/G29),4)</f>
        <v>-0.10059999999999999</v>
      </c>
      <c r="L29" s="1152">
        <v>25563</v>
      </c>
      <c r="M29" s="1148">
        <f>+'141 BOA'!G37</f>
        <v>28252.16</v>
      </c>
      <c r="N29" s="1172">
        <f>ROUND(((+M29-J29)/J29),4)</f>
        <v>0.17330000000000001</v>
      </c>
      <c r="O29" s="1152">
        <v>25310</v>
      </c>
      <c r="P29" s="1148">
        <f>+'141 BOA'!H37</f>
        <v>32411.819999999996</v>
      </c>
      <c r="Q29" s="1172">
        <f>ROUND(((+P29-M29)/M29),4)</f>
        <v>0.1472</v>
      </c>
      <c r="R29" s="1152">
        <v>26975</v>
      </c>
      <c r="S29" s="1148">
        <f>+'141 BOA'!I37</f>
        <v>26693.63</v>
      </c>
      <c r="T29" s="1172">
        <f>ROUND(((+S29-P29)/P29),4)</f>
        <v>-0.1764</v>
      </c>
      <c r="U29" s="1152">
        <v>37625</v>
      </c>
      <c r="V29" s="1148">
        <f>+'141 BOA'!J37</f>
        <v>33678.28</v>
      </c>
      <c r="W29" s="1172">
        <f>ROUND(((+V29-S29)/S29),4)</f>
        <v>0.26169999999999999</v>
      </c>
      <c r="X29" s="1152">
        <f>+'141 BOA'!K37</f>
        <v>38425</v>
      </c>
      <c r="Y29" s="1148">
        <f>+'141 BOA'!L37</f>
        <v>30474.95</v>
      </c>
      <c r="Z29" s="1172">
        <f t="shared" si="76"/>
        <v>-9.5100000000000004E-2</v>
      </c>
      <c r="AA29" s="1152">
        <f>+'141 BOA'!M37</f>
        <v>56651</v>
      </c>
      <c r="AB29" s="1172">
        <f t="shared" si="77"/>
        <v>0.4743</v>
      </c>
      <c r="AC29" s="1148">
        <f>+'141 BOA'!N37</f>
        <v>39459.67</v>
      </c>
      <c r="AD29" s="1172">
        <f t="shared" si="78"/>
        <v>0.29480000000000001</v>
      </c>
      <c r="AE29" s="1152">
        <f>+'141 BOA'!O37</f>
        <v>70065</v>
      </c>
      <c r="AF29" s="1172">
        <f t="shared" si="79"/>
        <v>0.23680000000000001</v>
      </c>
      <c r="AG29" s="1148">
        <f>+'141 BOA'!P37</f>
        <v>79220.529999999984</v>
      </c>
      <c r="AH29" s="1172">
        <f t="shared" si="80"/>
        <v>1.0076000000000001</v>
      </c>
      <c r="AI29" s="1172"/>
      <c r="AJ29" s="1172"/>
      <c r="AK29" s="1152">
        <f>+'141 BOA'!Q37</f>
        <v>65430</v>
      </c>
      <c r="AL29" s="1172">
        <f t="shared" si="81"/>
        <v>-6.6199999999999995E-2</v>
      </c>
      <c r="AM29" s="1148">
        <f>+'141 BOA'!R37</f>
        <v>35891.109999999993</v>
      </c>
      <c r="AN29" s="1172">
        <f t="shared" si="82"/>
        <v>-0.54690000000000005</v>
      </c>
      <c r="AO29" s="1172"/>
      <c r="AP29" s="1172"/>
      <c r="AQ29" s="1152">
        <f>+'141 BOA'!S37</f>
        <v>56880</v>
      </c>
      <c r="AR29" s="1172">
        <f t="shared" si="83"/>
        <v>-0.13070000000000001</v>
      </c>
      <c r="AS29" s="1172">
        <f t="shared" si="84"/>
        <v>0.1024</v>
      </c>
      <c r="AT29" s="1172">
        <f t="shared" si="85"/>
        <v>0.1394</v>
      </c>
      <c r="AV29" s="1152">
        <f t="shared" ref="AV29" si="86">ROUND((+AQ29*(1+AT29)),0)</f>
        <v>64809</v>
      </c>
      <c r="AW29" s="1152">
        <f t="shared" ref="AW29" si="87">ROUND((+AV29*(1+AT29)),0)</f>
        <v>73843</v>
      </c>
      <c r="AX29" s="1152">
        <f t="shared" ref="AX29" si="88">ROUND((+AW29*(1+AT29)),0)</f>
        <v>84137</v>
      </c>
      <c r="AY29" s="1152">
        <f t="shared" ref="AY29" si="89">ROUND((+AX29*(1+AT29)),0)</f>
        <v>95866</v>
      </c>
      <c r="AZ29" s="1152">
        <f t="shared" ref="AZ29" si="90">ROUND((+AY29*(1+AT29)),0)</f>
        <v>109230</v>
      </c>
    </row>
    <row r="30" spans="1:53" x14ac:dyDescent="0.3">
      <c r="B30" s="947" t="s">
        <v>887</v>
      </c>
      <c r="C30" s="1146">
        <f>SUM(C27:C29)</f>
        <v>141651.54</v>
      </c>
      <c r="D30" s="1146">
        <f t="shared" ref="D30:AQ30" si="91">SUM(D27:D29)</f>
        <v>144985.04999999999</v>
      </c>
      <c r="E30" s="1168">
        <f t="shared" si="74"/>
        <v>2.35E-2</v>
      </c>
      <c r="F30" s="1151">
        <f t="shared" si="91"/>
        <v>149978</v>
      </c>
      <c r="G30" s="1146">
        <f t="shared" si="91"/>
        <v>151757</v>
      </c>
      <c r="H30" s="1168">
        <f t="shared" si="75"/>
        <v>4.6699999999999998E-2</v>
      </c>
      <c r="I30" s="1151">
        <f t="shared" si="91"/>
        <v>160393</v>
      </c>
      <c r="J30" s="1146">
        <f t="shared" si="91"/>
        <v>155310.29</v>
      </c>
      <c r="K30" s="1168">
        <f>ROUND(((+J30-G30)/G30),4)</f>
        <v>2.3400000000000001E-2</v>
      </c>
      <c r="L30" s="1151">
        <f t="shared" si="91"/>
        <v>160715</v>
      </c>
      <c r="M30" s="1146">
        <f t="shared" si="91"/>
        <v>163402.36000000002</v>
      </c>
      <c r="N30" s="1168">
        <f>ROUND(((+M30-J30)/J30),4)</f>
        <v>5.21E-2</v>
      </c>
      <c r="O30" s="1151">
        <f t="shared" si="91"/>
        <v>165705</v>
      </c>
      <c r="P30" s="1146">
        <f t="shared" si="91"/>
        <v>172805.62</v>
      </c>
      <c r="Q30" s="1168">
        <f>ROUND(((+P30-M30)/M30),4)</f>
        <v>5.7500000000000002E-2</v>
      </c>
      <c r="R30" s="1151">
        <f t="shared" si="91"/>
        <v>172981</v>
      </c>
      <c r="S30" s="1146">
        <f t="shared" si="91"/>
        <v>172698.83000000002</v>
      </c>
      <c r="T30" s="1168">
        <f>ROUND(((+S30-P30)/P30),4)</f>
        <v>-5.9999999999999995E-4</v>
      </c>
      <c r="U30" s="1151">
        <f t="shared" si="91"/>
        <v>187824</v>
      </c>
      <c r="V30" s="1146">
        <f t="shared" si="91"/>
        <v>184928.44</v>
      </c>
      <c r="W30" s="1168">
        <f>ROUND(((+V30-S30)/S30),4)</f>
        <v>7.0800000000000002E-2</v>
      </c>
      <c r="X30" s="1151">
        <f t="shared" si="91"/>
        <v>195422</v>
      </c>
      <c r="Y30" s="1146">
        <f t="shared" si="91"/>
        <v>169249.33</v>
      </c>
      <c r="Z30" s="1168">
        <f t="shared" si="76"/>
        <v>-8.48E-2</v>
      </c>
      <c r="AA30" s="1151">
        <f t="shared" si="91"/>
        <v>179761</v>
      </c>
      <c r="AB30" s="1168">
        <f t="shared" si="77"/>
        <v>-8.0100000000000005E-2</v>
      </c>
      <c r="AC30" s="1146">
        <f t="shared" si="91"/>
        <v>147454.97999999998</v>
      </c>
      <c r="AD30" s="1168">
        <f t="shared" si="78"/>
        <v>-0.1288</v>
      </c>
      <c r="AE30" s="1151">
        <f t="shared" si="91"/>
        <v>190623</v>
      </c>
      <c r="AF30" s="1168">
        <f t="shared" si="79"/>
        <v>6.0400000000000002E-2</v>
      </c>
      <c r="AG30" s="1146">
        <f t="shared" si="91"/>
        <v>199605.21999999997</v>
      </c>
      <c r="AH30" s="1168">
        <f t="shared" si="80"/>
        <v>0.35370000000000001</v>
      </c>
      <c r="AI30" s="1168"/>
      <c r="AJ30" s="1168"/>
      <c r="AK30" s="1151">
        <f t="shared" si="91"/>
        <v>189801</v>
      </c>
      <c r="AL30" s="1168">
        <f t="shared" si="81"/>
        <v>-4.3E-3</v>
      </c>
      <c r="AM30" s="1146">
        <f t="shared" si="91"/>
        <v>95935.93</v>
      </c>
      <c r="AN30" s="1168">
        <f t="shared" si="82"/>
        <v>-0.51939999999999997</v>
      </c>
      <c r="AO30" s="1168"/>
      <c r="AP30" s="1168"/>
      <c r="AQ30" s="1151">
        <f t="shared" si="91"/>
        <v>186059</v>
      </c>
      <c r="AR30" s="1168">
        <f t="shared" si="83"/>
        <v>-1.9699999999999999E-2</v>
      </c>
      <c r="AS30" s="1168">
        <f>ROUND((((+AQ30-U30)/U30)/5),4)</f>
        <v>-1.9E-3</v>
      </c>
      <c r="AT30" s="1168">
        <f>ROUND((((+AQ30-F30)/F30)/10),4)</f>
        <v>2.41E-2</v>
      </c>
      <c r="AV30" s="1151">
        <f t="shared" ref="AV30:AZ30" si="92">SUM(AV27:AV29)</f>
        <v>198897</v>
      </c>
      <c r="AW30" s="1151">
        <f t="shared" si="92"/>
        <v>213026</v>
      </c>
      <c r="AX30" s="1151">
        <f t="shared" si="92"/>
        <v>228609</v>
      </c>
      <c r="AY30" s="1151">
        <f t="shared" si="92"/>
        <v>245828</v>
      </c>
      <c r="AZ30" s="1151">
        <f t="shared" si="92"/>
        <v>264891</v>
      </c>
    </row>
    <row r="31" spans="1:53" x14ac:dyDescent="0.3">
      <c r="AL31" s="1151"/>
      <c r="AQ31" s="1151"/>
      <c r="AR31" s="1151"/>
    </row>
    <row r="32" spans="1:53" x14ac:dyDescent="0.3">
      <c r="A32" s="954" t="s">
        <v>520</v>
      </c>
      <c r="AL32" s="1151"/>
      <c r="AQ32" s="1151"/>
      <c r="AR32" s="1151"/>
    </row>
    <row r="33" spans="1:54" x14ac:dyDescent="0.3">
      <c r="B33" s="947" t="s">
        <v>2218</v>
      </c>
      <c r="C33" s="1146">
        <f>+'145 Treas'!C16</f>
        <v>147769.4</v>
      </c>
      <c r="D33" s="1146">
        <f>+'145 Treas'!D16</f>
        <v>154544.85</v>
      </c>
      <c r="E33" s="1168">
        <f t="shared" ref="E33:E35" si="93">ROUND(((+D33-C33)/C33),4)</f>
        <v>4.5900000000000003E-2</v>
      </c>
      <c r="F33" s="1151">
        <v>159112</v>
      </c>
      <c r="G33" s="1146">
        <f>+'145 Treas'!E16</f>
        <v>159252.88</v>
      </c>
      <c r="H33" s="1168">
        <f t="shared" ref="H33:H35" si="94">ROUND(((+G33-D33)/D33),4)</f>
        <v>3.0499999999999999E-2</v>
      </c>
      <c r="I33" s="1151">
        <v>163592</v>
      </c>
      <c r="J33" s="1146">
        <f>+'145 Treas'!F16</f>
        <v>163817.47</v>
      </c>
      <c r="K33" s="1168">
        <f>ROUND(((+J33-G33)/G33),4)</f>
        <v>2.87E-2</v>
      </c>
      <c r="L33" s="1151">
        <v>170180</v>
      </c>
      <c r="M33" s="1146">
        <f>+'145 Treas'!G16</f>
        <v>166058.85</v>
      </c>
      <c r="N33" s="1168">
        <f>ROUND(((+M33-J33)/J33),4)</f>
        <v>1.37E-2</v>
      </c>
      <c r="O33" s="1151">
        <v>157303</v>
      </c>
      <c r="P33" s="1146">
        <f>+'145 Treas'!H16</f>
        <v>158517</v>
      </c>
      <c r="Q33" s="1168">
        <f>ROUND(((+P33-M33)/M33),4)</f>
        <v>-4.5400000000000003E-2</v>
      </c>
      <c r="R33" s="1151">
        <v>167319</v>
      </c>
      <c r="S33" s="1146">
        <f>+'145 Treas'!I16</f>
        <v>167142.79999999999</v>
      </c>
      <c r="T33" s="1168">
        <f>ROUND(((+S33-P33)/P33),4)</f>
        <v>5.4399999999999997E-2</v>
      </c>
      <c r="U33" s="1151">
        <v>171020</v>
      </c>
      <c r="V33" s="1146">
        <f>+'145 Treas'!J16</f>
        <v>173734.63</v>
      </c>
      <c r="W33" s="1168">
        <f>ROUND(((+V33-S33)/S33),4)</f>
        <v>3.9399999999999998E-2</v>
      </c>
      <c r="X33" s="1151">
        <f>+'145 Treas'!K16</f>
        <v>186740</v>
      </c>
      <c r="Y33" s="1146">
        <f>+'145 Treas'!L16</f>
        <v>176098.55</v>
      </c>
      <c r="Z33" s="1168">
        <f t="shared" ref="Z33:Z35" si="95">ROUND(((+Y33-V33)/V33),4)</f>
        <v>1.3599999999999999E-2</v>
      </c>
      <c r="AA33" s="1151">
        <f>+'145 Treas'!M16</f>
        <v>175993</v>
      </c>
      <c r="AB33" s="1168">
        <f t="shared" ref="AB33:AB35" si="96">ROUND(((+AA33-X33)/X33),4)</f>
        <v>-5.7599999999999998E-2</v>
      </c>
      <c r="AC33" s="1146">
        <f>+'145 Treas'!N16</f>
        <v>155534.53</v>
      </c>
      <c r="AD33" s="1146">
        <v>6.4000000000000001E-2</v>
      </c>
      <c r="AE33" s="1151">
        <f>+'145 Treas'!O16</f>
        <v>163243</v>
      </c>
      <c r="AF33" s="1168">
        <f t="shared" ref="AF33:AF35" si="97">ROUND(((+AE33-AA33)/AA33),4)</f>
        <v>-7.2400000000000006E-2</v>
      </c>
      <c r="AG33" s="1146">
        <f>+'145 Treas'!P16</f>
        <v>163277</v>
      </c>
      <c r="AH33" s="1146">
        <v>6.4000000000000001E-2</v>
      </c>
      <c r="AK33" s="1151">
        <f>+'145 Treas'!Q16</f>
        <v>171178</v>
      </c>
      <c r="AL33" s="1168">
        <f t="shared" ref="AL33:AL35" si="98">ROUND(((+AK33-AE33)/AE33),4)</f>
        <v>4.8599999999999997E-2</v>
      </c>
      <c r="AM33" s="1146">
        <f>+'145 Treas'!R16</f>
        <v>62636.89</v>
      </c>
      <c r="AN33" s="1146">
        <v>6.4000000000000001E-2</v>
      </c>
      <c r="AQ33" s="1151">
        <f>+'145 Treas'!S16</f>
        <v>135894.76999999999</v>
      </c>
      <c r="AR33" s="1168">
        <f t="shared" ref="AR33:AR35" si="99">ROUND(((+AQ33-AK33)/AK33),4)</f>
        <v>-0.20610000000000001</v>
      </c>
      <c r="AS33" s="1168">
        <f t="shared" ref="AS33:AS34" si="100">ROUND((((+AQ33-U33)/U33)/5),4)</f>
        <v>-4.1099999999999998E-2</v>
      </c>
      <c r="AT33" s="1168">
        <f t="shared" ref="AT33:AT34" si="101">ROUND((((+AQ33-F33)/F33)/10),4)</f>
        <v>-1.46E-2</v>
      </c>
      <c r="AV33" s="1151">
        <f>ROUND((+AQ33*(1.023)),0)</f>
        <v>139020</v>
      </c>
      <c r="AW33" s="1151">
        <f>ROUND((+AV33*(1.023)),0)</f>
        <v>142217</v>
      </c>
      <c r="AX33" s="1151">
        <f>ROUND((+AW33*(1.023)),0)</f>
        <v>145488</v>
      </c>
      <c r="AY33" s="1151">
        <f>ROUND((+AX33*(1.023)),0)</f>
        <v>148834</v>
      </c>
      <c r="AZ33" s="1151">
        <f>ROUND((+AY33*(1.023)),0)</f>
        <v>152257</v>
      </c>
      <c r="BA33" s="1214">
        <v>2.3E-2</v>
      </c>
    </row>
    <row r="34" spans="1:54" x14ac:dyDescent="0.3">
      <c r="B34" s="947" t="s">
        <v>1869</v>
      </c>
      <c r="C34" s="1148">
        <f>+'145 Treas'!C32</f>
        <v>43270.509999999995</v>
      </c>
      <c r="D34" s="1148">
        <f>+'145 Treas'!D32</f>
        <v>42765.049999999996</v>
      </c>
      <c r="E34" s="1172">
        <f t="shared" si="93"/>
        <v>-1.17E-2</v>
      </c>
      <c r="F34" s="1152">
        <v>48595</v>
      </c>
      <c r="G34" s="1148">
        <f>+'145 Treas'!E32</f>
        <v>47505.5</v>
      </c>
      <c r="H34" s="1172">
        <f t="shared" si="94"/>
        <v>0.1108</v>
      </c>
      <c r="I34" s="1152">
        <v>48795</v>
      </c>
      <c r="J34" s="1148">
        <f>+'145 Treas'!F32</f>
        <v>54217.33</v>
      </c>
      <c r="K34" s="1172">
        <f>ROUND(((+J34-G34)/G34),4)</f>
        <v>0.14130000000000001</v>
      </c>
      <c r="L34" s="1152">
        <v>47870</v>
      </c>
      <c r="M34" s="1148">
        <f>+'145 Treas'!G32</f>
        <v>47641.82</v>
      </c>
      <c r="N34" s="1172">
        <f>ROUND(((+M34-J34)/J34),4)</f>
        <v>-0.12130000000000001</v>
      </c>
      <c r="O34" s="1152">
        <v>55520</v>
      </c>
      <c r="P34" s="1148">
        <f>+'145 Treas'!H32</f>
        <v>50153.329999999994</v>
      </c>
      <c r="Q34" s="1172">
        <f>ROUND(((+P34-M34)/M34),4)</f>
        <v>5.2699999999999997E-2</v>
      </c>
      <c r="R34" s="1152">
        <v>54420</v>
      </c>
      <c r="S34" s="1148">
        <f>+'145 Treas'!I32</f>
        <v>39683.410000000003</v>
      </c>
      <c r="T34" s="1172">
        <f>ROUND(((+S34-P34)/P34),4)</f>
        <v>-0.20880000000000001</v>
      </c>
      <c r="U34" s="1152">
        <v>49970</v>
      </c>
      <c r="V34" s="1148">
        <f>+'145 Treas'!J32</f>
        <v>45677.460000000006</v>
      </c>
      <c r="W34" s="1172">
        <f>ROUND(((+V34-S34)/S34),4)</f>
        <v>0.151</v>
      </c>
      <c r="X34" s="1152">
        <f>+'145 Treas'!K32</f>
        <v>52820</v>
      </c>
      <c r="Y34" s="1148">
        <f>+'145 Treas'!L32</f>
        <v>47099.39</v>
      </c>
      <c r="Z34" s="1172">
        <f t="shared" si="95"/>
        <v>3.1099999999999999E-2</v>
      </c>
      <c r="AA34" s="1152">
        <f>+'145 Treas'!M32</f>
        <v>52970</v>
      </c>
      <c r="AB34" s="1172">
        <f t="shared" si="96"/>
        <v>2.8E-3</v>
      </c>
      <c r="AC34" s="1148">
        <f>+'145 Treas'!N32</f>
        <v>57203.299999999996</v>
      </c>
      <c r="AD34" s="1148">
        <v>6.4000000000000001E-2</v>
      </c>
      <c r="AE34" s="1152">
        <f>+'145 Treas'!O32</f>
        <v>57470</v>
      </c>
      <c r="AF34" s="1172">
        <f t="shared" si="97"/>
        <v>8.5000000000000006E-2</v>
      </c>
      <c r="AG34" s="1148">
        <f>+'145 Treas'!P32</f>
        <v>55245.17</v>
      </c>
      <c r="AH34" s="1148">
        <v>6.4000000000000001E-2</v>
      </c>
      <c r="AI34" s="1148"/>
      <c r="AJ34" s="1148"/>
      <c r="AK34" s="1152">
        <f>+'145 Treas'!Q32</f>
        <v>59870</v>
      </c>
      <c r="AL34" s="1172">
        <f t="shared" si="98"/>
        <v>4.1799999999999997E-2</v>
      </c>
      <c r="AM34" s="1148">
        <f>+'145 Treas'!R32</f>
        <v>27227.140000000003</v>
      </c>
      <c r="AN34" s="1148">
        <v>6.4000000000000001E-2</v>
      </c>
      <c r="AO34" s="1148"/>
      <c r="AP34" s="1148"/>
      <c r="AQ34" s="1152">
        <f>+'145 Treas'!S32</f>
        <v>71070</v>
      </c>
      <c r="AR34" s="1172">
        <f t="shared" si="99"/>
        <v>0.18709999999999999</v>
      </c>
      <c r="AS34" s="1172">
        <f t="shared" si="100"/>
        <v>8.4500000000000006E-2</v>
      </c>
      <c r="AT34" s="1172">
        <f t="shared" si="101"/>
        <v>4.6199999999999998E-2</v>
      </c>
      <c r="AV34" s="1152">
        <f t="shared" ref="AV34" si="102">ROUND((+AQ34*(1+AT34)),0)</f>
        <v>74353</v>
      </c>
      <c r="AW34" s="1152">
        <f t="shared" ref="AW34" si="103">ROUND((+AV34*(1+AT34)),0)</f>
        <v>77788</v>
      </c>
      <c r="AX34" s="1152">
        <f t="shared" ref="AX34" si="104">ROUND((+AW34*(1+AT34)),0)</f>
        <v>81382</v>
      </c>
      <c r="AY34" s="1152">
        <f t="shared" ref="AY34" si="105">ROUND((+AX34*(1+AT34)),0)</f>
        <v>85142</v>
      </c>
      <c r="AZ34" s="1152">
        <f t="shared" ref="AZ34" si="106">ROUND((+AY34*(1+AT34)),0)</f>
        <v>89076</v>
      </c>
    </row>
    <row r="35" spans="1:54" x14ac:dyDescent="0.3">
      <c r="B35" s="947" t="s">
        <v>887</v>
      </c>
      <c r="C35" s="1146">
        <f>SUM(C32:C34)</f>
        <v>191039.90999999997</v>
      </c>
      <c r="D35" s="1146">
        <f t="shared" ref="D35:AQ35" si="107">SUM(D32:D34)</f>
        <v>197309.9</v>
      </c>
      <c r="E35" s="1168">
        <f t="shared" si="93"/>
        <v>3.2800000000000003E-2</v>
      </c>
      <c r="F35" s="1151">
        <f t="shared" si="107"/>
        <v>207707</v>
      </c>
      <c r="G35" s="1146">
        <f t="shared" si="107"/>
        <v>206758.38</v>
      </c>
      <c r="H35" s="1168">
        <f t="shared" si="94"/>
        <v>4.7899999999999998E-2</v>
      </c>
      <c r="I35" s="1151">
        <f t="shared" si="107"/>
        <v>212387</v>
      </c>
      <c r="J35" s="1146">
        <f t="shared" si="107"/>
        <v>218034.8</v>
      </c>
      <c r="K35" s="1168">
        <f>ROUND(((+J35-G35)/G35),4)</f>
        <v>5.45E-2</v>
      </c>
      <c r="L35" s="1151">
        <f t="shared" si="107"/>
        <v>218050</v>
      </c>
      <c r="M35" s="1146">
        <f t="shared" si="107"/>
        <v>213700.67</v>
      </c>
      <c r="N35" s="1168">
        <f>ROUND(((+M35-J35)/J35),4)</f>
        <v>-1.9900000000000001E-2</v>
      </c>
      <c r="O35" s="1151">
        <f t="shared" si="107"/>
        <v>212823</v>
      </c>
      <c r="P35" s="1146">
        <f t="shared" si="107"/>
        <v>208670.33</v>
      </c>
      <c r="Q35" s="1168">
        <f>ROUND(((+P35-M35)/M35),4)</f>
        <v>-2.35E-2</v>
      </c>
      <c r="R35" s="1151">
        <f t="shared" si="107"/>
        <v>221739</v>
      </c>
      <c r="S35" s="1146">
        <f t="shared" si="107"/>
        <v>206826.21</v>
      </c>
      <c r="T35" s="1168">
        <f>ROUND(((+S35-P35)/P35),4)</f>
        <v>-8.8000000000000005E-3</v>
      </c>
      <c r="U35" s="1151">
        <f t="shared" si="107"/>
        <v>220990</v>
      </c>
      <c r="V35" s="1146">
        <f t="shared" si="107"/>
        <v>219412.09000000003</v>
      </c>
      <c r="W35" s="1168">
        <f>ROUND(((+V35-S35)/S35),4)</f>
        <v>6.0900000000000003E-2</v>
      </c>
      <c r="X35" s="1151">
        <f t="shared" si="107"/>
        <v>239560</v>
      </c>
      <c r="Y35" s="1146">
        <f t="shared" si="107"/>
        <v>223197.94</v>
      </c>
      <c r="Z35" s="1168">
        <f t="shared" si="95"/>
        <v>1.7299999999999999E-2</v>
      </c>
      <c r="AA35" s="1151">
        <f t="shared" si="107"/>
        <v>228963</v>
      </c>
      <c r="AB35" s="1168">
        <f t="shared" si="96"/>
        <v>-4.4200000000000003E-2</v>
      </c>
      <c r="AC35" s="1146">
        <f t="shared" si="107"/>
        <v>212737.83</v>
      </c>
      <c r="AD35" s="1146">
        <v>6.4000000000000001E-2</v>
      </c>
      <c r="AE35" s="1151">
        <f t="shared" si="107"/>
        <v>220713</v>
      </c>
      <c r="AF35" s="1168">
        <f t="shared" si="97"/>
        <v>-3.5999999999999997E-2</v>
      </c>
      <c r="AG35" s="1146">
        <f t="shared" si="107"/>
        <v>218522.16999999998</v>
      </c>
      <c r="AH35" s="1146">
        <v>6.4000000000000001E-2</v>
      </c>
      <c r="AK35" s="1151">
        <f t="shared" si="107"/>
        <v>231048</v>
      </c>
      <c r="AL35" s="1168">
        <f t="shared" si="98"/>
        <v>4.6800000000000001E-2</v>
      </c>
      <c r="AM35" s="1146">
        <f t="shared" si="107"/>
        <v>89864.03</v>
      </c>
      <c r="AN35" s="1146">
        <v>6.4000000000000001E-2</v>
      </c>
      <c r="AQ35" s="1151">
        <f t="shared" si="107"/>
        <v>206964.77</v>
      </c>
      <c r="AR35" s="1168">
        <f t="shared" si="99"/>
        <v>-0.1042</v>
      </c>
      <c r="AS35" s="1168">
        <f>ROUND((((+AQ35-U35)/U35)/5),4)</f>
        <v>-1.2699999999999999E-2</v>
      </c>
      <c r="AT35" s="1168">
        <f>ROUND((((+AQ35-F35)/F35)/10),4)</f>
        <v>-4.0000000000000002E-4</v>
      </c>
      <c r="AV35" s="1151">
        <f t="shared" ref="AV35:AZ35" si="108">SUM(AV32:AV34)</f>
        <v>213373</v>
      </c>
      <c r="AW35" s="1151">
        <f t="shared" si="108"/>
        <v>220005</v>
      </c>
      <c r="AX35" s="1151">
        <f t="shared" si="108"/>
        <v>226870</v>
      </c>
      <c r="AY35" s="1151">
        <f t="shared" si="108"/>
        <v>233976</v>
      </c>
      <c r="AZ35" s="1151">
        <f t="shared" si="108"/>
        <v>241333</v>
      </c>
    </row>
    <row r="36" spans="1:54" x14ac:dyDescent="0.3">
      <c r="AL36" s="1151"/>
      <c r="AQ36" s="1151"/>
      <c r="AR36" s="1151"/>
    </row>
    <row r="37" spans="1:54" x14ac:dyDescent="0.3">
      <c r="A37" s="954" t="s">
        <v>521</v>
      </c>
      <c r="AL37" s="1151"/>
      <c r="AQ37" s="1151"/>
      <c r="AR37" s="1151"/>
    </row>
    <row r="38" spans="1:54" x14ac:dyDescent="0.3">
      <c r="B38" s="947" t="s">
        <v>2218</v>
      </c>
      <c r="AL38" s="1151"/>
      <c r="AQ38" s="1151"/>
      <c r="AR38" s="1151"/>
    </row>
    <row r="39" spans="1:54" x14ac:dyDescent="0.3">
      <c r="B39" s="947" t="s">
        <v>1869</v>
      </c>
      <c r="C39" s="1148">
        <f>+'151 Counsel'!C13</f>
        <v>79291.739999999991</v>
      </c>
      <c r="D39" s="1148">
        <f>+'151 Counsel'!D13</f>
        <v>68222.33</v>
      </c>
      <c r="E39" s="1172">
        <f t="shared" ref="E39:E40" si="109">ROUND(((+D39-C39)/C39),4)</f>
        <v>-0.1396</v>
      </c>
      <c r="F39" s="1152">
        <v>70000</v>
      </c>
      <c r="G39" s="1148">
        <f>+'151 Counsel'!E13</f>
        <v>104258.47</v>
      </c>
      <c r="H39" s="1172">
        <f t="shared" ref="H39:H40" si="110">ROUND(((+G39-D39)/D39),4)</f>
        <v>0.5282</v>
      </c>
      <c r="I39" s="1152">
        <v>70000</v>
      </c>
      <c r="J39" s="1148">
        <f>+'151 Counsel'!F13</f>
        <v>74568.58</v>
      </c>
      <c r="K39" s="1172">
        <f>ROUND(((+J39-G39)/G39),4)</f>
        <v>-0.2848</v>
      </c>
      <c r="L39" s="1152">
        <v>70000</v>
      </c>
      <c r="M39" s="1148">
        <f>+'151 Counsel'!G13</f>
        <v>94990.93</v>
      </c>
      <c r="N39" s="1172">
        <f>ROUND(((+M39-J39)/J39),4)</f>
        <v>0.27389999999999998</v>
      </c>
      <c r="O39" s="1152">
        <v>98000</v>
      </c>
      <c r="P39" s="1148">
        <f>+'151 Counsel'!H13</f>
        <v>78752.53</v>
      </c>
      <c r="Q39" s="1172">
        <f>ROUND(((+P39-M39)/M39),4)</f>
        <v>-0.1709</v>
      </c>
      <c r="R39" s="1152">
        <v>98000</v>
      </c>
      <c r="S39" s="1148">
        <f>+'151 Counsel'!I13</f>
        <v>62050.99</v>
      </c>
      <c r="T39" s="1172">
        <f>ROUND(((+S39-P39)/P39),4)</f>
        <v>-0.21210000000000001</v>
      </c>
      <c r="U39" s="1152">
        <v>98000</v>
      </c>
      <c r="V39" s="1148">
        <f>+'151 Counsel'!J13</f>
        <v>47390.289999999994</v>
      </c>
      <c r="W39" s="1172">
        <f>ROUND(((+V39-S39)/S39),4)</f>
        <v>-0.23630000000000001</v>
      </c>
      <c r="X39" s="1152">
        <f>+'151 Counsel'!K13</f>
        <v>80000</v>
      </c>
      <c r="Y39" s="1148">
        <f>+'151 Counsel'!L13</f>
        <v>51028.08</v>
      </c>
      <c r="Z39" s="1172">
        <f t="shared" ref="Z39:Z40" si="111">ROUND(((+Y39-V39)/V39),4)</f>
        <v>7.6799999999999993E-2</v>
      </c>
      <c r="AA39" s="1152">
        <f>+'151 Counsel'!M13</f>
        <v>85000</v>
      </c>
      <c r="AB39" s="1172">
        <f t="shared" ref="AB39:AB40" si="112">ROUND(((+AA39-X39)/X39),4)</f>
        <v>6.25E-2</v>
      </c>
      <c r="AC39" s="1148">
        <f>+'151 Counsel'!N13</f>
        <v>62525.78</v>
      </c>
      <c r="AD39" s="1172">
        <f t="shared" ref="AD39:AD40" si="113">ROUND(((+AC39-Y39)/Y39),4)</f>
        <v>0.2253</v>
      </c>
      <c r="AE39" s="1152">
        <f>+'151 Counsel'!O13</f>
        <v>75000</v>
      </c>
      <c r="AF39" s="1172">
        <f t="shared" ref="AF39:AF40" si="114">ROUND(((+AE39-AA39)/AA39),4)</f>
        <v>-0.1176</v>
      </c>
      <c r="AG39" s="1148">
        <f>+'151 Counsel'!P13</f>
        <v>66146.42</v>
      </c>
      <c r="AH39" s="1172">
        <f t="shared" ref="AH39:AH40" si="115">ROUND(((+AG39-AC39)/AC39),4)</f>
        <v>5.79E-2</v>
      </c>
      <c r="AI39" s="1172"/>
      <c r="AJ39" s="1172"/>
      <c r="AK39" s="1152">
        <f>+'151 Counsel'!Q13</f>
        <v>80000</v>
      </c>
      <c r="AL39" s="1172">
        <f t="shared" ref="AL39:AL40" si="116">ROUND(((+AK39-AE39)/AE39),4)</f>
        <v>6.6699999999999995E-2</v>
      </c>
      <c r="AM39" s="1148">
        <f>+'151 Counsel'!R13</f>
        <v>23713.21</v>
      </c>
      <c r="AN39" s="1172">
        <f t="shared" ref="AN39:AN40" si="117">ROUND(((+AM39-AG39)/AG39),4)</f>
        <v>-0.64149999999999996</v>
      </c>
      <c r="AO39" s="1172"/>
      <c r="AP39" s="1172"/>
      <c r="AQ39" s="1152">
        <f>+'151 Counsel'!S13</f>
        <v>87475</v>
      </c>
      <c r="AR39" s="1172">
        <f t="shared" ref="AR39:AR40" si="118">ROUND(((+AQ39-AK39)/AK39),4)</f>
        <v>9.3399999999999997E-2</v>
      </c>
      <c r="AS39" s="1172">
        <f>ROUND((((+AQ39-U39)/U39)/5),4)</f>
        <v>-2.1499999999999998E-2</v>
      </c>
      <c r="AT39" s="1172">
        <f>ROUND((((+AQ39-F39)/F39)/10),4)</f>
        <v>2.5000000000000001E-2</v>
      </c>
      <c r="AV39" s="1152">
        <f>ROUND((+AQ39*(1+AT39)),0)</f>
        <v>89662</v>
      </c>
      <c r="AW39" s="1152">
        <f>ROUND((+AV39*(1+AT39)),0)</f>
        <v>91904</v>
      </c>
      <c r="AX39" s="1152">
        <f>ROUND((+AW39*(1+AT39)),0)</f>
        <v>94202</v>
      </c>
      <c r="AY39" s="1152">
        <f>ROUND((+AX39*(1+AT39)),0)</f>
        <v>96557</v>
      </c>
      <c r="AZ39" s="1152">
        <f>ROUND((+AY39*(1+AT39)),0)</f>
        <v>98971</v>
      </c>
    </row>
    <row r="40" spans="1:54" x14ac:dyDescent="0.3">
      <c r="B40" s="947" t="s">
        <v>887</v>
      </c>
      <c r="C40" s="1146">
        <f>SUM(C37:C39)</f>
        <v>79291.739999999991</v>
      </c>
      <c r="D40" s="1146">
        <f t="shared" ref="D40:AQ40" si="119">SUM(D37:D39)</f>
        <v>68222.33</v>
      </c>
      <c r="E40" s="1168">
        <f t="shared" si="109"/>
        <v>-0.1396</v>
      </c>
      <c r="F40" s="1151">
        <f t="shared" si="119"/>
        <v>70000</v>
      </c>
      <c r="G40" s="1146">
        <f t="shared" si="119"/>
        <v>104258.47</v>
      </c>
      <c r="H40" s="1168">
        <f t="shared" si="110"/>
        <v>0.5282</v>
      </c>
      <c r="I40" s="1151">
        <f t="shared" si="119"/>
        <v>70000</v>
      </c>
      <c r="J40" s="1146">
        <f t="shared" si="119"/>
        <v>74568.58</v>
      </c>
      <c r="K40" s="1168">
        <f>ROUND(((+J40-G40)/G40),4)</f>
        <v>-0.2848</v>
      </c>
      <c r="L40" s="1151">
        <f t="shared" si="119"/>
        <v>70000</v>
      </c>
      <c r="M40" s="1146">
        <f t="shared" si="119"/>
        <v>94990.93</v>
      </c>
      <c r="N40" s="1168">
        <f>ROUND(((+M40-J40)/J40),4)</f>
        <v>0.27389999999999998</v>
      </c>
      <c r="O40" s="1151">
        <f t="shared" si="119"/>
        <v>98000</v>
      </c>
      <c r="P40" s="1146">
        <f t="shared" si="119"/>
        <v>78752.53</v>
      </c>
      <c r="Q40" s="1168">
        <f>ROUND(((+P40-M40)/M40),4)</f>
        <v>-0.1709</v>
      </c>
      <c r="R40" s="1151">
        <f t="shared" si="119"/>
        <v>98000</v>
      </c>
      <c r="S40" s="1146">
        <f t="shared" si="119"/>
        <v>62050.99</v>
      </c>
      <c r="T40" s="1168">
        <f>ROUND(((+S40-P40)/P40),4)</f>
        <v>-0.21210000000000001</v>
      </c>
      <c r="U40" s="1151">
        <f t="shared" si="119"/>
        <v>98000</v>
      </c>
      <c r="V40" s="1146">
        <f t="shared" si="119"/>
        <v>47390.289999999994</v>
      </c>
      <c r="W40" s="1168">
        <f>ROUND(((+V40-S40)/S40),4)</f>
        <v>-0.23630000000000001</v>
      </c>
      <c r="X40" s="1151">
        <f t="shared" si="119"/>
        <v>80000</v>
      </c>
      <c r="Y40" s="1146">
        <f t="shared" si="119"/>
        <v>51028.08</v>
      </c>
      <c r="Z40" s="1168">
        <f t="shared" si="111"/>
        <v>7.6799999999999993E-2</v>
      </c>
      <c r="AA40" s="1151">
        <f t="shared" si="119"/>
        <v>85000</v>
      </c>
      <c r="AB40" s="1168">
        <f t="shared" si="112"/>
        <v>6.25E-2</v>
      </c>
      <c r="AC40" s="1146">
        <f t="shared" si="119"/>
        <v>62525.78</v>
      </c>
      <c r="AD40" s="1168">
        <f t="shared" si="113"/>
        <v>0.2253</v>
      </c>
      <c r="AE40" s="1151">
        <f t="shared" si="119"/>
        <v>75000</v>
      </c>
      <c r="AF40" s="1168">
        <f t="shared" si="114"/>
        <v>-0.1176</v>
      </c>
      <c r="AG40" s="1146">
        <f t="shared" si="119"/>
        <v>66146.42</v>
      </c>
      <c r="AH40" s="1168">
        <f t="shared" si="115"/>
        <v>5.79E-2</v>
      </c>
      <c r="AI40" s="1168"/>
      <c r="AJ40" s="1168"/>
      <c r="AK40" s="1151">
        <f t="shared" si="119"/>
        <v>80000</v>
      </c>
      <c r="AL40" s="1168">
        <f t="shared" si="116"/>
        <v>6.6699999999999995E-2</v>
      </c>
      <c r="AM40" s="1146">
        <f t="shared" si="119"/>
        <v>23713.21</v>
      </c>
      <c r="AN40" s="1168">
        <f t="shared" si="117"/>
        <v>-0.64149999999999996</v>
      </c>
      <c r="AO40" s="1168"/>
      <c r="AP40" s="1168"/>
      <c r="AQ40" s="1151">
        <f t="shared" si="119"/>
        <v>87475</v>
      </c>
      <c r="AR40" s="1168">
        <f t="shared" si="118"/>
        <v>9.3399999999999997E-2</v>
      </c>
      <c r="AS40" s="1168">
        <f>ROUND((((+AQ40-U40)/U40)/5),4)</f>
        <v>-2.1499999999999998E-2</v>
      </c>
      <c r="AT40" s="1168">
        <f>ROUND((((+AQ40-F40)/F40)/10),4)</f>
        <v>2.5000000000000001E-2</v>
      </c>
      <c r="AV40" s="1151">
        <f t="shared" ref="AV40:AZ40" si="120">SUM(AV37:AV39)</f>
        <v>89662</v>
      </c>
      <c r="AW40" s="1151">
        <f t="shared" si="120"/>
        <v>91904</v>
      </c>
      <c r="AX40" s="1151">
        <f t="shared" si="120"/>
        <v>94202</v>
      </c>
      <c r="AY40" s="1151">
        <f t="shared" si="120"/>
        <v>96557</v>
      </c>
      <c r="AZ40" s="1151">
        <f t="shared" si="120"/>
        <v>98971</v>
      </c>
    </row>
    <row r="41" spans="1:54" x14ac:dyDescent="0.3">
      <c r="AL41" s="1151"/>
      <c r="AQ41" s="1151"/>
      <c r="AR41" s="1151"/>
    </row>
    <row r="42" spans="1:54" x14ac:dyDescent="0.3">
      <c r="A42" s="954" t="s">
        <v>522</v>
      </c>
      <c r="AL42" s="1151"/>
      <c r="AQ42" s="1151"/>
      <c r="AR42" s="1151"/>
    </row>
    <row r="43" spans="1:54" x14ac:dyDescent="0.3">
      <c r="B43" s="947" t="s">
        <v>2218</v>
      </c>
      <c r="C43" s="1146">
        <f>+'155 IT'!C11</f>
        <v>2000</v>
      </c>
      <c r="D43" s="1146">
        <f>+'155 IT'!D11</f>
        <v>2000</v>
      </c>
      <c r="E43" s="1168">
        <f t="shared" ref="E43:E45" si="121">ROUND(((+D43-C43)/C43),4)</f>
        <v>0</v>
      </c>
      <c r="F43" s="1151">
        <v>2000</v>
      </c>
      <c r="G43" s="1146">
        <f>+'155 IT'!E11</f>
        <v>1885.16</v>
      </c>
      <c r="H43" s="1168">
        <f t="shared" ref="H43:H45" si="122">ROUND(((+G43-D43)/D43),4)</f>
        <v>-5.74E-2</v>
      </c>
      <c r="I43" s="1151">
        <v>3500</v>
      </c>
      <c r="J43" s="1146">
        <f>+'155 IT'!F11</f>
        <v>2000</v>
      </c>
      <c r="K43" s="1168">
        <f>ROUND(((+J43-G43)/G43),4)</f>
        <v>6.0900000000000003E-2</v>
      </c>
      <c r="L43" s="1151">
        <v>2000</v>
      </c>
      <c r="M43" s="1146">
        <f>+'155 IT'!G11</f>
        <v>663.52</v>
      </c>
      <c r="N43" s="1168">
        <f>ROUND(((+M43-J43)/J43),4)</f>
        <v>-0.66820000000000002</v>
      </c>
      <c r="O43" s="1151">
        <v>2000</v>
      </c>
      <c r="P43" s="1146">
        <f>+'155 IT'!H11</f>
        <v>1807.62</v>
      </c>
      <c r="Q43" s="1168">
        <f>ROUND(((+P43-M43)/M43),4)</f>
        <v>1.7242999999999999</v>
      </c>
      <c r="R43" s="1151">
        <v>200</v>
      </c>
      <c r="S43" s="1146">
        <f>+'155 IT'!I11</f>
        <v>2000</v>
      </c>
      <c r="T43" s="1168">
        <f>ROUND(((+S43-P43)/P43),4)</f>
        <v>0.10639999999999999</v>
      </c>
      <c r="U43" s="1151">
        <v>2100</v>
      </c>
      <c r="V43" s="1146">
        <f>+'155 IT'!J11</f>
        <v>2100</v>
      </c>
      <c r="W43" s="1168">
        <f>ROUND(((+V43-S43)/S43),4)</f>
        <v>0.05</v>
      </c>
      <c r="X43" s="1151">
        <f>+'155 IT'!K11</f>
        <v>2100</v>
      </c>
      <c r="Y43" s="1146">
        <f>+'155 IT'!L11</f>
        <v>2899.89</v>
      </c>
      <c r="Z43" s="1168">
        <f t="shared" ref="Z43:Z45" si="123">ROUND(((+Y43-V43)/V43),4)</f>
        <v>0.38090000000000002</v>
      </c>
      <c r="AA43" s="1151">
        <f>+'155 IT'!M11</f>
        <v>2100</v>
      </c>
      <c r="AB43" s="1168">
        <f t="shared" ref="AB43:AB45" si="124">ROUND(((+AA43-X43)/X43),4)</f>
        <v>0</v>
      </c>
      <c r="AC43" s="1146">
        <f>+'155 IT'!N11</f>
        <v>2100</v>
      </c>
      <c r="AD43" s="1168">
        <f t="shared" ref="AD43:AD45" si="125">ROUND(((+AC43-Y43)/Y43),4)</f>
        <v>-0.27579999999999999</v>
      </c>
      <c r="AE43" s="1151">
        <f>+'155 IT'!O11</f>
        <v>2100</v>
      </c>
      <c r="AF43" s="1168">
        <f t="shared" ref="AF43:AF45" si="126">ROUND(((+AE43-AA43)/AA43),4)</f>
        <v>0</v>
      </c>
      <c r="AG43" s="1146">
        <f>+'155 IT'!P11</f>
        <v>2100</v>
      </c>
      <c r="AH43" s="1168">
        <f t="shared" ref="AH43:AH45" si="127">ROUND(((+AG43-AC43)/AC43),4)</f>
        <v>0</v>
      </c>
      <c r="AI43" s="1168"/>
      <c r="AJ43" s="1168"/>
      <c r="AK43" s="1151">
        <f>+'155 IT'!Q11</f>
        <v>2100</v>
      </c>
      <c r="AL43" s="1168">
        <f t="shared" ref="AL43:AL45" si="128">ROUND(((+AK43-AE43)/AE43),4)</f>
        <v>0</v>
      </c>
      <c r="AM43" s="1146">
        <f>+'155 IT'!R11</f>
        <v>1050</v>
      </c>
      <c r="AN43" s="1168">
        <f t="shared" ref="AN43:AN45" si="129">ROUND(((+AM43-AG43)/AG43),4)</f>
        <v>-0.5</v>
      </c>
      <c r="AO43" s="1168"/>
      <c r="AP43" s="1168"/>
      <c r="AQ43" s="1151">
        <f>+'155 IT'!S11</f>
        <v>2352</v>
      </c>
      <c r="AR43" s="1168">
        <f t="shared" ref="AR43:AR45" si="130">ROUND(((+AQ43-AK43)/AK43),4)</f>
        <v>0.12</v>
      </c>
      <c r="AS43" s="1168">
        <f t="shared" ref="AS43:AS44" si="131">ROUND((((+AQ43-U43)/U43)/5),4)</f>
        <v>2.4E-2</v>
      </c>
      <c r="AT43" s="1168">
        <f t="shared" ref="AT43:AT44" si="132">ROUND((((+AQ43-F43)/F43)/10),4)</f>
        <v>1.7600000000000001E-2</v>
      </c>
      <c r="AV43" s="1151">
        <f t="shared" ref="AV43" si="133">ROUND((+AQ43*(1+AT43)),0)</f>
        <v>2393</v>
      </c>
      <c r="AW43" s="1151">
        <f t="shared" ref="AW43" si="134">ROUND((+AV43*(1+AT43)),0)</f>
        <v>2435</v>
      </c>
      <c r="AX43" s="1151">
        <f t="shared" ref="AX43" si="135">ROUND((+AW43*(1+AT43)),0)</f>
        <v>2478</v>
      </c>
      <c r="AY43" s="1151">
        <f t="shared" ref="AY43" si="136">ROUND((+AX43*(1+AT43)),0)</f>
        <v>2522</v>
      </c>
      <c r="AZ43" s="1151">
        <f t="shared" ref="AZ43" si="137">ROUND((+AY43*(1+AT43)),0)</f>
        <v>2566</v>
      </c>
    </row>
    <row r="44" spans="1:54" x14ac:dyDescent="0.3">
      <c r="B44" s="947" t="s">
        <v>1869</v>
      </c>
      <c r="C44" s="1148">
        <f>+'155 IT'!C28</f>
        <v>19070.73</v>
      </c>
      <c r="D44" s="1148">
        <f>+'155 IT'!D28</f>
        <v>19720.39</v>
      </c>
      <c r="E44" s="1172">
        <f t="shared" si="121"/>
        <v>3.4099999999999998E-2</v>
      </c>
      <c r="F44" s="1152">
        <v>20706</v>
      </c>
      <c r="G44" s="1148">
        <f>+'155 IT'!E28</f>
        <v>20427.78</v>
      </c>
      <c r="H44" s="1172">
        <f t="shared" si="122"/>
        <v>3.5900000000000001E-2</v>
      </c>
      <c r="I44" s="1152">
        <v>24706</v>
      </c>
      <c r="J44" s="1148">
        <f>+'155 IT'!F28</f>
        <v>29491.690000000002</v>
      </c>
      <c r="K44" s="1172">
        <f>ROUND(((+J44-G44)/G44),4)</f>
        <v>0.44369999999999998</v>
      </c>
      <c r="L44" s="1152">
        <v>33055</v>
      </c>
      <c r="M44" s="1148">
        <f>+'155 IT'!G28</f>
        <v>33150.769999999997</v>
      </c>
      <c r="N44" s="1172">
        <f>ROUND(((+M44-J44)/J44),4)</f>
        <v>0.1241</v>
      </c>
      <c r="O44" s="1152">
        <v>51480</v>
      </c>
      <c r="P44" s="1148">
        <f>+'155 IT'!H28</f>
        <v>41542.080000000002</v>
      </c>
      <c r="Q44" s="1172">
        <f>ROUND(((+P44-M44)/M44),4)</f>
        <v>0.25309999999999999</v>
      </c>
      <c r="R44" s="1152">
        <v>45100</v>
      </c>
      <c r="S44" s="1148">
        <f>+'155 IT'!I28</f>
        <v>44323.6</v>
      </c>
      <c r="T44" s="1172">
        <f>ROUND(((+S44-P44)/P44),4)</f>
        <v>6.7000000000000004E-2</v>
      </c>
      <c r="U44" s="1152">
        <v>43900</v>
      </c>
      <c r="V44" s="1148">
        <f>+'155 IT'!J28</f>
        <v>53902.240000000005</v>
      </c>
      <c r="W44" s="1172">
        <f>ROUND(((+V44-S44)/S44),4)</f>
        <v>0.21609999999999999</v>
      </c>
      <c r="X44" s="1152">
        <f>+'155 IT'!K28</f>
        <v>72000</v>
      </c>
      <c r="Y44" s="1148">
        <f>+'155 IT'!L28</f>
        <v>68380.240000000005</v>
      </c>
      <c r="Z44" s="1172">
        <f t="shared" si="123"/>
        <v>0.26860000000000001</v>
      </c>
      <c r="AA44" s="1152">
        <f>+'155 IT'!M28</f>
        <v>95700</v>
      </c>
      <c r="AB44" s="1172">
        <f t="shared" si="124"/>
        <v>0.32919999999999999</v>
      </c>
      <c r="AC44" s="1148">
        <f>+'155 IT'!N28</f>
        <v>52606.350000000006</v>
      </c>
      <c r="AD44" s="1172">
        <f t="shared" si="125"/>
        <v>-0.23069999999999999</v>
      </c>
      <c r="AE44" s="1152">
        <f>+'155 IT'!O28</f>
        <v>76900</v>
      </c>
      <c r="AF44" s="1172">
        <f t="shared" si="126"/>
        <v>-0.19639999999999999</v>
      </c>
      <c r="AG44" s="1148">
        <f>+'155 IT'!P28</f>
        <v>71447.92</v>
      </c>
      <c r="AH44" s="1172">
        <f t="shared" si="127"/>
        <v>0.35820000000000002</v>
      </c>
      <c r="AI44" s="1172"/>
      <c r="AJ44" s="1172"/>
      <c r="AK44" s="1152">
        <f>+'155 IT'!Q28</f>
        <v>78400</v>
      </c>
      <c r="AL44" s="1172">
        <f t="shared" si="128"/>
        <v>1.95E-2</v>
      </c>
      <c r="AM44" s="1148">
        <f>+'155 IT'!R28</f>
        <v>22793.25</v>
      </c>
      <c r="AN44" s="1172">
        <f t="shared" si="129"/>
        <v>-0.68100000000000005</v>
      </c>
      <c r="AO44" s="1172"/>
      <c r="AP44" s="1172"/>
      <c r="AQ44" s="1152">
        <f>+'155 IT'!S28</f>
        <v>89900</v>
      </c>
      <c r="AR44" s="1172">
        <f t="shared" si="130"/>
        <v>0.1467</v>
      </c>
      <c r="AS44" s="1172">
        <f t="shared" si="131"/>
        <v>0.20960000000000001</v>
      </c>
      <c r="AT44" s="1172">
        <f t="shared" si="132"/>
        <v>0.3342</v>
      </c>
      <c r="AV44" s="1152">
        <f>ROUND((+AQ44*(1.05)),0)</f>
        <v>94395</v>
      </c>
      <c r="AW44" s="1152">
        <f>ROUND((+AV44*(1.05)),0)</f>
        <v>99115</v>
      </c>
      <c r="AX44" s="1152">
        <f>ROUND((+AW44*(1.05)),0)</f>
        <v>104071</v>
      </c>
      <c r="AY44" s="1152">
        <f>ROUND((+AX44*(1.05)),0)</f>
        <v>109275</v>
      </c>
      <c r="AZ44" s="1152">
        <f>ROUND((+AY44*(1.054)),0)</f>
        <v>115176</v>
      </c>
      <c r="BA44" s="1214">
        <v>0.05</v>
      </c>
      <c r="BB44" s="947" t="s">
        <v>2278</v>
      </c>
    </row>
    <row r="45" spans="1:54" x14ac:dyDescent="0.3">
      <c r="B45" s="947" t="s">
        <v>887</v>
      </c>
      <c r="C45" s="1146">
        <f>SUM(C42:C44)</f>
        <v>21070.73</v>
      </c>
      <c r="D45" s="1146">
        <f t="shared" ref="D45:AQ45" si="138">SUM(D42:D44)</f>
        <v>21720.39</v>
      </c>
      <c r="E45" s="1168">
        <f t="shared" si="121"/>
        <v>3.0800000000000001E-2</v>
      </c>
      <c r="F45" s="1151">
        <f t="shared" si="138"/>
        <v>22706</v>
      </c>
      <c r="G45" s="1146">
        <f t="shared" si="138"/>
        <v>22312.94</v>
      </c>
      <c r="H45" s="1168">
        <f t="shared" si="122"/>
        <v>2.7300000000000001E-2</v>
      </c>
      <c r="I45" s="1151">
        <f t="shared" si="138"/>
        <v>28206</v>
      </c>
      <c r="J45" s="1146">
        <f t="shared" si="138"/>
        <v>31491.690000000002</v>
      </c>
      <c r="K45" s="1168">
        <f>ROUND(((+J45-G45)/G45),4)</f>
        <v>0.41139999999999999</v>
      </c>
      <c r="L45" s="1151">
        <f t="shared" si="138"/>
        <v>35055</v>
      </c>
      <c r="M45" s="1146">
        <f t="shared" si="138"/>
        <v>33814.289999999994</v>
      </c>
      <c r="N45" s="1168">
        <f>ROUND(((+M45-J45)/J45),4)</f>
        <v>7.3800000000000004E-2</v>
      </c>
      <c r="O45" s="1151">
        <f t="shared" si="138"/>
        <v>53480</v>
      </c>
      <c r="P45" s="1146">
        <f t="shared" si="138"/>
        <v>43349.700000000004</v>
      </c>
      <c r="Q45" s="1168">
        <f>ROUND(((+P45-M45)/M45),4)</f>
        <v>0.28199999999999997</v>
      </c>
      <c r="R45" s="1151">
        <f t="shared" si="138"/>
        <v>45300</v>
      </c>
      <c r="S45" s="1146">
        <f t="shared" si="138"/>
        <v>46323.6</v>
      </c>
      <c r="T45" s="1168">
        <f>ROUND(((+S45-P45)/P45),4)</f>
        <v>6.8599999999999994E-2</v>
      </c>
      <c r="U45" s="1151">
        <f t="shared" si="138"/>
        <v>46000</v>
      </c>
      <c r="V45" s="1146">
        <f t="shared" si="138"/>
        <v>56002.240000000005</v>
      </c>
      <c r="W45" s="1168">
        <f>ROUND(((+V45-S45)/S45),4)</f>
        <v>0.2089</v>
      </c>
      <c r="X45" s="1151">
        <f t="shared" si="138"/>
        <v>74100</v>
      </c>
      <c r="Y45" s="1146">
        <f t="shared" si="138"/>
        <v>71280.13</v>
      </c>
      <c r="Z45" s="1168">
        <f t="shared" si="123"/>
        <v>0.27279999999999999</v>
      </c>
      <c r="AA45" s="1151">
        <f t="shared" si="138"/>
        <v>97800</v>
      </c>
      <c r="AB45" s="1168">
        <f t="shared" si="124"/>
        <v>0.31979999999999997</v>
      </c>
      <c r="AC45" s="1146">
        <f t="shared" si="138"/>
        <v>54706.350000000006</v>
      </c>
      <c r="AD45" s="1168">
        <f t="shared" si="125"/>
        <v>-0.23250000000000001</v>
      </c>
      <c r="AE45" s="1151">
        <f t="shared" si="138"/>
        <v>79000</v>
      </c>
      <c r="AF45" s="1168">
        <f t="shared" si="126"/>
        <v>-0.19220000000000001</v>
      </c>
      <c r="AG45" s="1146">
        <f t="shared" si="138"/>
        <v>73547.92</v>
      </c>
      <c r="AH45" s="1168">
        <f t="shared" si="127"/>
        <v>0.34439999999999998</v>
      </c>
      <c r="AI45" s="1168"/>
      <c r="AJ45" s="1168"/>
      <c r="AK45" s="1151">
        <f t="shared" si="138"/>
        <v>80500</v>
      </c>
      <c r="AL45" s="1168">
        <f t="shared" si="128"/>
        <v>1.9E-2</v>
      </c>
      <c r="AM45" s="1146">
        <f t="shared" si="138"/>
        <v>23843.25</v>
      </c>
      <c r="AN45" s="1168">
        <f t="shared" si="129"/>
        <v>-0.67579999999999996</v>
      </c>
      <c r="AO45" s="1168"/>
      <c r="AP45" s="1168"/>
      <c r="AQ45" s="1151">
        <f t="shared" si="138"/>
        <v>92252</v>
      </c>
      <c r="AR45" s="1168">
        <f t="shared" si="130"/>
        <v>0.14599999999999999</v>
      </c>
      <c r="AS45" s="1168">
        <f>ROUND((((+AQ45-U45)/U45)/5),4)</f>
        <v>0.2011</v>
      </c>
      <c r="AT45" s="1168">
        <f>ROUND((((+AQ45-F45)/F45)/10),4)</f>
        <v>0.30630000000000002</v>
      </c>
      <c r="AV45" s="1151">
        <f t="shared" ref="AV45:AZ45" si="139">SUM(AV42:AV44)</f>
        <v>96788</v>
      </c>
      <c r="AW45" s="1151">
        <f t="shared" si="139"/>
        <v>101550</v>
      </c>
      <c r="AX45" s="1151">
        <f t="shared" si="139"/>
        <v>106549</v>
      </c>
      <c r="AY45" s="1151">
        <f t="shared" si="139"/>
        <v>111797</v>
      </c>
      <c r="AZ45" s="1151">
        <f t="shared" si="139"/>
        <v>117742</v>
      </c>
    </row>
    <row r="46" spans="1:54" x14ac:dyDescent="0.3">
      <c r="AL46" s="1151"/>
      <c r="AQ46" s="1151"/>
      <c r="AR46" s="1151"/>
    </row>
    <row r="47" spans="1:54" x14ac:dyDescent="0.3">
      <c r="A47" s="954" t="s">
        <v>2214</v>
      </c>
      <c r="AL47" s="1151"/>
      <c r="AQ47" s="1151"/>
      <c r="AR47" s="1151"/>
    </row>
    <row r="48" spans="1:54" x14ac:dyDescent="0.3">
      <c r="B48" s="947" t="s">
        <v>2218</v>
      </c>
      <c r="E48" s="1168" t="e">
        <f t="shared" ref="E48:E50" si="140">ROUND(((+D48-C48)/C48),4)</f>
        <v>#DIV/0!</v>
      </c>
      <c r="AL48" s="1151"/>
      <c r="AQ48" s="1151"/>
      <c r="AR48" s="1151"/>
    </row>
    <row r="49" spans="1:53" x14ac:dyDescent="0.3">
      <c r="B49" s="947" t="s">
        <v>1869</v>
      </c>
      <c r="C49" s="1148">
        <f>+'159 Shared Costs'!C22</f>
        <v>41297.370000000003</v>
      </c>
      <c r="D49" s="1148">
        <f>+'159 Shared Costs'!D22</f>
        <v>40543.560000000005</v>
      </c>
      <c r="E49" s="1172">
        <f t="shared" si="140"/>
        <v>-1.83E-2</v>
      </c>
      <c r="F49" s="1152">
        <v>50800</v>
      </c>
      <c r="G49" s="1148">
        <f>+'159 Shared Costs'!E22</f>
        <v>43387.42</v>
      </c>
      <c r="H49" s="1172">
        <f t="shared" ref="H49:H50" si="141">ROUND(((+G49-D49)/D49),4)</f>
        <v>7.0099999999999996E-2</v>
      </c>
      <c r="I49" s="1152">
        <v>51450</v>
      </c>
      <c r="J49" s="1148">
        <f>+'159 Shared Costs'!F22</f>
        <v>43663.680000000008</v>
      </c>
      <c r="K49" s="1172">
        <f>ROUND(((+J49-G49)/G49),4)</f>
        <v>6.4000000000000003E-3</v>
      </c>
      <c r="L49" s="1152">
        <v>51109</v>
      </c>
      <c r="M49" s="1148">
        <f>+'159 Shared Costs'!G22</f>
        <v>43321.19</v>
      </c>
      <c r="N49" s="1172">
        <f>ROUND(((+M49-J49)/J49),4)</f>
        <v>-7.7999999999999996E-3</v>
      </c>
      <c r="O49" s="1152">
        <v>77009</v>
      </c>
      <c r="P49" s="1148">
        <f>+'159 Shared Costs'!H22</f>
        <v>72116.45</v>
      </c>
      <c r="Q49" s="1172">
        <f>ROUND(((+P49-M49)/M49),4)</f>
        <v>0.66469999999999996</v>
      </c>
      <c r="R49" s="1152">
        <v>81559</v>
      </c>
      <c r="S49" s="1148">
        <f>+'159 Shared Costs'!I22</f>
        <v>81055.099999999991</v>
      </c>
      <c r="T49" s="1172">
        <f>ROUND(((+S49-P49)/P49),4)</f>
        <v>0.1239</v>
      </c>
      <c r="U49" s="1152">
        <v>65659</v>
      </c>
      <c r="V49" s="1148">
        <f>+'159 Shared Costs'!J22</f>
        <v>59453.41</v>
      </c>
      <c r="W49" s="1172">
        <f>ROUND(((+V49-S49)/S49),4)</f>
        <v>-0.26650000000000001</v>
      </c>
      <c r="X49" s="1152">
        <f>+'159 Shared Costs'!K22</f>
        <v>74759</v>
      </c>
      <c r="Y49" s="1148">
        <f>+'159 Shared Costs'!L22</f>
        <v>62336.41</v>
      </c>
      <c r="Z49" s="1172">
        <f t="shared" ref="Z49:Z50" si="142">ROUND(((+Y49-V49)/V49),4)</f>
        <v>4.8500000000000001E-2</v>
      </c>
      <c r="AA49" s="1152">
        <f>+'159 Shared Costs'!M22</f>
        <v>77579</v>
      </c>
      <c r="AB49" s="1172">
        <f t="shared" ref="AB49:AB50" si="143">ROUND(((+AA49-X49)/X49),4)</f>
        <v>3.7699999999999997E-2</v>
      </c>
      <c r="AC49" s="1148">
        <f>+'159 Shared Costs'!N22</f>
        <v>66014.109999999986</v>
      </c>
      <c r="AD49" s="1172">
        <f t="shared" ref="AD49:AD50" si="144">ROUND(((+AC49-Y49)/Y49),4)</f>
        <v>5.8999999999999997E-2</v>
      </c>
      <c r="AE49" s="1152">
        <f>+'159 Shared Costs'!O22</f>
        <v>78079</v>
      </c>
      <c r="AF49" s="1172">
        <f t="shared" ref="AF49:AF50" si="145">ROUND(((+AE49-AA49)/AA49),4)</f>
        <v>6.4000000000000003E-3</v>
      </c>
      <c r="AG49" s="1148">
        <f>+'159 Shared Costs'!P22</f>
        <v>68882.909999999989</v>
      </c>
      <c r="AH49" s="1172">
        <f t="shared" ref="AH49:AH50" si="146">ROUND(((+AG49-AC49)/AC49),4)</f>
        <v>4.3499999999999997E-2</v>
      </c>
      <c r="AI49" s="1172"/>
      <c r="AJ49" s="1172"/>
      <c r="AK49" s="1152">
        <f>+'159 Shared Costs'!Q22</f>
        <v>85907</v>
      </c>
      <c r="AL49" s="1172">
        <f t="shared" ref="AL49:AL50" si="147">ROUND(((+AK49-AE49)/AE49),4)</f>
        <v>0.1003</v>
      </c>
      <c r="AM49" s="1148">
        <f>+'159 Shared Costs'!R22</f>
        <v>49500.79</v>
      </c>
      <c r="AN49" s="1172">
        <f t="shared" ref="AN49:AN50" si="148">ROUND(((+AM49-AG49)/AG49),4)</f>
        <v>-0.28139999999999998</v>
      </c>
      <c r="AO49" s="1172"/>
      <c r="AP49" s="1172"/>
      <c r="AQ49" s="1152">
        <f>+'159 Shared Costs'!S22</f>
        <v>93499</v>
      </c>
      <c r="AR49" s="1172">
        <f t="shared" ref="AR49:AR50" si="149">ROUND(((+AQ49-AK49)/AK49),4)</f>
        <v>8.8400000000000006E-2</v>
      </c>
      <c r="AS49" s="1172">
        <f>ROUND((((+AQ49-U49)/U49)/5),4)</f>
        <v>8.48E-2</v>
      </c>
      <c r="AT49" s="1172">
        <f>ROUND((((+AQ49-F49)/F49)/10),4)</f>
        <v>8.4099999999999994E-2</v>
      </c>
      <c r="AV49" s="1152">
        <f>ROUND((+AQ49*(1+AT49)),0)</f>
        <v>101362</v>
      </c>
      <c r="AW49" s="1152">
        <f>ROUND((+AV49*(1+AT49)),0)</f>
        <v>109887</v>
      </c>
      <c r="AX49" s="1152">
        <f>ROUND((+AW49*(1+AT49)),0)</f>
        <v>119128</v>
      </c>
      <c r="AY49" s="1152">
        <f>ROUND((+AX49*(1+AT49)),0)</f>
        <v>129147</v>
      </c>
      <c r="AZ49" s="1152">
        <f>ROUND((+AY49*(1+AT49)),0)</f>
        <v>140008</v>
      </c>
    </row>
    <row r="50" spans="1:53" x14ac:dyDescent="0.3">
      <c r="B50" s="947" t="s">
        <v>887</v>
      </c>
      <c r="C50" s="1146">
        <f>SUM(C47:C49)</f>
        <v>41297.370000000003</v>
      </c>
      <c r="D50" s="1146">
        <f t="shared" ref="D50:AQ50" si="150">SUM(D47:D49)</f>
        <v>40543.560000000005</v>
      </c>
      <c r="E50" s="1168">
        <f t="shared" si="140"/>
        <v>-1.83E-2</v>
      </c>
      <c r="F50" s="1151">
        <f t="shared" si="150"/>
        <v>50800</v>
      </c>
      <c r="G50" s="1146">
        <f t="shared" si="150"/>
        <v>43387.42</v>
      </c>
      <c r="H50" s="1168">
        <f t="shared" si="141"/>
        <v>7.0099999999999996E-2</v>
      </c>
      <c r="I50" s="1151">
        <f t="shared" si="150"/>
        <v>51450</v>
      </c>
      <c r="J50" s="1146">
        <f t="shared" si="150"/>
        <v>43663.680000000008</v>
      </c>
      <c r="K50" s="1168">
        <f>ROUND(((+J50-G50)/G50),4)</f>
        <v>6.4000000000000003E-3</v>
      </c>
      <c r="L50" s="1151">
        <f t="shared" si="150"/>
        <v>51109</v>
      </c>
      <c r="M50" s="1146">
        <f t="shared" si="150"/>
        <v>43321.19</v>
      </c>
      <c r="N50" s="1168">
        <f>ROUND(((+M50-J50)/J50),4)</f>
        <v>-7.7999999999999996E-3</v>
      </c>
      <c r="O50" s="1151">
        <f t="shared" si="150"/>
        <v>77009</v>
      </c>
      <c r="P50" s="1146">
        <f t="shared" si="150"/>
        <v>72116.45</v>
      </c>
      <c r="Q50" s="1168">
        <f>ROUND(((+P50-M50)/M50),4)</f>
        <v>0.66469999999999996</v>
      </c>
      <c r="R50" s="1151">
        <f t="shared" si="150"/>
        <v>81559</v>
      </c>
      <c r="S50" s="1146">
        <f t="shared" si="150"/>
        <v>81055.099999999991</v>
      </c>
      <c r="T50" s="1168">
        <f>ROUND(((+S50-P50)/P50),4)</f>
        <v>0.1239</v>
      </c>
      <c r="U50" s="1151">
        <f t="shared" si="150"/>
        <v>65659</v>
      </c>
      <c r="V50" s="1146">
        <f t="shared" si="150"/>
        <v>59453.41</v>
      </c>
      <c r="W50" s="1168">
        <f>ROUND(((+V50-S50)/S50),4)</f>
        <v>-0.26650000000000001</v>
      </c>
      <c r="X50" s="1151">
        <f t="shared" si="150"/>
        <v>74759</v>
      </c>
      <c r="Y50" s="1146">
        <f t="shared" si="150"/>
        <v>62336.41</v>
      </c>
      <c r="Z50" s="1168">
        <f t="shared" si="142"/>
        <v>4.8500000000000001E-2</v>
      </c>
      <c r="AA50" s="1151">
        <f t="shared" si="150"/>
        <v>77579</v>
      </c>
      <c r="AB50" s="1168">
        <f t="shared" si="143"/>
        <v>3.7699999999999997E-2</v>
      </c>
      <c r="AC50" s="1146">
        <f t="shared" si="150"/>
        <v>66014.109999999986</v>
      </c>
      <c r="AD50" s="1168">
        <f t="shared" si="144"/>
        <v>5.8999999999999997E-2</v>
      </c>
      <c r="AE50" s="1151">
        <f t="shared" si="150"/>
        <v>78079</v>
      </c>
      <c r="AF50" s="1168">
        <f t="shared" si="145"/>
        <v>6.4000000000000003E-3</v>
      </c>
      <c r="AG50" s="1146">
        <f t="shared" si="150"/>
        <v>68882.909999999989</v>
      </c>
      <c r="AH50" s="1168">
        <f t="shared" si="146"/>
        <v>4.3499999999999997E-2</v>
      </c>
      <c r="AI50" s="1168"/>
      <c r="AJ50" s="1168"/>
      <c r="AK50" s="1151">
        <f t="shared" si="150"/>
        <v>85907</v>
      </c>
      <c r="AL50" s="1168">
        <f t="shared" si="147"/>
        <v>0.1003</v>
      </c>
      <c r="AM50" s="1146">
        <f t="shared" si="150"/>
        <v>49500.79</v>
      </c>
      <c r="AN50" s="1168">
        <f t="shared" si="148"/>
        <v>-0.28139999999999998</v>
      </c>
      <c r="AO50" s="1168"/>
      <c r="AP50" s="1168"/>
      <c r="AQ50" s="1151">
        <f t="shared" si="150"/>
        <v>93499</v>
      </c>
      <c r="AR50" s="1168">
        <f t="shared" si="149"/>
        <v>8.8400000000000006E-2</v>
      </c>
      <c r="AS50" s="1168">
        <f>ROUND((((+AQ50-U50)/U50)/5),4)</f>
        <v>8.48E-2</v>
      </c>
      <c r="AT50" s="1168">
        <f>ROUND((((+AQ50-F50)/F50)/10),4)</f>
        <v>8.4099999999999994E-2</v>
      </c>
      <c r="AV50" s="1151">
        <f t="shared" ref="AV50:AZ50" si="151">SUM(AV47:AV49)</f>
        <v>101362</v>
      </c>
      <c r="AW50" s="1151">
        <f t="shared" si="151"/>
        <v>109887</v>
      </c>
      <c r="AX50" s="1151">
        <f t="shared" si="151"/>
        <v>119128</v>
      </c>
      <c r="AY50" s="1151">
        <f t="shared" si="151"/>
        <v>129147</v>
      </c>
      <c r="AZ50" s="1151">
        <f t="shared" si="151"/>
        <v>140008</v>
      </c>
    </row>
    <row r="51" spans="1:53" x14ac:dyDescent="0.3">
      <c r="AL51" s="1151"/>
      <c r="AQ51" s="1151"/>
      <c r="AR51" s="1151"/>
    </row>
    <row r="52" spans="1:53" x14ac:dyDescent="0.3">
      <c r="A52" s="954" t="s">
        <v>524</v>
      </c>
      <c r="AL52" s="1151"/>
      <c r="AQ52" s="1151"/>
      <c r="AR52" s="1151"/>
    </row>
    <row r="53" spans="1:53" x14ac:dyDescent="0.3">
      <c r="B53" s="947" t="s">
        <v>2218</v>
      </c>
      <c r="C53" s="1146">
        <f>+'161 Clerk'!C18</f>
        <v>117349.54</v>
      </c>
      <c r="D53" s="1146">
        <f>+'161 Clerk'!D18</f>
        <v>103065.39</v>
      </c>
      <c r="E53" s="1168">
        <f t="shared" ref="E53:E55" si="152">ROUND(((+D53-C53)/C53),4)</f>
        <v>-0.1217</v>
      </c>
      <c r="F53" s="1151">
        <v>116199</v>
      </c>
      <c r="G53" s="1146">
        <f>+'161 Clerk'!E18</f>
        <v>119713.85</v>
      </c>
      <c r="H53" s="1168">
        <f t="shared" ref="H53:H55" si="153">ROUND(((+G53-D53)/D53),4)</f>
        <v>0.1615</v>
      </c>
      <c r="I53" s="1151">
        <v>115720</v>
      </c>
      <c r="J53" s="1146">
        <f>+'161 Clerk'!F18</f>
        <v>120382.72</v>
      </c>
      <c r="K53" s="1168">
        <f>ROUND(((+J53-G53)/G53),4)</f>
        <v>5.5999999999999999E-3</v>
      </c>
      <c r="L53" s="1151">
        <v>131230</v>
      </c>
      <c r="M53" s="1146">
        <f>+'161 Clerk'!G18</f>
        <v>127670.9</v>
      </c>
      <c r="N53" s="1168">
        <f>ROUND(((+M53-J53)/J53),4)</f>
        <v>6.0499999999999998E-2</v>
      </c>
      <c r="O53" s="1151">
        <v>118963</v>
      </c>
      <c r="P53" s="1146">
        <f>+'161 Clerk'!H18</f>
        <v>119193.7</v>
      </c>
      <c r="Q53" s="1168">
        <f>ROUND(((+P53-M53)/M53),4)</f>
        <v>-6.6400000000000001E-2</v>
      </c>
      <c r="R53" s="1151">
        <v>143528</v>
      </c>
      <c r="S53" s="1146">
        <f>+'161 Clerk'!I18</f>
        <v>144345.98000000001</v>
      </c>
      <c r="T53" s="1168">
        <f>ROUND(((+S53-P53)/P53),4)</f>
        <v>0.21099999999999999</v>
      </c>
      <c r="U53" s="1151">
        <v>136729</v>
      </c>
      <c r="V53" s="1146">
        <f>+'161 Clerk'!J18</f>
        <v>131247.75</v>
      </c>
      <c r="W53" s="1168">
        <f>ROUND(((+V53-S53)/S53),4)</f>
        <v>-9.0700000000000003E-2</v>
      </c>
      <c r="X53" s="1151">
        <f>+'161 Clerk'!K18</f>
        <v>145266</v>
      </c>
      <c r="Y53" s="1146">
        <f>+'161 Clerk'!L18</f>
        <v>137722.84</v>
      </c>
      <c r="Z53" s="1168">
        <f t="shared" ref="Z53:Z55" si="154">ROUND(((+Y53-V53)/V53),4)</f>
        <v>4.9299999999999997E-2</v>
      </c>
      <c r="AA53" s="1151">
        <f>+'161 Clerk'!M18</f>
        <v>129843</v>
      </c>
      <c r="AB53" s="1168">
        <f t="shared" ref="AB53:AB55" si="155">ROUND(((+AA53-X53)/X53),4)</f>
        <v>-0.1062</v>
      </c>
      <c r="AC53" s="1146">
        <f>+'161 Clerk'!N18</f>
        <v>133765.91</v>
      </c>
      <c r="AD53" s="1168">
        <f t="shared" ref="AD53:AD55" si="156">ROUND(((+AC53-Y53)/Y53),4)</f>
        <v>-2.87E-2</v>
      </c>
      <c r="AE53" s="1151">
        <f>+'161 Clerk'!O18</f>
        <v>155819</v>
      </c>
      <c r="AF53" s="1168">
        <f t="shared" ref="AF53:AF55" si="157">ROUND(((+AE53-AA53)/AA53),4)</f>
        <v>0.2001</v>
      </c>
      <c r="AG53" s="1146">
        <f>+'161 Clerk'!P18</f>
        <v>153586.79999999999</v>
      </c>
      <c r="AH53" s="1168">
        <f t="shared" ref="AH53:AH55" si="158">ROUND(((+AG53-AC53)/AC53),4)</f>
        <v>0.1482</v>
      </c>
      <c r="AI53" s="1168"/>
      <c r="AJ53" s="1168"/>
      <c r="AK53" s="1151">
        <f>+'161 Clerk'!Q18</f>
        <v>191933</v>
      </c>
      <c r="AL53" s="1168">
        <f t="shared" ref="AL53:AL55" si="159">ROUND(((+AK53-AE53)/AE53),4)</f>
        <v>0.23180000000000001</v>
      </c>
      <c r="AM53" s="1146">
        <f>+'161 Clerk'!R18</f>
        <v>58252.42</v>
      </c>
      <c r="AN53" s="1168">
        <f t="shared" ref="AN53:AN55" si="160">ROUND(((+AM53-AG53)/AG53),4)</f>
        <v>-0.62070000000000003</v>
      </c>
      <c r="AO53" s="1168"/>
      <c r="AP53" s="1168"/>
      <c r="AQ53" s="1151">
        <f>+'161 Clerk'!S18</f>
        <v>185924</v>
      </c>
      <c r="AR53" s="1168">
        <f t="shared" ref="AR53:AR55" si="161">ROUND(((+AQ53-AK53)/AK53),4)</f>
        <v>-3.1300000000000001E-2</v>
      </c>
      <c r="AS53" s="1168">
        <f t="shared" ref="AS53:AS54" si="162">ROUND((((+AQ53-U53)/U53)/5),4)</f>
        <v>7.1999999999999995E-2</v>
      </c>
      <c r="AT53" s="1168">
        <f t="shared" ref="AT53:AT54" si="163">ROUND((((+AQ53-F53)/F53)/10),4)</f>
        <v>0.06</v>
      </c>
      <c r="AV53" s="1151">
        <f>ROUND((+AQ53*(1.026)),0)</f>
        <v>190758</v>
      </c>
      <c r="AW53" s="1151">
        <f>ROUND((+AV53*(1.026)),0)</f>
        <v>195718</v>
      </c>
      <c r="AX53" s="1151">
        <f>ROUND((+AW53*(1.026)),0)</f>
        <v>200807</v>
      </c>
      <c r="AY53" s="1151">
        <f>ROUND((+AX53*(1.026)),0)</f>
        <v>206028</v>
      </c>
      <c r="AZ53" s="1151">
        <f>ROUND((+AY53*(1.026)),0)</f>
        <v>211385</v>
      </c>
      <c r="BA53" s="1214">
        <v>2.5999999999999999E-2</v>
      </c>
    </row>
    <row r="54" spans="1:53" x14ac:dyDescent="0.3">
      <c r="B54" s="947" t="s">
        <v>1869</v>
      </c>
      <c r="C54" s="1148">
        <f>+'161 Clerk'!C39</f>
        <v>13154</v>
      </c>
      <c r="D54" s="1148">
        <f>+'161 Clerk'!D39</f>
        <v>10443.970000000001</v>
      </c>
      <c r="E54" s="1172">
        <f t="shared" si="152"/>
        <v>-0.20599999999999999</v>
      </c>
      <c r="F54" s="1152">
        <v>14900</v>
      </c>
      <c r="G54" s="1148">
        <f>+'161 Clerk'!E39</f>
        <v>14923.8</v>
      </c>
      <c r="H54" s="1172">
        <f t="shared" si="153"/>
        <v>0.4289</v>
      </c>
      <c r="I54" s="1152">
        <v>14600</v>
      </c>
      <c r="J54" s="1148">
        <f>+'161 Clerk'!F39</f>
        <v>14933.55</v>
      </c>
      <c r="K54" s="1172">
        <f>ROUND(((+J54-G54)/G54),4)</f>
        <v>6.9999999999999999E-4</v>
      </c>
      <c r="L54" s="1152">
        <v>14260</v>
      </c>
      <c r="M54" s="1148">
        <f>+'161 Clerk'!G39</f>
        <v>14574.859999999999</v>
      </c>
      <c r="N54" s="1172">
        <f>ROUND(((+M54-J54)/J54),4)</f>
        <v>-2.4E-2</v>
      </c>
      <c r="O54" s="1152"/>
      <c r="P54" s="1148">
        <f>+'161 Clerk'!H39</f>
        <v>15580.36</v>
      </c>
      <c r="Q54" s="1172">
        <f>ROUND(((+P54-M54)/M54),4)</f>
        <v>6.9000000000000006E-2</v>
      </c>
      <c r="R54" s="1152">
        <v>19182</v>
      </c>
      <c r="S54" s="1148">
        <f>+'161 Clerk'!I39</f>
        <v>20452.619999999995</v>
      </c>
      <c r="T54" s="1172">
        <f>ROUND(((+S54-P54)/P54),4)</f>
        <v>0.31269999999999998</v>
      </c>
      <c r="U54" s="1152">
        <v>18507</v>
      </c>
      <c r="V54" s="1148">
        <f>+'161 Clerk'!J39</f>
        <v>21728.729999999996</v>
      </c>
      <c r="W54" s="1172">
        <f>ROUND(((+V54-S54)/S54),4)</f>
        <v>6.2399999999999997E-2</v>
      </c>
      <c r="X54" s="1152">
        <f>+'161 Clerk'!K39</f>
        <v>21735</v>
      </c>
      <c r="Y54" s="1148">
        <f>+'161 Clerk'!L39</f>
        <v>25693.140000000003</v>
      </c>
      <c r="Z54" s="1172">
        <f t="shared" si="154"/>
        <v>0.1825</v>
      </c>
      <c r="AA54" s="1152">
        <f>+'161 Clerk'!M39</f>
        <v>25330</v>
      </c>
      <c r="AB54" s="1172">
        <f t="shared" si="155"/>
        <v>0.16539999999999999</v>
      </c>
      <c r="AC54" s="1148">
        <f>+'161 Clerk'!N39</f>
        <v>28403.770000000004</v>
      </c>
      <c r="AD54" s="1172">
        <f t="shared" si="156"/>
        <v>0.1055</v>
      </c>
      <c r="AE54" s="1152">
        <f>+'161 Clerk'!O39</f>
        <v>40025</v>
      </c>
      <c r="AF54" s="1172">
        <f t="shared" si="157"/>
        <v>0.58009999999999995</v>
      </c>
      <c r="AG54" s="1148">
        <f>+'161 Clerk'!P39</f>
        <v>40301.299999999996</v>
      </c>
      <c r="AH54" s="1172">
        <f t="shared" si="158"/>
        <v>0.41889999999999999</v>
      </c>
      <c r="AI54" s="1172"/>
      <c r="AJ54" s="1172"/>
      <c r="AK54" s="1152">
        <f>+'161 Clerk'!Q39</f>
        <v>51108</v>
      </c>
      <c r="AL54" s="1172">
        <f t="shared" si="159"/>
        <v>0.27689999999999998</v>
      </c>
      <c r="AM54" s="1148">
        <f>+'161 Clerk'!R39</f>
        <v>13796.02</v>
      </c>
      <c r="AN54" s="1172">
        <f t="shared" si="160"/>
        <v>-0.65769999999999995</v>
      </c>
      <c r="AO54" s="1172"/>
      <c r="AP54" s="1172"/>
      <c r="AQ54" s="1152">
        <f>+'161 Clerk'!S39</f>
        <v>51300</v>
      </c>
      <c r="AR54" s="1172">
        <f t="shared" si="161"/>
        <v>3.8E-3</v>
      </c>
      <c r="AS54" s="1172">
        <f t="shared" si="162"/>
        <v>0.35439999999999999</v>
      </c>
      <c r="AT54" s="1172">
        <f t="shared" si="163"/>
        <v>0.24429999999999999</v>
      </c>
      <c r="AV54" s="1152">
        <f>ROUND((+AQ54*(1.05)),0)</f>
        <v>53865</v>
      </c>
      <c r="AW54" s="1152">
        <f>ROUND((+AV54*(1.05)),0)</f>
        <v>56558</v>
      </c>
      <c r="AX54" s="1152">
        <f>ROUND((+AW54*(1.05)),0)</f>
        <v>59386</v>
      </c>
      <c r="AY54" s="1152">
        <f>ROUND((+AX54*(1.05)),0)</f>
        <v>62355</v>
      </c>
      <c r="AZ54" s="1152">
        <f>ROUND((+AY54*(1.054)),0)</f>
        <v>65722</v>
      </c>
      <c r="BA54" s="1214">
        <v>0.05</v>
      </c>
    </row>
    <row r="55" spans="1:53" x14ac:dyDescent="0.3">
      <c r="B55" s="947" t="s">
        <v>887</v>
      </c>
      <c r="C55" s="1146">
        <f>SUM(C52:C54)</f>
        <v>130503.54</v>
      </c>
      <c r="D55" s="1146">
        <f t="shared" ref="D55:AQ55" si="164">SUM(D52:D54)</f>
        <v>113509.36</v>
      </c>
      <c r="E55" s="1168">
        <f t="shared" si="152"/>
        <v>-0.13020000000000001</v>
      </c>
      <c r="F55" s="1151">
        <f t="shared" si="164"/>
        <v>131099</v>
      </c>
      <c r="G55" s="1146">
        <f t="shared" si="164"/>
        <v>134637.65</v>
      </c>
      <c r="H55" s="1168">
        <f t="shared" si="153"/>
        <v>0.18609999999999999</v>
      </c>
      <c r="I55" s="1151">
        <f t="shared" si="164"/>
        <v>130320</v>
      </c>
      <c r="J55" s="1146">
        <f t="shared" si="164"/>
        <v>135316.26999999999</v>
      </c>
      <c r="K55" s="1168">
        <f>ROUND(((+J55-G55)/G55),4)</f>
        <v>5.0000000000000001E-3</v>
      </c>
      <c r="L55" s="1151">
        <f t="shared" si="164"/>
        <v>145490</v>
      </c>
      <c r="M55" s="1146">
        <f t="shared" si="164"/>
        <v>142245.75999999998</v>
      </c>
      <c r="N55" s="1168">
        <f>ROUND(((+M55-J55)/J55),4)</f>
        <v>5.1200000000000002E-2</v>
      </c>
      <c r="O55" s="1151">
        <f t="shared" si="164"/>
        <v>118963</v>
      </c>
      <c r="P55" s="1146">
        <f t="shared" si="164"/>
        <v>134774.06</v>
      </c>
      <c r="Q55" s="1168">
        <f>ROUND(((+P55-M55)/M55),4)</f>
        <v>-5.2499999999999998E-2</v>
      </c>
      <c r="R55" s="1151">
        <f t="shared" si="164"/>
        <v>162710</v>
      </c>
      <c r="S55" s="1146">
        <f t="shared" si="164"/>
        <v>164798.6</v>
      </c>
      <c r="T55" s="1168">
        <f>ROUND(((+S55-P55)/P55),4)</f>
        <v>0.2228</v>
      </c>
      <c r="U55" s="1151">
        <f t="shared" si="164"/>
        <v>155236</v>
      </c>
      <c r="V55" s="1146">
        <f t="shared" si="164"/>
        <v>152976.47999999998</v>
      </c>
      <c r="W55" s="1168">
        <f>ROUND(((+V55-S55)/S55),4)</f>
        <v>-7.17E-2</v>
      </c>
      <c r="X55" s="1151">
        <f t="shared" si="164"/>
        <v>167001</v>
      </c>
      <c r="Y55" s="1146">
        <f t="shared" si="164"/>
        <v>163415.98000000001</v>
      </c>
      <c r="Z55" s="1168">
        <f t="shared" si="154"/>
        <v>6.8199999999999997E-2</v>
      </c>
      <c r="AA55" s="1151">
        <f t="shared" si="164"/>
        <v>155173</v>
      </c>
      <c r="AB55" s="1168">
        <f t="shared" si="155"/>
        <v>-7.0800000000000002E-2</v>
      </c>
      <c r="AC55" s="1146">
        <f t="shared" si="164"/>
        <v>162169.68</v>
      </c>
      <c r="AD55" s="1168">
        <f t="shared" si="156"/>
        <v>-7.6E-3</v>
      </c>
      <c r="AE55" s="1151">
        <f t="shared" si="164"/>
        <v>195844</v>
      </c>
      <c r="AF55" s="1168">
        <f t="shared" si="157"/>
        <v>0.2621</v>
      </c>
      <c r="AG55" s="1146">
        <f t="shared" si="164"/>
        <v>193888.09999999998</v>
      </c>
      <c r="AH55" s="1168">
        <f t="shared" si="158"/>
        <v>0.1956</v>
      </c>
      <c r="AI55" s="1168"/>
      <c r="AJ55" s="1168"/>
      <c r="AK55" s="1151">
        <f t="shared" si="164"/>
        <v>243041</v>
      </c>
      <c r="AL55" s="1168">
        <f t="shared" si="159"/>
        <v>0.24099999999999999</v>
      </c>
      <c r="AM55" s="1146">
        <f t="shared" si="164"/>
        <v>72048.44</v>
      </c>
      <c r="AN55" s="1168">
        <f t="shared" si="160"/>
        <v>-0.62839999999999996</v>
      </c>
      <c r="AO55" s="1168"/>
      <c r="AP55" s="1168"/>
      <c r="AQ55" s="1151">
        <f t="shared" si="164"/>
        <v>237224</v>
      </c>
      <c r="AR55" s="1168">
        <f t="shared" si="161"/>
        <v>-2.3900000000000001E-2</v>
      </c>
      <c r="AS55" s="1168">
        <f>ROUND((((+AQ55-U55)/U55)/5),4)</f>
        <v>0.1056</v>
      </c>
      <c r="AT55" s="1168">
        <f>ROUND((((+AQ55-F55)/F55)/10),4)</f>
        <v>8.1000000000000003E-2</v>
      </c>
      <c r="AV55" s="1151">
        <f t="shared" ref="AV55:AZ55" si="165">SUM(AV52:AV54)</f>
        <v>244623</v>
      </c>
      <c r="AW55" s="1151">
        <f t="shared" si="165"/>
        <v>252276</v>
      </c>
      <c r="AX55" s="1151">
        <f t="shared" si="165"/>
        <v>260193</v>
      </c>
      <c r="AY55" s="1151">
        <f t="shared" si="165"/>
        <v>268383</v>
      </c>
      <c r="AZ55" s="1151">
        <f t="shared" si="165"/>
        <v>277107</v>
      </c>
    </row>
    <row r="56" spans="1:53" x14ac:dyDescent="0.3">
      <c r="AL56" s="1151"/>
      <c r="AQ56" s="1151"/>
      <c r="AR56" s="1151"/>
    </row>
    <row r="57" spans="1:53" x14ac:dyDescent="0.3">
      <c r="A57" s="954" t="s">
        <v>525</v>
      </c>
      <c r="AL57" s="1151"/>
      <c r="AQ57" s="1151"/>
      <c r="AR57" s="1151"/>
    </row>
    <row r="58" spans="1:53" x14ac:dyDescent="0.3">
      <c r="B58" s="947" t="s">
        <v>2218</v>
      </c>
      <c r="C58" s="1146">
        <f>+'175 Planning'!C13</f>
        <v>59819.74</v>
      </c>
      <c r="D58" s="1146">
        <f>+'175 Planning'!D13</f>
        <v>69177.42</v>
      </c>
      <c r="E58" s="1168">
        <f t="shared" ref="E58:E60" si="166">ROUND(((+D58-C58)/C58),4)</f>
        <v>0.15640000000000001</v>
      </c>
      <c r="F58" s="1151">
        <v>71760</v>
      </c>
      <c r="G58" s="1146">
        <f>+'175 Planning'!E13</f>
        <v>71610.459999999992</v>
      </c>
      <c r="H58" s="1168">
        <f t="shared" ref="H58:H60" si="167">ROUND(((+G58-D58)/D58),4)</f>
        <v>3.5200000000000002E-2</v>
      </c>
      <c r="I58" s="1151">
        <v>74376</v>
      </c>
      <c r="J58" s="1146">
        <f>+'175 Planning'!F13</f>
        <v>74375.8</v>
      </c>
      <c r="K58" s="1168">
        <f>ROUND(((+J58-G58)/G58),4)</f>
        <v>3.8600000000000002E-2</v>
      </c>
      <c r="L58" s="1151">
        <v>77281</v>
      </c>
      <c r="M58" s="1146">
        <f>+'175 Planning'!G13</f>
        <v>76444.399999999994</v>
      </c>
      <c r="N58" s="1168">
        <f>ROUND(((+M58-J58)/J58),4)</f>
        <v>2.7799999999999998E-2</v>
      </c>
      <c r="O58" s="1151">
        <v>80383</v>
      </c>
      <c r="P58" s="1146">
        <f>+'175 Planning'!H13</f>
        <v>80304.490000000005</v>
      </c>
      <c r="Q58" s="1168">
        <f>ROUND(((+P58-M58)/M58),4)</f>
        <v>5.0500000000000003E-2</v>
      </c>
      <c r="R58" s="1151">
        <v>109209</v>
      </c>
      <c r="S58" s="1146">
        <f>+'175 Planning'!I13</f>
        <v>108699.20999999999</v>
      </c>
      <c r="T58" s="1168">
        <f>ROUND(((+S58-P58)/P58),4)</f>
        <v>0.35360000000000003</v>
      </c>
      <c r="U58" s="1151">
        <v>112034</v>
      </c>
      <c r="V58" s="1146">
        <f>+'175 Planning'!J13</f>
        <v>107910.89</v>
      </c>
      <c r="W58" s="1168">
        <f>ROUND(((+V58-S58)/S58),4)</f>
        <v>-7.3000000000000001E-3</v>
      </c>
      <c r="X58" s="1151">
        <f>+'175 Planning'!K13</f>
        <v>113537</v>
      </c>
      <c r="Y58" s="1146">
        <f>+'175 Planning'!L13</f>
        <v>111263.67999999999</v>
      </c>
      <c r="Z58" s="1168">
        <f t="shared" ref="Z58:Z60" si="168">ROUND(((+Y58-V58)/V58),4)</f>
        <v>3.1099999999999999E-2</v>
      </c>
      <c r="AA58" s="1151">
        <f>+'175 Planning'!M13</f>
        <v>115471</v>
      </c>
      <c r="AB58" s="1168">
        <f t="shared" ref="AB58:AB60" si="169">ROUND(((+AA58-X58)/X58),4)</f>
        <v>1.7000000000000001E-2</v>
      </c>
      <c r="AC58" s="1146">
        <f>+'175 Planning'!N13</f>
        <v>115661.34</v>
      </c>
      <c r="AD58" s="1168">
        <f t="shared" ref="AD58:AD60" si="170">ROUND(((+AC58-Y58)/Y58),4)</f>
        <v>3.95E-2</v>
      </c>
      <c r="AE58" s="1151">
        <f>+'175 Planning'!O13</f>
        <v>118107</v>
      </c>
      <c r="AF58" s="1168">
        <f t="shared" ref="AF58:AF60" si="171">ROUND(((+AE58-AA58)/AA58),4)</f>
        <v>2.2800000000000001E-2</v>
      </c>
      <c r="AG58" s="1146">
        <f>+'175 Planning'!P13</f>
        <v>100605.02</v>
      </c>
      <c r="AH58" s="1168">
        <f t="shared" ref="AH58:AH60" si="172">ROUND(((+AG58-AC58)/AC58),4)</f>
        <v>-0.13020000000000001</v>
      </c>
      <c r="AI58" s="1168"/>
      <c r="AJ58" s="1168"/>
      <c r="AK58" s="1151">
        <f>+'175 Planning'!Q13</f>
        <v>125579</v>
      </c>
      <c r="AL58" s="1168">
        <f t="shared" ref="AL58:AL60" si="173">ROUND(((+AK58-AE58)/AE58),4)</f>
        <v>6.3299999999999995E-2</v>
      </c>
      <c r="AM58" s="1146">
        <f>+'175 Planning'!R13</f>
        <v>60530.239999999998</v>
      </c>
      <c r="AN58" s="1168">
        <f t="shared" ref="AN58:AN60" si="174">ROUND(((+AM58-AG58)/AG58),4)</f>
        <v>-0.39829999999999999</v>
      </c>
      <c r="AO58" s="1168"/>
      <c r="AP58" s="1168"/>
      <c r="AQ58" s="1151">
        <f>+'175 Planning'!S13</f>
        <v>131888</v>
      </c>
      <c r="AR58" s="1168">
        <f t="shared" ref="AR58:AR60" si="175">ROUND(((+AQ58-AK58)/AK58),4)</f>
        <v>5.0200000000000002E-2</v>
      </c>
      <c r="AS58" s="1168">
        <f t="shared" ref="AS58:AS59" si="176">ROUND((((+AQ58-U58)/U58)/5),4)</f>
        <v>3.5400000000000001E-2</v>
      </c>
      <c r="AT58" s="1168">
        <f t="shared" ref="AT58:AT59" si="177">ROUND((((+AQ58-F58)/F58)/10),4)</f>
        <v>8.3799999999999999E-2</v>
      </c>
      <c r="AV58" s="1151">
        <f>ROUND((+AQ58*(1.067)),0)</f>
        <v>140724</v>
      </c>
      <c r="AW58" s="1151">
        <f>ROUND((+AV58*(1.067)),0)</f>
        <v>150153</v>
      </c>
      <c r="AX58" s="1151">
        <f>ROUND((+AW58*(1.067)),0)</f>
        <v>160213</v>
      </c>
      <c r="AY58" s="1151">
        <f>ROUND((+AX58*(1.067)),0)</f>
        <v>170947</v>
      </c>
      <c r="AZ58" s="1151">
        <f>ROUND((+AY58*(1.067)),0)</f>
        <v>182400</v>
      </c>
      <c r="BA58" s="1214">
        <v>6.7000000000000004E-2</v>
      </c>
    </row>
    <row r="59" spans="1:53" x14ac:dyDescent="0.3">
      <c r="B59" s="947" t="s">
        <v>1869</v>
      </c>
      <c r="C59" s="1148">
        <f>+'175 Planning'!C30</f>
        <v>4475.9399999999996</v>
      </c>
      <c r="D59" s="1148">
        <f>+'175 Planning'!D30</f>
        <v>4866.0600000000004</v>
      </c>
      <c r="E59" s="1172">
        <f t="shared" si="166"/>
        <v>8.72E-2</v>
      </c>
      <c r="F59" s="1152">
        <v>4850</v>
      </c>
      <c r="G59" s="1148">
        <f>+'175 Planning'!E30</f>
        <v>4999.54</v>
      </c>
      <c r="H59" s="1172">
        <f t="shared" si="167"/>
        <v>2.7400000000000001E-2</v>
      </c>
      <c r="I59" s="1152">
        <v>4850</v>
      </c>
      <c r="J59" s="1148">
        <f>+'175 Planning'!F30</f>
        <v>4314.12</v>
      </c>
      <c r="K59" s="1172">
        <f>ROUND(((+J59-G59)/G59),4)</f>
        <v>-0.1371</v>
      </c>
      <c r="L59" s="1152">
        <v>8850</v>
      </c>
      <c r="M59" s="1148">
        <f>+'175 Planning'!G30</f>
        <v>9169.8499999999985</v>
      </c>
      <c r="N59" s="1172">
        <f>ROUND(((+M59-J59)/J59),4)</f>
        <v>1.1254999999999999</v>
      </c>
      <c r="O59" s="1152">
        <v>8850</v>
      </c>
      <c r="P59" s="1148">
        <f>+'175 Planning'!H30</f>
        <v>8802.34</v>
      </c>
      <c r="Q59" s="1172">
        <f>ROUND(((+P59-M59)/M59),4)</f>
        <v>-4.0099999999999997E-2</v>
      </c>
      <c r="R59" s="1152">
        <v>4850</v>
      </c>
      <c r="S59" s="1148">
        <f>+'175 Planning'!I30</f>
        <v>4668.1499999999996</v>
      </c>
      <c r="T59" s="1172">
        <f>ROUND(((+S59-P59)/P59),4)</f>
        <v>-0.46970000000000001</v>
      </c>
      <c r="U59" s="1152">
        <v>12150</v>
      </c>
      <c r="V59" s="1148">
        <f>+'175 Planning'!J30</f>
        <v>15452.619999999999</v>
      </c>
      <c r="W59" s="1172">
        <f>ROUND(((+V59-S59)/S59),4)</f>
        <v>2.3102</v>
      </c>
      <c r="X59" s="1152">
        <f>+'175 Planning'!K30</f>
        <v>7650</v>
      </c>
      <c r="Y59" s="1148">
        <f>+'175 Planning'!L30</f>
        <v>7870.4800000000005</v>
      </c>
      <c r="Z59" s="1172">
        <f t="shared" si="168"/>
        <v>-0.49070000000000003</v>
      </c>
      <c r="AA59" s="1152">
        <f>+'175 Planning'!M30</f>
        <v>7650</v>
      </c>
      <c r="AB59" s="1172">
        <f t="shared" si="169"/>
        <v>0</v>
      </c>
      <c r="AC59" s="1148">
        <f>+'175 Planning'!N30</f>
        <v>6744.76</v>
      </c>
      <c r="AD59" s="1172">
        <f t="shared" si="170"/>
        <v>-0.14299999999999999</v>
      </c>
      <c r="AE59" s="1152">
        <f>+'175 Planning'!O30</f>
        <v>10900</v>
      </c>
      <c r="AF59" s="1172">
        <f t="shared" si="171"/>
        <v>0.42480000000000001</v>
      </c>
      <c r="AG59" s="1148">
        <f>+'175 Planning'!P30</f>
        <v>16774.97</v>
      </c>
      <c r="AH59" s="1172">
        <f t="shared" si="172"/>
        <v>1.4871000000000001</v>
      </c>
      <c r="AI59" s="1172"/>
      <c r="AJ59" s="1172"/>
      <c r="AK59" s="1152">
        <f>+'175 Planning'!Q30</f>
        <v>8850</v>
      </c>
      <c r="AL59" s="1172">
        <f t="shared" si="173"/>
        <v>-0.18809999999999999</v>
      </c>
      <c r="AM59" s="1148">
        <f>+'175 Planning'!R30</f>
        <v>1520.87</v>
      </c>
      <c r="AN59" s="1172">
        <f t="shared" si="174"/>
        <v>-0.9093</v>
      </c>
      <c r="AO59" s="1172"/>
      <c r="AP59" s="1172"/>
      <c r="AQ59" s="1152">
        <f>+'175 Planning'!S30</f>
        <v>8900</v>
      </c>
      <c r="AR59" s="1172">
        <f t="shared" si="175"/>
        <v>5.5999999999999999E-3</v>
      </c>
      <c r="AS59" s="1213">
        <f t="shared" si="176"/>
        <v>-5.3499999999999999E-2</v>
      </c>
      <c r="AT59" s="1213">
        <f t="shared" si="177"/>
        <v>8.3500000000000005E-2</v>
      </c>
      <c r="AV59" s="1152">
        <f t="shared" ref="AV59" si="178">ROUND((+AQ59*(1+AT59)),0)</f>
        <v>9643</v>
      </c>
      <c r="AW59" s="1152">
        <f t="shared" ref="AW59" si="179">ROUND((+AV59*(1+AT59)),0)</f>
        <v>10448</v>
      </c>
      <c r="AX59" s="1152">
        <f t="shared" ref="AX59" si="180">ROUND((+AW59*(1+AT59)),0)</f>
        <v>11320</v>
      </c>
      <c r="AY59" s="1152">
        <f t="shared" ref="AY59" si="181">ROUND((+AX59*(1+AT59)),0)</f>
        <v>12265</v>
      </c>
      <c r="AZ59" s="1152">
        <f t="shared" ref="AZ59" si="182">ROUND((+AY59*(1+AT59)),0)</f>
        <v>13289</v>
      </c>
    </row>
    <row r="60" spans="1:53" x14ac:dyDescent="0.3">
      <c r="B60" s="947" t="s">
        <v>887</v>
      </c>
      <c r="C60" s="1146">
        <f>SUM(C57:C59)</f>
        <v>64295.68</v>
      </c>
      <c r="D60" s="1146">
        <f t="shared" ref="D60:AQ60" si="183">SUM(D57:D59)</f>
        <v>74043.48</v>
      </c>
      <c r="E60" s="1168">
        <f t="shared" si="166"/>
        <v>0.15160000000000001</v>
      </c>
      <c r="F60" s="1151">
        <f t="shared" si="183"/>
        <v>76610</v>
      </c>
      <c r="G60" s="1146">
        <f t="shared" si="183"/>
        <v>76609.999999999985</v>
      </c>
      <c r="H60" s="1168">
        <f t="shared" si="167"/>
        <v>3.4700000000000002E-2</v>
      </c>
      <c r="I60" s="1151">
        <f t="shared" si="183"/>
        <v>79226</v>
      </c>
      <c r="J60" s="1146">
        <f t="shared" si="183"/>
        <v>78689.919999999998</v>
      </c>
      <c r="K60" s="1168">
        <f>ROUND(((+J60-G60)/G60),4)</f>
        <v>2.7099999999999999E-2</v>
      </c>
      <c r="L60" s="1151">
        <f t="shared" si="183"/>
        <v>86131</v>
      </c>
      <c r="M60" s="1146">
        <f t="shared" si="183"/>
        <v>85614.25</v>
      </c>
      <c r="N60" s="1168">
        <f>ROUND(((+M60-J60)/J60),4)</f>
        <v>8.7999999999999995E-2</v>
      </c>
      <c r="O60" s="1151">
        <f t="shared" si="183"/>
        <v>89233</v>
      </c>
      <c r="P60" s="1146">
        <f t="shared" si="183"/>
        <v>89106.83</v>
      </c>
      <c r="Q60" s="1168">
        <f>ROUND(((+P60-M60)/M60),4)</f>
        <v>4.0800000000000003E-2</v>
      </c>
      <c r="R60" s="1151">
        <f t="shared" si="183"/>
        <v>114059</v>
      </c>
      <c r="S60" s="1146">
        <f t="shared" si="183"/>
        <v>113367.35999999999</v>
      </c>
      <c r="T60" s="1168">
        <f>ROUND(((+S60-P60)/P60),4)</f>
        <v>0.27229999999999999</v>
      </c>
      <c r="U60" s="1151">
        <f t="shared" si="183"/>
        <v>124184</v>
      </c>
      <c r="V60" s="1146">
        <f t="shared" si="183"/>
        <v>123363.51</v>
      </c>
      <c r="W60" s="1168">
        <f>ROUND(((+V60-S60)/S60),4)</f>
        <v>8.8200000000000001E-2</v>
      </c>
      <c r="X60" s="1151">
        <f t="shared" si="183"/>
        <v>121187</v>
      </c>
      <c r="Y60" s="1146">
        <f t="shared" si="183"/>
        <v>119134.15999999999</v>
      </c>
      <c r="Z60" s="1168">
        <f t="shared" si="168"/>
        <v>-3.4299999999999997E-2</v>
      </c>
      <c r="AA60" s="1151">
        <f t="shared" si="183"/>
        <v>123121</v>
      </c>
      <c r="AB60" s="1168">
        <f t="shared" si="169"/>
        <v>1.6E-2</v>
      </c>
      <c r="AC60" s="1146">
        <f t="shared" si="183"/>
        <v>122406.09999999999</v>
      </c>
      <c r="AD60" s="1168">
        <f t="shared" si="170"/>
        <v>2.75E-2</v>
      </c>
      <c r="AE60" s="1151">
        <f t="shared" si="183"/>
        <v>129007</v>
      </c>
      <c r="AF60" s="1168">
        <f t="shared" si="171"/>
        <v>4.7800000000000002E-2</v>
      </c>
      <c r="AG60" s="1146">
        <f t="shared" si="183"/>
        <v>117379.99</v>
      </c>
      <c r="AH60" s="1168">
        <f t="shared" si="172"/>
        <v>-4.1099999999999998E-2</v>
      </c>
      <c r="AI60" s="1168"/>
      <c r="AJ60" s="1168"/>
      <c r="AK60" s="1151">
        <f t="shared" si="183"/>
        <v>134429</v>
      </c>
      <c r="AL60" s="1168">
        <f t="shared" si="173"/>
        <v>4.2000000000000003E-2</v>
      </c>
      <c r="AM60" s="1146">
        <f t="shared" si="183"/>
        <v>62051.11</v>
      </c>
      <c r="AN60" s="1168">
        <f t="shared" si="174"/>
        <v>-0.47139999999999999</v>
      </c>
      <c r="AO60" s="1168"/>
      <c r="AP60" s="1168"/>
      <c r="AQ60" s="1151">
        <f t="shared" si="183"/>
        <v>140788</v>
      </c>
      <c r="AR60" s="1168">
        <f t="shared" si="175"/>
        <v>4.7300000000000002E-2</v>
      </c>
      <c r="AS60" s="1168">
        <f>ROUND((((+AQ60-U60)/U60)/5),4)</f>
        <v>2.6700000000000002E-2</v>
      </c>
      <c r="AT60" s="1168">
        <f>ROUND((((+AQ60-F60)/F60)/10),4)</f>
        <v>8.3799999999999999E-2</v>
      </c>
      <c r="AV60" s="1151">
        <f t="shared" ref="AV60:AZ60" si="184">SUM(AV57:AV59)</f>
        <v>150367</v>
      </c>
      <c r="AW60" s="1151">
        <f t="shared" si="184"/>
        <v>160601</v>
      </c>
      <c r="AX60" s="1151">
        <f t="shared" si="184"/>
        <v>171533</v>
      </c>
      <c r="AY60" s="1151">
        <f t="shared" si="184"/>
        <v>183212</v>
      </c>
      <c r="AZ60" s="1151">
        <f t="shared" si="184"/>
        <v>195689</v>
      </c>
    </row>
    <row r="61" spans="1:53" x14ac:dyDescent="0.3">
      <c r="AL61" s="1151"/>
      <c r="AQ61" s="1151"/>
      <c r="AR61" s="1151"/>
    </row>
    <row r="62" spans="1:53" x14ac:dyDescent="0.3">
      <c r="A62" s="954" t="s">
        <v>526</v>
      </c>
      <c r="AL62" s="1151"/>
      <c r="AQ62" s="1151"/>
      <c r="AR62" s="1151"/>
    </row>
    <row r="63" spans="1:53" x14ac:dyDescent="0.3">
      <c r="B63" s="947" t="s">
        <v>1869</v>
      </c>
      <c r="C63" s="1148">
        <f>+'176 ZBA'!C15</f>
        <v>3437.02</v>
      </c>
      <c r="D63" s="1148">
        <f>+'176 ZBA'!D15</f>
        <v>1079.7</v>
      </c>
      <c r="E63" s="1172">
        <f t="shared" ref="E63:E64" si="185">ROUND(((+D63-C63)/C63),4)</f>
        <v>-0.68589999999999995</v>
      </c>
      <c r="F63" s="1152">
        <v>2710</v>
      </c>
      <c r="G63" s="1148">
        <f>+'176 ZBA'!E15</f>
        <v>1238.56</v>
      </c>
      <c r="H63" s="1172">
        <f t="shared" ref="H63:H64" si="186">ROUND(((+G63-D63)/D63),4)</f>
        <v>0.14710000000000001</v>
      </c>
      <c r="I63" s="1152">
        <v>2710</v>
      </c>
      <c r="J63" s="1148">
        <f>+'176 ZBA'!F15</f>
        <v>2203.6799999999998</v>
      </c>
      <c r="K63" s="1172">
        <f>ROUND(((+J63-G63)/G63),4)</f>
        <v>0.7792</v>
      </c>
      <c r="L63" s="1152">
        <v>1650</v>
      </c>
      <c r="M63" s="1148">
        <f>+'176 ZBA'!G15</f>
        <v>2086.86</v>
      </c>
      <c r="N63" s="1172">
        <f>ROUND(((+M63-J63)/J63),4)</f>
        <v>-5.2999999999999999E-2</v>
      </c>
      <c r="O63" s="1152">
        <v>2300</v>
      </c>
      <c r="P63" s="1148">
        <f>+'176 ZBA'!H15</f>
        <v>3065.5</v>
      </c>
      <c r="Q63" s="1172">
        <f>ROUND(((+P63-M63)/M63),4)</f>
        <v>0.46899999999999997</v>
      </c>
      <c r="R63" s="1152">
        <v>2400</v>
      </c>
      <c r="S63" s="1148">
        <f>+'176 ZBA'!I15</f>
        <v>611.48</v>
      </c>
      <c r="T63" s="1172">
        <f>ROUND(((+S63-P63)/P63),4)</f>
        <v>-0.80049999999999999</v>
      </c>
      <c r="U63" s="1152">
        <v>1200</v>
      </c>
      <c r="V63" s="1148">
        <f>+'176 ZBA'!J15</f>
        <v>789.57</v>
      </c>
      <c r="W63" s="1172">
        <f>ROUND(((+V63-S63)/S63),4)</f>
        <v>0.29120000000000001</v>
      </c>
      <c r="X63" s="1152">
        <f>+'176 ZBA'!K15</f>
        <v>1200</v>
      </c>
      <c r="Y63" s="1148">
        <f>+'176 ZBA'!L15</f>
        <v>214.56</v>
      </c>
      <c r="Z63" s="1172">
        <f t="shared" ref="Z63:Z64" si="187">ROUND(((+Y63-V63)/V63),4)</f>
        <v>-0.72829999999999995</v>
      </c>
      <c r="AA63" s="1152">
        <f>+'176 ZBA'!M15</f>
        <v>700</v>
      </c>
      <c r="AB63" s="1172">
        <f t="shared" ref="AB63:AB64" si="188">ROUND(((+AA63-X63)/X63),4)</f>
        <v>-0.41670000000000001</v>
      </c>
      <c r="AC63" s="1148">
        <f>+'176 ZBA'!N15</f>
        <v>309.42</v>
      </c>
      <c r="AD63" s="1172">
        <f t="shared" ref="AD63:AD64" si="189">ROUND(((+AC63-Y63)/Y63),4)</f>
        <v>0.44209999999999999</v>
      </c>
      <c r="AE63" s="1152">
        <f>+'176 ZBA'!O15</f>
        <v>700</v>
      </c>
      <c r="AF63" s="1172">
        <f t="shared" ref="AF63:AF64" si="190">ROUND(((+AE63-AA63)/AA63),4)</f>
        <v>0</v>
      </c>
      <c r="AG63" s="1148">
        <f>+'176 ZBA'!P15</f>
        <v>262.33999999999997</v>
      </c>
      <c r="AH63" s="1172">
        <f t="shared" ref="AH63:AH64" si="191">ROUND(((+AG63-AC63)/AC63),4)</f>
        <v>-0.1522</v>
      </c>
      <c r="AI63" s="1172"/>
      <c r="AJ63" s="1172"/>
      <c r="AK63" s="1152">
        <f>+'176 ZBA'!Q15</f>
        <v>700</v>
      </c>
      <c r="AL63" s="1172">
        <f t="shared" ref="AL63:AL64" si="192">ROUND(((+AK63-AE63)/AE63),4)</f>
        <v>0</v>
      </c>
      <c r="AM63" s="1148">
        <f>+'176 ZBA'!R15</f>
        <v>141.12</v>
      </c>
      <c r="AN63" s="1172">
        <f t="shared" ref="AN63:AN64" si="193">ROUND(((+AM63-AG63)/AG63),4)</f>
        <v>-0.46210000000000001</v>
      </c>
      <c r="AO63" s="1172"/>
      <c r="AP63" s="1172"/>
      <c r="AQ63" s="1152">
        <f>+'176 ZBA'!S15</f>
        <v>700</v>
      </c>
      <c r="AR63" s="1172">
        <f t="shared" ref="AR63:AR64" si="194">ROUND(((+AQ63-AK63)/AK63),4)</f>
        <v>0</v>
      </c>
      <c r="AS63" s="1213">
        <f>ROUND((((+AQ63-U63)/U63)/5),4)</f>
        <v>-8.3299999999999999E-2</v>
      </c>
      <c r="AT63" s="1213">
        <f>ROUND((((+AQ63-F63)/F63)/10),4)</f>
        <v>-7.4200000000000002E-2</v>
      </c>
      <c r="AV63" s="1152">
        <f>ROUND((+AQ63*(1.02)),0)</f>
        <v>714</v>
      </c>
      <c r="AW63" s="1152">
        <f>ROUND((+AV63*(1.02)),0)</f>
        <v>728</v>
      </c>
      <c r="AX63" s="1152">
        <f>ROUND((+AW63*(1.02)),0)</f>
        <v>743</v>
      </c>
      <c r="AY63" s="1152">
        <f>ROUND((+AX63*(1.02)),0)</f>
        <v>758</v>
      </c>
      <c r="AZ63" s="1152">
        <f>ROUND((+AY63*(1.02)),0)</f>
        <v>773</v>
      </c>
      <c r="BA63" s="1214">
        <v>0.02</v>
      </c>
    </row>
    <row r="64" spans="1:53" x14ac:dyDescent="0.3">
      <c r="B64" s="947" t="s">
        <v>887</v>
      </c>
      <c r="C64" s="1146">
        <f>SUM(C62:C63)</f>
        <v>3437.02</v>
      </c>
      <c r="D64" s="1146">
        <f t="shared" ref="D64" si="195">SUM(D61:D63)</f>
        <v>1079.7</v>
      </c>
      <c r="E64" s="1168">
        <f t="shared" si="185"/>
        <v>-0.68589999999999995</v>
      </c>
      <c r="F64" s="1151">
        <f t="shared" ref="F64" si="196">SUM(F61:F63)</f>
        <v>2710</v>
      </c>
      <c r="G64" s="1146">
        <f t="shared" ref="G64:AQ64" si="197">SUM(G62:G63)</f>
        <v>1238.56</v>
      </c>
      <c r="H64" s="1168">
        <f t="shared" si="186"/>
        <v>0.14710000000000001</v>
      </c>
      <c r="I64" s="1151">
        <f t="shared" ref="I64" si="198">SUM(I61:I63)</f>
        <v>2710</v>
      </c>
      <c r="J64" s="1146">
        <f t="shared" si="197"/>
        <v>2203.6799999999998</v>
      </c>
      <c r="K64" s="1168">
        <f>ROUND(((+J64-G64)/G64),4)</f>
        <v>0.7792</v>
      </c>
      <c r="L64" s="1151">
        <f t="shared" ref="L64" si="199">SUM(L61:L63)</f>
        <v>1650</v>
      </c>
      <c r="M64" s="1146">
        <f t="shared" si="197"/>
        <v>2086.86</v>
      </c>
      <c r="N64" s="1168">
        <f>ROUND(((+M64-J64)/J64),4)</f>
        <v>-5.2999999999999999E-2</v>
      </c>
      <c r="O64" s="1151">
        <f t="shared" ref="O64" si="200">SUM(O61:O63)</f>
        <v>2300</v>
      </c>
      <c r="P64" s="1146">
        <f t="shared" si="197"/>
        <v>3065.5</v>
      </c>
      <c r="Q64" s="1168">
        <f>ROUND(((+P64-M64)/M64),4)</f>
        <v>0.46899999999999997</v>
      </c>
      <c r="R64" s="1151">
        <f t="shared" ref="R64" si="201">SUM(R61:R63)</f>
        <v>2400</v>
      </c>
      <c r="S64" s="1146">
        <f t="shared" si="197"/>
        <v>611.48</v>
      </c>
      <c r="T64" s="1168">
        <f>ROUND(((+S64-P64)/P64),4)</f>
        <v>-0.80049999999999999</v>
      </c>
      <c r="U64" s="1151">
        <f t="shared" ref="U64" si="202">SUM(U61:U63)</f>
        <v>1200</v>
      </c>
      <c r="V64" s="1146">
        <f t="shared" si="197"/>
        <v>789.57</v>
      </c>
      <c r="W64" s="1168">
        <f>ROUND(((+V64-S64)/S64),4)</f>
        <v>0.29120000000000001</v>
      </c>
      <c r="X64" s="1151">
        <f t="shared" si="197"/>
        <v>1200</v>
      </c>
      <c r="Y64" s="1146">
        <f t="shared" si="197"/>
        <v>214.56</v>
      </c>
      <c r="Z64" s="1168">
        <f t="shared" si="187"/>
        <v>-0.72829999999999995</v>
      </c>
      <c r="AA64" s="1151">
        <f t="shared" si="197"/>
        <v>700</v>
      </c>
      <c r="AB64" s="1168">
        <f t="shared" si="188"/>
        <v>-0.41670000000000001</v>
      </c>
      <c r="AC64" s="1146">
        <f t="shared" si="197"/>
        <v>309.42</v>
      </c>
      <c r="AD64" s="1168">
        <f t="shared" si="189"/>
        <v>0.44209999999999999</v>
      </c>
      <c r="AE64" s="1151">
        <f t="shared" si="197"/>
        <v>700</v>
      </c>
      <c r="AF64" s="1168">
        <f t="shared" si="190"/>
        <v>0</v>
      </c>
      <c r="AG64" s="1146">
        <f t="shared" si="197"/>
        <v>262.33999999999997</v>
      </c>
      <c r="AH64" s="1168">
        <f t="shared" si="191"/>
        <v>-0.1522</v>
      </c>
      <c r="AI64" s="1168"/>
      <c r="AJ64" s="1168"/>
      <c r="AK64" s="1151">
        <f t="shared" si="197"/>
        <v>700</v>
      </c>
      <c r="AL64" s="1168">
        <f t="shared" si="192"/>
        <v>0</v>
      </c>
      <c r="AM64" s="1146">
        <f t="shared" si="197"/>
        <v>141.12</v>
      </c>
      <c r="AN64" s="1168">
        <f t="shared" si="193"/>
        <v>-0.46210000000000001</v>
      </c>
      <c r="AO64" s="1168"/>
      <c r="AP64" s="1168"/>
      <c r="AQ64" s="1151">
        <f t="shared" si="197"/>
        <v>700</v>
      </c>
      <c r="AR64" s="1168">
        <f t="shared" si="194"/>
        <v>0</v>
      </c>
      <c r="AS64" s="1168">
        <f>ROUND((((+AQ64-U64)/U64)/5),4)</f>
        <v>-8.3299999999999999E-2</v>
      </c>
      <c r="AT64" s="1168">
        <f>ROUND((((+AQ64-F64)/F64)/10),4)</f>
        <v>-7.4200000000000002E-2</v>
      </c>
      <c r="AV64" s="1151">
        <f t="shared" ref="AV64:AZ64" si="203">SUM(AV62:AV63)</f>
        <v>714</v>
      </c>
      <c r="AW64" s="1151">
        <f t="shared" si="203"/>
        <v>728</v>
      </c>
      <c r="AX64" s="1151">
        <f t="shared" si="203"/>
        <v>743</v>
      </c>
      <c r="AY64" s="1151">
        <f t="shared" si="203"/>
        <v>758</v>
      </c>
      <c r="AZ64" s="1151">
        <f t="shared" si="203"/>
        <v>773</v>
      </c>
    </row>
    <row r="65" spans="1:53" x14ac:dyDescent="0.3">
      <c r="AL65" s="1151"/>
      <c r="AQ65" s="1151"/>
      <c r="AR65" s="1151"/>
    </row>
    <row r="66" spans="1:53" x14ac:dyDescent="0.3">
      <c r="A66" s="954" t="s">
        <v>100</v>
      </c>
      <c r="E66" s="1168"/>
      <c r="H66" s="1168"/>
      <c r="K66" s="1168"/>
      <c r="N66" s="1168"/>
      <c r="Q66" s="1168"/>
      <c r="T66" s="1168"/>
      <c r="W66" s="1168"/>
      <c r="Z66" s="1168"/>
      <c r="AB66" s="1168"/>
      <c r="AD66" s="1168"/>
      <c r="AH66" s="1168"/>
      <c r="AI66" s="1168"/>
      <c r="AJ66" s="1168"/>
      <c r="AL66" s="1151"/>
      <c r="AN66" s="1168"/>
      <c r="AO66" s="1168"/>
      <c r="AP66" s="1168"/>
      <c r="AQ66" s="1151"/>
      <c r="AR66" s="1151"/>
    </row>
    <row r="67" spans="1:53" x14ac:dyDescent="0.3">
      <c r="B67" s="947" t="s">
        <v>1869</v>
      </c>
      <c r="C67" s="1148">
        <f>+'480 Charging Stations'!C18</f>
        <v>0</v>
      </c>
      <c r="D67" s="1148">
        <f>+'480 Charging Stations'!D18</f>
        <v>0</v>
      </c>
      <c r="E67" s="1172" t="e">
        <f t="shared" ref="E67:E68" si="204">ROUND(((+D67-C67)/C67),4)</f>
        <v>#DIV/0!</v>
      </c>
      <c r="F67" s="1152">
        <v>1500</v>
      </c>
      <c r="G67" s="1148">
        <f>+'480 Charging Stations'!E18</f>
        <v>0</v>
      </c>
      <c r="H67" s="1172" t="e">
        <f t="shared" ref="H67:H68" si="205">ROUND(((+G67-D67)/D67),4)</f>
        <v>#DIV/0!</v>
      </c>
      <c r="I67" s="1152">
        <v>1500</v>
      </c>
      <c r="J67" s="1148">
        <f>+'480 Charging Stations'!F18</f>
        <v>0</v>
      </c>
      <c r="K67" s="1172" t="e">
        <f>ROUND(((+J67-G67)/G67),4)</f>
        <v>#DIV/0!</v>
      </c>
      <c r="L67" s="1152">
        <v>800</v>
      </c>
      <c r="M67" s="1148">
        <f>+'480 Charging Stations'!G18</f>
        <v>0</v>
      </c>
      <c r="N67" s="1172" t="e">
        <f>ROUND(((+M67-J67)/J67),4)</f>
        <v>#DIV/0!</v>
      </c>
      <c r="O67" s="1152">
        <v>1000</v>
      </c>
      <c r="P67" s="1148">
        <f>+'480 Charging Stations'!H18</f>
        <v>0</v>
      </c>
      <c r="Q67" s="1172" t="e">
        <f>ROUND(((+P67-M67)/M67),4)</f>
        <v>#DIV/0!</v>
      </c>
      <c r="R67" s="1152">
        <v>1000</v>
      </c>
      <c r="S67" s="1148">
        <f>+'480 Charging Stations'!I18</f>
        <v>0</v>
      </c>
      <c r="T67" s="1172" t="e">
        <f>ROUND(((+S67-P67)/P67),4)</f>
        <v>#DIV/0!</v>
      </c>
      <c r="U67" s="1152">
        <v>1000</v>
      </c>
      <c r="V67" s="1148">
        <f>+'480 Charging Stations'!J18</f>
        <v>0</v>
      </c>
      <c r="W67" s="1172" t="e">
        <f>ROUND(((+V67-S67)/S67),4)</f>
        <v>#DIV/0!</v>
      </c>
      <c r="X67" s="1152">
        <f>+'480 Charging Stations'!K18</f>
        <v>0</v>
      </c>
      <c r="Y67" s="1148">
        <f>+'480 Charging Stations'!L18</f>
        <v>0</v>
      </c>
      <c r="Z67" s="1172" t="e">
        <f t="shared" ref="Z67:Z68" si="206">ROUND(((+Y67-V67)/V67),4)</f>
        <v>#DIV/0!</v>
      </c>
      <c r="AA67" s="1152">
        <f>+'480 Charging Stations'!M18</f>
        <v>0</v>
      </c>
      <c r="AB67" s="1172" t="e">
        <f t="shared" ref="AB67:AB68" si="207">ROUND(((+AA67-X67)/X67),4)</f>
        <v>#DIV/0!</v>
      </c>
      <c r="AC67" s="1148">
        <f>+'480 Charging Stations'!N18</f>
        <v>0</v>
      </c>
      <c r="AD67" s="1172" t="e">
        <f t="shared" ref="AD67:AD68" si="208">ROUND(((+AC67-Y67)/Y67),4)</f>
        <v>#DIV/0!</v>
      </c>
      <c r="AE67" s="1152">
        <f>+'480 Charging Stations'!O18</f>
        <v>0</v>
      </c>
      <c r="AF67" s="1172" t="e">
        <f t="shared" ref="AF67:AF68" si="209">ROUND(((+AE67-AA67)/AA67),4)</f>
        <v>#DIV/0!</v>
      </c>
      <c r="AG67" s="1148">
        <f>+'480 Charging Stations'!P18</f>
        <v>0</v>
      </c>
      <c r="AH67" s="1172" t="e">
        <f t="shared" ref="AH67:AH68" si="210">ROUND(((+AG67-AC67)/AC67),4)</f>
        <v>#DIV/0!</v>
      </c>
      <c r="AI67" s="1172"/>
      <c r="AJ67" s="1172"/>
      <c r="AK67" s="1152">
        <f>+'480 Charging Stations'!Q18</f>
        <v>0</v>
      </c>
      <c r="AL67" s="1172" t="e">
        <f t="shared" ref="AL67:AL68" si="211">ROUND(((+AK67-AE67)/AE67),4)</f>
        <v>#DIV/0!</v>
      </c>
      <c r="AM67" s="1148">
        <f>+'480 Charging Stations'!R18</f>
        <v>0</v>
      </c>
      <c r="AN67" s="1172" t="e">
        <f t="shared" ref="AN67:AN68" si="212">ROUND(((+AM67-AG67)/AG67),4)</f>
        <v>#DIV/0!</v>
      </c>
      <c r="AO67" s="1172"/>
      <c r="AP67" s="1172"/>
      <c r="AQ67" s="1152">
        <f>+'480 Charging Stations'!S18</f>
        <v>0</v>
      </c>
      <c r="AR67" s="1172" t="e">
        <f t="shared" ref="AR67:AR68" si="213">ROUND(((+AQ67-AK67)/AK67),4)</f>
        <v>#DIV/0!</v>
      </c>
      <c r="AS67" s="1172">
        <f>ROUND((((+AQ67-U67)/U67)/5),4)</f>
        <v>-0.2</v>
      </c>
      <c r="AT67" s="1172">
        <f>ROUND((((+AQ67-F67)/F67)/10),4)</f>
        <v>-0.1</v>
      </c>
      <c r="AV67" s="1152">
        <f t="shared" ref="AV67" si="214">ROUND((+AQ67*(1+AT67)),0)</f>
        <v>0</v>
      </c>
      <c r="AW67" s="1152">
        <f t="shared" ref="AW67" si="215">ROUND((+AV67*(1+AT67)),0)</f>
        <v>0</v>
      </c>
      <c r="AX67" s="1152">
        <f t="shared" ref="AX67" si="216">ROUND((+AW67*(1+AT67)),0)</f>
        <v>0</v>
      </c>
      <c r="AY67" s="1152">
        <f t="shared" ref="AY67" si="217">ROUND((+AX67*(1+AT67)),0)</f>
        <v>0</v>
      </c>
      <c r="AZ67" s="1152">
        <f t="shared" ref="AZ67" si="218">ROUND((+AY67*(1+AT67)),0)</f>
        <v>0</v>
      </c>
    </row>
    <row r="68" spans="1:53" x14ac:dyDescent="0.3">
      <c r="B68" s="947" t="s">
        <v>887</v>
      </c>
      <c r="C68" s="1146">
        <f>SUM(C66:C67)</f>
        <v>0</v>
      </c>
      <c r="D68" s="1146">
        <f t="shared" ref="D68" si="219">SUM(D66:D67)</f>
        <v>0</v>
      </c>
      <c r="E68" s="1168" t="e">
        <f t="shared" si="204"/>
        <v>#DIV/0!</v>
      </c>
      <c r="F68" s="1151">
        <f t="shared" ref="F68:G68" si="220">SUM(F66:F67)</f>
        <v>1500</v>
      </c>
      <c r="G68" s="1146">
        <f t="shared" si="220"/>
        <v>0</v>
      </c>
      <c r="H68" s="1168" t="e">
        <f t="shared" si="205"/>
        <v>#DIV/0!</v>
      </c>
      <c r="I68" s="1151">
        <f t="shared" ref="I68:J68" si="221">SUM(I66:I67)</f>
        <v>1500</v>
      </c>
      <c r="J68" s="1146">
        <f t="shared" si="221"/>
        <v>0</v>
      </c>
      <c r="K68" s="1168" t="e">
        <f>ROUND(((+J68-G68)/G68),4)</f>
        <v>#DIV/0!</v>
      </c>
      <c r="L68" s="1151">
        <f t="shared" ref="L68:M68" si="222">SUM(L66:L67)</f>
        <v>800</v>
      </c>
      <c r="M68" s="1146">
        <f t="shared" si="222"/>
        <v>0</v>
      </c>
      <c r="N68" s="1168" t="e">
        <f>ROUND(((+M68-J68)/J68),4)</f>
        <v>#DIV/0!</v>
      </c>
      <c r="O68" s="1151">
        <f t="shared" ref="O68:P68" si="223">SUM(O66:O67)</f>
        <v>1000</v>
      </c>
      <c r="P68" s="1146">
        <f t="shared" si="223"/>
        <v>0</v>
      </c>
      <c r="Q68" s="1168" t="e">
        <f>ROUND(((+P68-M68)/M68),4)</f>
        <v>#DIV/0!</v>
      </c>
      <c r="R68" s="1151">
        <f t="shared" ref="R68:S68" si="224">SUM(R66:R67)</f>
        <v>1000</v>
      </c>
      <c r="S68" s="1146">
        <f t="shared" si="224"/>
        <v>0</v>
      </c>
      <c r="T68" s="1168" t="e">
        <f>ROUND(((+S68-P68)/P68),4)</f>
        <v>#DIV/0!</v>
      </c>
      <c r="U68" s="1151">
        <f t="shared" ref="U68:V68" si="225">SUM(U66:U67)</f>
        <v>1000</v>
      </c>
      <c r="V68" s="1146">
        <f t="shared" si="225"/>
        <v>0</v>
      </c>
      <c r="W68" s="1168" t="e">
        <f>ROUND(((+V68-S68)/S68),4)</f>
        <v>#DIV/0!</v>
      </c>
      <c r="X68" s="1151">
        <f t="shared" ref="X68:Y68" si="226">SUM(X66:X67)</f>
        <v>0</v>
      </c>
      <c r="Y68" s="1146">
        <f t="shared" si="226"/>
        <v>0</v>
      </c>
      <c r="Z68" s="1168" t="e">
        <f t="shared" si="206"/>
        <v>#DIV/0!</v>
      </c>
      <c r="AA68" s="1151">
        <f t="shared" ref="AA68" si="227">SUM(AA66:AA67)</f>
        <v>0</v>
      </c>
      <c r="AB68" s="1168" t="e">
        <f t="shared" si="207"/>
        <v>#DIV/0!</v>
      </c>
      <c r="AC68" s="1146">
        <f t="shared" ref="AC68" si="228">SUM(AC66:AC67)</f>
        <v>0</v>
      </c>
      <c r="AD68" s="1168" t="e">
        <f t="shared" si="208"/>
        <v>#DIV/0!</v>
      </c>
      <c r="AE68" s="1151">
        <f t="shared" ref="AE68" si="229">SUM(AE66:AE67)</f>
        <v>0</v>
      </c>
      <c r="AF68" s="1168" t="e">
        <f t="shared" si="209"/>
        <v>#DIV/0!</v>
      </c>
      <c r="AG68" s="1146">
        <f t="shared" ref="AG68" si="230">SUM(AG66:AG67)</f>
        <v>0</v>
      </c>
      <c r="AH68" s="1168" t="e">
        <f t="shared" si="210"/>
        <v>#DIV/0!</v>
      </c>
      <c r="AI68" s="1168"/>
      <c r="AJ68" s="1168"/>
      <c r="AK68" s="1151">
        <f t="shared" ref="AK68" si="231">SUM(AK66:AK67)</f>
        <v>0</v>
      </c>
      <c r="AL68" s="1168" t="e">
        <f t="shared" si="211"/>
        <v>#DIV/0!</v>
      </c>
      <c r="AM68" s="1146">
        <f t="shared" ref="AM68" si="232">SUM(AM66:AM67)</f>
        <v>0</v>
      </c>
      <c r="AN68" s="1168" t="e">
        <f t="shared" si="212"/>
        <v>#DIV/0!</v>
      </c>
      <c r="AO68" s="1168"/>
      <c r="AP68" s="1168"/>
      <c r="AQ68" s="1151">
        <f t="shared" ref="AQ68" si="233">SUM(AQ66:AQ67)</f>
        <v>0</v>
      </c>
      <c r="AR68" s="1168" t="e">
        <f t="shared" si="213"/>
        <v>#DIV/0!</v>
      </c>
      <c r="AS68" s="1168">
        <f>ROUND((((+AQ68-U68)/U68)/5),4)</f>
        <v>-0.2</v>
      </c>
      <c r="AT68" s="1168">
        <f>ROUND((((+AQ68-F68)/F68)/10),4)</f>
        <v>-0.1</v>
      </c>
      <c r="AV68" s="1151">
        <f t="shared" ref="AV68:AZ68" si="234">SUM(AV66:AV67)</f>
        <v>0</v>
      </c>
      <c r="AW68" s="1151">
        <f t="shared" si="234"/>
        <v>0</v>
      </c>
      <c r="AX68" s="1151">
        <f t="shared" si="234"/>
        <v>0</v>
      </c>
      <c r="AY68" s="1151">
        <f t="shared" si="234"/>
        <v>0</v>
      </c>
      <c r="AZ68" s="1151">
        <f t="shared" si="234"/>
        <v>0</v>
      </c>
    </row>
    <row r="69" spans="1:53" x14ac:dyDescent="0.3">
      <c r="E69" s="1168"/>
      <c r="H69" s="1168"/>
      <c r="K69" s="1168"/>
      <c r="N69" s="1168"/>
      <c r="Q69" s="1168"/>
      <c r="T69" s="1168"/>
      <c r="W69" s="1168"/>
      <c r="Z69" s="1168"/>
      <c r="AB69" s="1168"/>
      <c r="AD69" s="1168"/>
      <c r="AF69" s="1168"/>
      <c r="AH69" s="1168"/>
      <c r="AI69" s="1168"/>
      <c r="AJ69" s="1168"/>
      <c r="AL69" s="1168"/>
      <c r="AN69" s="1168"/>
      <c r="AO69" s="1168"/>
      <c r="AP69" s="1168"/>
      <c r="AQ69" s="1151"/>
      <c r="AR69" s="1168"/>
    </row>
    <row r="70" spans="1:53" x14ac:dyDescent="0.3">
      <c r="A70" s="954" t="s">
        <v>527</v>
      </c>
      <c r="AL70" s="1151"/>
      <c r="AQ70" s="1151"/>
      <c r="AR70" s="1151"/>
    </row>
    <row r="71" spans="1:53" x14ac:dyDescent="0.3">
      <c r="B71" s="947" t="s">
        <v>1869</v>
      </c>
      <c r="C71" s="1148">
        <f>+'190 Publ Bldg Utilities'!C39</f>
        <v>89938.37</v>
      </c>
      <c r="D71" s="1148">
        <f>+'190 Publ Bldg Utilities'!D39</f>
        <v>103744.03</v>
      </c>
      <c r="E71" s="1172">
        <f t="shared" ref="E71:E72" si="235">ROUND(((+D71-C71)/C71),4)</f>
        <v>0.1535</v>
      </c>
      <c r="F71" s="1152">
        <v>107010</v>
      </c>
      <c r="G71" s="1148">
        <f>+'190 Publ Bldg Utilities'!E39</f>
        <v>94949.29</v>
      </c>
      <c r="H71" s="1172">
        <f t="shared" ref="H71:H72" si="236">ROUND(((+G71-D71)/D71),4)</f>
        <v>-8.48E-2</v>
      </c>
      <c r="I71" s="1152">
        <v>111215</v>
      </c>
      <c r="J71" s="1148">
        <f>+'190 Publ Bldg Utilities'!F39</f>
        <v>93004.470000000016</v>
      </c>
      <c r="K71" s="1172">
        <f>ROUND(((+J71-G71)/G71),4)</f>
        <v>-2.0500000000000001E-2</v>
      </c>
      <c r="L71" s="1152">
        <v>111435</v>
      </c>
      <c r="M71" s="1148">
        <f>+'190 Publ Bldg Utilities'!G39</f>
        <v>86631.79</v>
      </c>
      <c r="N71" s="1172">
        <f>ROUND(((+M71-J71)/J71),4)</f>
        <v>-6.8500000000000005E-2</v>
      </c>
      <c r="O71" s="1152">
        <v>116195</v>
      </c>
      <c r="P71" s="1148">
        <f>+'190 Publ Bldg Utilities'!H39</f>
        <v>88374.909999999974</v>
      </c>
      <c r="Q71" s="1172">
        <f>ROUND(((+P71-M71)/M71),4)</f>
        <v>2.01E-2</v>
      </c>
      <c r="R71" s="1152">
        <v>116555</v>
      </c>
      <c r="S71" s="1148">
        <f>+'190 Publ Bldg Utilities'!I39</f>
        <v>92714.789999999964</v>
      </c>
      <c r="T71" s="1172">
        <f>ROUND(((+S71-P71)/P71),4)</f>
        <v>4.9099999999999998E-2</v>
      </c>
      <c r="U71" s="1152">
        <v>119570</v>
      </c>
      <c r="V71" s="1148">
        <f>+'190 Publ Bldg Utilities'!J39</f>
        <v>77501.360000000015</v>
      </c>
      <c r="W71" s="1172">
        <f>ROUND(((+V71-S71)/S71),4)</f>
        <v>-0.1641</v>
      </c>
      <c r="X71" s="1152">
        <f>+'190 Publ Bldg Utilities'!K39</f>
        <v>106320</v>
      </c>
      <c r="Y71" s="1148">
        <f>+'190 Publ Bldg Utilities'!L39</f>
        <v>85460.26</v>
      </c>
      <c r="Z71" s="1172">
        <f t="shared" ref="Z71:Z72" si="237">ROUND(((+Y71-V71)/V71),4)</f>
        <v>0.1027</v>
      </c>
      <c r="AA71" s="1152">
        <f>+'190 Publ Bldg Utilities'!M39</f>
        <v>109846</v>
      </c>
      <c r="AB71" s="1172">
        <f t="shared" ref="AB71:AB72" si="238">ROUND(((+AA71-X71)/X71),4)</f>
        <v>3.32E-2</v>
      </c>
      <c r="AC71" s="1148">
        <f>+'190 Publ Bldg Utilities'!N39</f>
        <v>89201.060000000012</v>
      </c>
      <c r="AD71" s="1172">
        <f t="shared" ref="AD71:AD72" si="239">ROUND(((+AC71-Y71)/Y71),4)</f>
        <v>4.3799999999999999E-2</v>
      </c>
      <c r="AE71" s="1152">
        <f>+'190 Publ Bldg Utilities'!O39</f>
        <v>130782</v>
      </c>
      <c r="AF71" s="1172">
        <f t="shared" ref="AF71:AF72" si="240">ROUND(((+AE71-AA71)/AA71),4)</f>
        <v>0.19059999999999999</v>
      </c>
      <c r="AG71" s="1148">
        <f>+'190 Publ Bldg Utilities'!P39</f>
        <v>108132.38</v>
      </c>
      <c r="AH71" s="1172">
        <f t="shared" ref="AH71:AH72" si="241">ROUND(((+AG71-AC71)/AC71),4)</f>
        <v>0.2122</v>
      </c>
      <c r="AI71" s="1172"/>
      <c r="AJ71" s="1172"/>
      <c r="AK71" s="1152">
        <f>+'190 Publ Bldg Utilities'!Q39</f>
        <v>155932</v>
      </c>
      <c r="AL71" s="1172">
        <f t="shared" ref="AL71:AL72" si="242">ROUND(((+AK71-AE71)/AE71),4)</f>
        <v>0.1923</v>
      </c>
      <c r="AM71" s="1148">
        <f>+'190 Publ Bldg Utilities'!R39</f>
        <v>48964.67</v>
      </c>
      <c r="AN71" s="1172">
        <f t="shared" ref="AN71:AN72" si="243">ROUND(((+AM71-AG71)/AG71),4)</f>
        <v>-0.54720000000000002</v>
      </c>
      <c r="AO71" s="1172"/>
      <c r="AP71" s="1172"/>
      <c r="AQ71" s="1152">
        <f>+'190 Publ Bldg Utilities'!S39</f>
        <v>140050</v>
      </c>
      <c r="AR71" s="1172">
        <f t="shared" ref="AR71:AR72" si="244">ROUND(((+AQ71-AK71)/AK71),4)</f>
        <v>-0.1019</v>
      </c>
      <c r="AS71" s="1172">
        <f>ROUND((((+AQ71-U71)/U71)/5),4)</f>
        <v>3.4299999999999997E-2</v>
      </c>
      <c r="AT71" s="1172">
        <f>ROUND((((+AQ71-F71)/F71)/10),4)</f>
        <v>3.09E-2</v>
      </c>
      <c r="AV71" s="1152">
        <f t="shared" ref="AV71" si="245">ROUND((+AQ71*(1+AT71)),0)</f>
        <v>144378</v>
      </c>
      <c r="AW71" s="1152">
        <f t="shared" ref="AW71" si="246">ROUND((+AV71*(1+AT71)),0)</f>
        <v>148839</v>
      </c>
      <c r="AX71" s="1152">
        <f t="shared" ref="AX71" si="247">ROUND((+AW71*(1+AT71)),0)</f>
        <v>153438</v>
      </c>
      <c r="AY71" s="1152">
        <f t="shared" ref="AY71" si="248">ROUND((+AX71*(1+AT71)),0)</f>
        <v>158179</v>
      </c>
      <c r="AZ71" s="1152">
        <f t="shared" ref="AZ71" si="249">ROUND((+AY71*(1+AT71)),0)</f>
        <v>163067</v>
      </c>
    </row>
    <row r="72" spans="1:53" x14ac:dyDescent="0.3">
      <c r="B72" s="947" t="s">
        <v>887</v>
      </c>
      <c r="C72" s="1146">
        <f>SUM(C70:C71)</f>
        <v>89938.37</v>
      </c>
      <c r="D72" s="1146">
        <f t="shared" ref="D72:AQ72" si="250">SUM(D70:D71)</f>
        <v>103744.03</v>
      </c>
      <c r="E72" s="1168">
        <f t="shared" si="235"/>
        <v>0.1535</v>
      </c>
      <c r="F72" s="1151">
        <f t="shared" si="250"/>
        <v>107010</v>
      </c>
      <c r="G72" s="1146">
        <f t="shared" si="250"/>
        <v>94949.29</v>
      </c>
      <c r="H72" s="1168">
        <f t="shared" si="236"/>
        <v>-8.48E-2</v>
      </c>
      <c r="I72" s="1151">
        <f t="shared" si="250"/>
        <v>111215</v>
      </c>
      <c r="J72" s="1146">
        <f t="shared" si="250"/>
        <v>93004.470000000016</v>
      </c>
      <c r="K72" s="1168">
        <f>ROUND(((+J72-G72)/G72),4)</f>
        <v>-2.0500000000000001E-2</v>
      </c>
      <c r="L72" s="1151">
        <f t="shared" si="250"/>
        <v>111435</v>
      </c>
      <c r="M72" s="1146">
        <f t="shared" si="250"/>
        <v>86631.79</v>
      </c>
      <c r="N72" s="1168">
        <f>ROUND(((+M72-J72)/J72),4)</f>
        <v>-6.8500000000000005E-2</v>
      </c>
      <c r="O72" s="1151">
        <f t="shared" si="250"/>
        <v>116195</v>
      </c>
      <c r="P72" s="1146">
        <f t="shared" si="250"/>
        <v>88374.909999999974</v>
      </c>
      <c r="Q72" s="1168">
        <f>ROUND(((+P72-M72)/M72),4)</f>
        <v>2.01E-2</v>
      </c>
      <c r="R72" s="1151">
        <f t="shared" si="250"/>
        <v>116555</v>
      </c>
      <c r="S72" s="1146">
        <f t="shared" si="250"/>
        <v>92714.789999999964</v>
      </c>
      <c r="T72" s="1168">
        <f>ROUND(((+S72-P72)/P72),4)</f>
        <v>4.9099999999999998E-2</v>
      </c>
      <c r="U72" s="1151">
        <f t="shared" si="250"/>
        <v>119570</v>
      </c>
      <c r="V72" s="1146">
        <f t="shared" si="250"/>
        <v>77501.360000000015</v>
      </c>
      <c r="W72" s="1168">
        <f>ROUND(((+V72-S72)/S72),4)</f>
        <v>-0.1641</v>
      </c>
      <c r="X72" s="1151">
        <f t="shared" si="250"/>
        <v>106320</v>
      </c>
      <c r="Y72" s="1146">
        <f t="shared" si="250"/>
        <v>85460.26</v>
      </c>
      <c r="Z72" s="1168">
        <f t="shared" si="237"/>
        <v>0.1027</v>
      </c>
      <c r="AA72" s="1151">
        <f t="shared" si="250"/>
        <v>109846</v>
      </c>
      <c r="AB72" s="1168">
        <f t="shared" si="238"/>
        <v>3.32E-2</v>
      </c>
      <c r="AC72" s="1146">
        <f t="shared" si="250"/>
        <v>89201.060000000012</v>
      </c>
      <c r="AD72" s="1168">
        <f t="shared" si="239"/>
        <v>4.3799999999999999E-2</v>
      </c>
      <c r="AE72" s="1151">
        <f t="shared" si="250"/>
        <v>130782</v>
      </c>
      <c r="AF72" s="1168">
        <f t="shared" si="240"/>
        <v>0.19059999999999999</v>
      </c>
      <c r="AG72" s="1146">
        <f t="shared" si="250"/>
        <v>108132.38</v>
      </c>
      <c r="AH72" s="1168">
        <f t="shared" si="241"/>
        <v>0.2122</v>
      </c>
      <c r="AI72" s="1168"/>
      <c r="AJ72" s="1168"/>
      <c r="AK72" s="1151">
        <f t="shared" si="250"/>
        <v>155932</v>
      </c>
      <c r="AL72" s="1168">
        <f t="shared" si="242"/>
        <v>0.1923</v>
      </c>
      <c r="AM72" s="1146">
        <f t="shared" si="250"/>
        <v>48964.67</v>
      </c>
      <c r="AN72" s="1168">
        <f t="shared" si="243"/>
        <v>-0.54720000000000002</v>
      </c>
      <c r="AO72" s="1168"/>
      <c r="AP72" s="1168"/>
      <c r="AQ72" s="1151">
        <f t="shared" si="250"/>
        <v>140050</v>
      </c>
      <c r="AR72" s="1168">
        <f t="shared" si="244"/>
        <v>-0.1019</v>
      </c>
      <c r="AS72" s="1168">
        <f>ROUND((((+AQ72-U72)/U72)/5),4)</f>
        <v>3.4299999999999997E-2</v>
      </c>
      <c r="AT72" s="1168">
        <f>ROUND((((+AQ72-F72)/F72)/10),4)</f>
        <v>3.09E-2</v>
      </c>
      <c r="AV72" s="1151">
        <f t="shared" ref="AV72:AZ72" si="251">SUM(AV68:AV71)</f>
        <v>144378</v>
      </c>
      <c r="AW72" s="1151">
        <f t="shared" si="251"/>
        <v>148839</v>
      </c>
      <c r="AX72" s="1151">
        <f t="shared" si="251"/>
        <v>153438</v>
      </c>
      <c r="AY72" s="1151">
        <f t="shared" si="251"/>
        <v>158179</v>
      </c>
      <c r="AZ72" s="1151">
        <f t="shared" si="251"/>
        <v>163067</v>
      </c>
    </row>
    <row r="73" spans="1:53" x14ac:dyDescent="0.3">
      <c r="AL73" s="1151"/>
      <c r="AQ73" s="1151"/>
      <c r="AR73" s="1151"/>
    </row>
    <row r="74" spans="1:53" x14ac:dyDescent="0.3">
      <c r="A74" s="954" t="s">
        <v>1938</v>
      </c>
      <c r="AB74" s="1168"/>
      <c r="AD74" s="1168"/>
      <c r="AH74" s="1168"/>
      <c r="AI74" s="1168"/>
      <c r="AJ74" s="1168"/>
      <c r="AL74" s="1151"/>
      <c r="AN74" s="1168"/>
      <c r="AO74" s="1168"/>
      <c r="AP74" s="1168"/>
      <c r="AQ74" s="1151"/>
      <c r="AR74" s="1151"/>
    </row>
    <row r="75" spans="1:53" x14ac:dyDescent="0.3">
      <c r="B75" s="947" t="s">
        <v>2218</v>
      </c>
      <c r="C75" s="1146">
        <f>+'197 Farm Mkt'!C10</f>
        <v>0</v>
      </c>
      <c r="D75" s="1146">
        <f>+'197 Farm Mkt'!D10</f>
        <v>0</v>
      </c>
      <c r="E75" s="1168" t="e">
        <f t="shared" ref="E75:E77" si="252">ROUND(((+D75-C75)/C75),4)</f>
        <v>#DIV/0!</v>
      </c>
      <c r="G75" s="1146">
        <f>+'197 Farm Mkt'!E10</f>
        <v>0</v>
      </c>
      <c r="H75" s="1168" t="e">
        <f t="shared" ref="H75:H77" si="253">ROUND(((+G75-D75)/D75),4)</f>
        <v>#DIV/0!</v>
      </c>
      <c r="J75" s="1146">
        <f>+'197 Farm Mkt'!F10</f>
        <v>0</v>
      </c>
      <c r="K75" s="1168" t="e">
        <f>ROUND(((+J75-G75)/G75),4)</f>
        <v>#DIV/0!</v>
      </c>
      <c r="M75" s="1146">
        <f>+'197 Farm Mkt'!G10</f>
        <v>0</v>
      </c>
      <c r="N75" s="1168" t="e">
        <f>ROUND(((+M75-J75)/J75),4)</f>
        <v>#DIV/0!</v>
      </c>
      <c r="P75" s="1146">
        <f>+'197 Farm Mkt'!H10</f>
        <v>0</v>
      </c>
      <c r="Q75" s="1168" t="e">
        <f>ROUND(((+P75-M75)/M75),4)</f>
        <v>#DIV/0!</v>
      </c>
      <c r="S75" s="1146">
        <f>+'197 Farm Mkt'!I10</f>
        <v>0</v>
      </c>
      <c r="T75" s="1168" t="e">
        <f>ROUND(((+S75-P75)/P75),4)</f>
        <v>#DIV/0!</v>
      </c>
      <c r="V75" s="1146">
        <f>+'197 Farm Mkt'!J10</f>
        <v>0</v>
      </c>
      <c r="W75" s="1168" t="e">
        <f>ROUND(((+V75-S75)/S75),4)</f>
        <v>#DIV/0!</v>
      </c>
      <c r="X75" s="1151">
        <f>+'197 Farm Mkt'!K10</f>
        <v>0</v>
      </c>
      <c r="Y75" s="1146">
        <f>+'197 Farm Mkt'!L10</f>
        <v>0</v>
      </c>
      <c r="Z75" s="1168" t="e">
        <f t="shared" ref="Z75:Z77" si="254">ROUND(((+Y75-V75)/V75),4)</f>
        <v>#DIV/0!</v>
      </c>
      <c r="AA75" s="1151">
        <f>+'197 Farm Mkt'!M10</f>
        <v>0</v>
      </c>
      <c r="AB75" s="1168" t="e">
        <f t="shared" ref="AB75:AB77" si="255">ROUND(((+AA75-X75)/X75),4)</f>
        <v>#DIV/0!</v>
      </c>
      <c r="AC75" s="1146">
        <f>+'197 Farm Mkt'!N10</f>
        <v>0</v>
      </c>
      <c r="AD75" s="1168" t="e">
        <f t="shared" ref="AD75:AD77" si="256">ROUND(((+AC75-Y75)/Y75),4)</f>
        <v>#DIV/0!</v>
      </c>
      <c r="AE75" s="1151">
        <f>+'197 Farm Mkt'!O10</f>
        <v>0</v>
      </c>
      <c r="AF75" s="1168" t="e">
        <f t="shared" ref="AF75:AF77" si="257">ROUND(((+AE75-AA75)/AA75),4)</f>
        <v>#DIV/0!</v>
      </c>
      <c r="AG75" s="1146">
        <f>+'197 Farm Mkt'!P10</f>
        <v>2000</v>
      </c>
      <c r="AH75" s="1168" t="e">
        <f t="shared" ref="AH75:AH77" si="258">ROUND(((+AG75-AC75)/AC75),4)</f>
        <v>#DIV/0!</v>
      </c>
      <c r="AI75" s="1168"/>
      <c r="AJ75" s="1168"/>
      <c r="AK75" s="1151">
        <f>+'197 Farm Mkt'!Q10</f>
        <v>4000</v>
      </c>
      <c r="AL75" s="1168" t="e">
        <f t="shared" ref="AL75:AL77" si="259">ROUND(((+AK75-AE75)/AE75),4)</f>
        <v>#DIV/0!</v>
      </c>
      <c r="AM75" s="1146">
        <f>+'197 Farm Mkt'!R10</f>
        <v>1777.8</v>
      </c>
      <c r="AN75" s="1168">
        <f t="shared" ref="AN75:AN77" si="260">ROUND(((+AM75-AG75)/AG75),4)</f>
        <v>-0.1111</v>
      </c>
      <c r="AO75" s="1168"/>
      <c r="AP75" s="1168"/>
      <c r="AQ75" s="1151">
        <f>+'197 Farm Mkt'!S10</f>
        <v>4000</v>
      </c>
      <c r="AR75" s="1168">
        <f t="shared" ref="AR75:AR77" si="261">ROUND(((+AQ75-AK75)/AK75),4)</f>
        <v>0</v>
      </c>
      <c r="AS75" s="1168" t="e">
        <f t="shared" ref="AS75:AS76" si="262">ROUND((((+AQ75-U75)/U75)/5),4)</f>
        <v>#DIV/0!</v>
      </c>
      <c r="AT75" s="1168" t="e">
        <f t="shared" ref="AT75:AT76" si="263">ROUND((((+AQ75-F75)/F75)/10),4)</f>
        <v>#DIV/0!</v>
      </c>
      <c r="AV75" s="1151">
        <f>ROUND((+AQ75*(1.02)),0)</f>
        <v>4080</v>
      </c>
      <c r="AW75" s="1151">
        <f t="shared" ref="AW75:AZ76" si="264">ROUND((+AV75*(1.02)),0)</f>
        <v>4162</v>
      </c>
      <c r="AX75" s="1151">
        <f t="shared" si="264"/>
        <v>4245</v>
      </c>
      <c r="AY75" s="1151">
        <f t="shared" si="264"/>
        <v>4330</v>
      </c>
      <c r="AZ75" s="1151">
        <f t="shared" si="264"/>
        <v>4417</v>
      </c>
      <c r="BA75" s="1214">
        <v>0.02</v>
      </c>
    </row>
    <row r="76" spans="1:53" x14ac:dyDescent="0.3">
      <c r="B76" s="947" t="s">
        <v>1869</v>
      </c>
      <c r="C76" s="1148">
        <f>+'197 Farm Mkt'!C14</f>
        <v>0</v>
      </c>
      <c r="D76" s="1148">
        <f>+'197 Farm Mkt'!D14</f>
        <v>0</v>
      </c>
      <c r="E76" s="1172" t="e">
        <f t="shared" si="252"/>
        <v>#DIV/0!</v>
      </c>
      <c r="F76" s="1152"/>
      <c r="G76" s="1148">
        <f>+'197 Farm Mkt'!E14</f>
        <v>0</v>
      </c>
      <c r="H76" s="1172" t="e">
        <f t="shared" si="253"/>
        <v>#DIV/0!</v>
      </c>
      <c r="I76" s="1152"/>
      <c r="J76" s="1148">
        <f>+'197 Farm Mkt'!F14</f>
        <v>0</v>
      </c>
      <c r="K76" s="1172" t="e">
        <f>ROUND(((+J76-G76)/G76),4)</f>
        <v>#DIV/0!</v>
      </c>
      <c r="L76" s="1152"/>
      <c r="M76" s="1148">
        <f>+'197 Farm Mkt'!G14</f>
        <v>0</v>
      </c>
      <c r="N76" s="1172" t="e">
        <f>ROUND(((+M76-J76)/J76),4)</f>
        <v>#DIV/0!</v>
      </c>
      <c r="O76" s="1152"/>
      <c r="P76" s="1148">
        <f>+'197 Farm Mkt'!H14</f>
        <v>0</v>
      </c>
      <c r="Q76" s="1172" t="e">
        <f>ROUND(((+P76-M76)/M76),4)</f>
        <v>#DIV/0!</v>
      </c>
      <c r="R76" s="1152"/>
      <c r="S76" s="1148">
        <f>+'197 Farm Mkt'!I14</f>
        <v>0</v>
      </c>
      <c r="T76" s="1172" t="e">
        <f>ROUND(((+S76-P76)/P76),4)</f>
        <v>#DIV/0!</v>
      </c>
      <c r="U76" s="1152"/>
      <c r="V76" s="1148">
        <f>+'197 Farm Mkt'!J14</f>
        <v>0</v>
      </c>
      <c r="W76" s="1172" t="e">
        <f>ROUND(((+V76-S76)/S76),4)</f>
        <v>#DIV/0!</v>
      </c>
      <c r="X76" s="1152">
        <f>+'197 Farm Mkt'!K14</f>
        <v>0</v>
      </c>
      <c r="Y76" s="1148">
        <f>+'197 Farm Mkt'!L14</f>
        <v>0</v>
      </c>
      <c r="Z76" s="1172" t="e">
        <f t="shared" si="254"/>
        <v>#DIV/0!</v>
      </c>
      <c r="AA76" s="1152">
        <f>+'197 Farm Mkt'!M14</f>
        <v>0</v>
      </c>
      <c r="AB76" s="1172" t="e">
        <f t="shared" si="255"/>
        <v>#DIV/0!</v>
      </c>
      <c r="AC76" s="1148">
        <f>+'197 Farm Mkt'!N14</f>
        <v>0</v>
      </c>
      <c r="AD76" s="1172" t="e">
        <f t="shared" si="256"/>
        <v>#DIV/0!</v>
      </c>
      <c r="AE76" s="1152">
        <f>+'197 Farm Mkt'!O14</f>
        <v>0</v>
      </c>
      <c r="AF76" s="1172" t="e">
        <f t="shared" si="257"/>
        <v>#DIV/0!</v>
      </c>
      <c r="AG76" s="1148">
        <f>+'197 Farm Mkt'!P14</f>
        <v>191.4</v>
      </c>
      <c r="AH76" s="1172" t="e">
        <f t="shared" si="258"/>
        <v>#DIV/0!</v>
      </c>
      <c r="AI76" s="1172"/>
      <c r="AJ76" s="1172"/>
      <c r="AK76" s="1152">
        <f>+'197 Farm Mkt'!Q14</f>
        <v>1000</v>
      </c>
      <c r="AL76" s="1172" t="e">
        <f t="shared" si="259"/>
        <v>#DIV/0!</v>
      </c>
      <c r="AM76" s="1148">
        <f>+'197 Farm Mkt'!R14</f>
        <v>306.62</v>
      </c>
      <c r="AN76" s="1172">
        <f t="shared" si="260"/>
        <v>0.60199999999999998</v>
      </c>
      <c r="AO76" s="1172"/>
      <c r="AP76" s="1172"/>
      <c r="AQ76" s="1152">
        <f>+'197 Farm Mkt'!S14</f>
        <v>1200</v>
      </c>
      <c r="AR76" s="1172">
        <f t="shared" si="261"/>
        <v>0.2</v>
      </c>
      <c r="AS76" s="1172" t="e">
        <f t="shared" si="262"/>
        <v>#DIV/0!</v>
      </c>
      <c r="AT76" s="1172" t="e">
        <f t="shared" si="263"/>
        <v>#DIV/0!</v>
      </c>
      <c r="AV76" s="1152">
        <f>ROUND((+AQ76*(1.02)),0)</f>
        <v>1224</v>
      </c>
      <c r="AW76" s="1152">
        <f t="shared" si="264"/>
        <v>1248</v>
      </c>
      <c r="AX76" s="1152">
        <f t="shared" si="264"/>
        <v>1273</v>
      </c>
      <c r="AY76" s="1152">
        <f t="shared" si="264"/>
        <v>1298</v>
      </c>
      <c r="AZ76" s="1152">
        <f t="shared" si="264"/>
        <v>1324</v>
      </c>
      <c r="BA76" s="1214">
        <v>0.02</v>
      </c>
    </row>
    <row r="77" spans="1:53" x14ac:dyDescent="0.3">
      <c r="B77" s="947" t="s">
        <v>887</v>
      </c>
      <c r="C77" s="1146">
        <f>SUM(C74:C76)</f>
        <v>0</v>
      </c>
      <c r="D77" s="1146">
        <f t="shared" ref="D77:AM77" si="265">SUM(D74:D76)</f>
        <v>0</v>
      </c>
      <c r="E77" s="1168" t="e">
        <f t="shared" si="252"/>
        <v>#DIV/0!</v>
      </c>
      <c r="F77" s="1151">
        <f t="shared" si="265"/>
        <v>0</v>
      </c>
      <c r="G77" s="1146">
        <f t="shared" si="265"/>
        <v>0</v>
      </c>
      <c r="H77" s="1168" t="e">
        <f t="shared" si="253"/>
        <v>#DIV/0!</v>
      </c>
      <c r="I77" s="1151">
        <f t="shared" si="265"/>
        <v>0</v>
      </c>
      <c r="J77" s="1146">
        <f t="shared" si="265"/>
        <v>0</v>
      </c>
      <c r="K77" s="1168" t="e">
        <f>ROUND(((+J77-G77)/G77),4)</f>
        <v>#DIV/0!</v>
      </c>
      <c r="L77" s="1151">
        <f t="shared" si="265"/>
        <v>0</v>
      </c>
      <c r="M77" s="1146">
        <f t="shared" si="265"/>
        <v>0</v>
      </c>
      <c r="N77" s="1168" t="e">
        <f>ROUND(((+M77-J77)/J77),4)</f>
        <v>#DIV/0!</v>
      </c>
      <c r="O77" s="1151">
        <f t="shared" si="265"/>
        <v>0</v>
      </c>
      <c r="P77" s="1146">
        <f t="shared" si="265"/>
        <v>0</v>
      </c>
      <c r="Q77" s="1168" t="e">
        <f>ROUND(((+P77-M77)/M77),4)</f>
        <v>#DIV/0!</v>
      </c>
      <c r="R77" s="1151">
        <f t="shared" si="265"/>
        <v>0</v>
      </c>
      <c r="S77" s="1146">
        <f t="shared" si="265"/>
        <v>0</v>
      </c>
      <c r="T77" s="1168" t="e">
        <f>ROUND(((+S77-P77)/P77),4)</f>
        <v>#DIV/0!</v>
      </c>
      <c r="U77" s="1151">
        <f t="shared" si="265"/>
        <v>0</v>
      </c>
      <c r="V77" s="1146">
        <f t="shared" si="265"/>
        <v>0</v>
      </c>
      <c r="W77" s="1168" t="e">
        <f>ROUND(((+V77-S77)/S77),4)</f>
        <v>#DIV/0!</v>
      </c>
      <c r="X77" s="1151">
        <f t="shared" si="265"/>
        <v>0</v>
      </c>
      <c r="Y77" s="1146">
        <f t="shared" si="265"/>
        <v>0</v>
      </c>
      <c r="Z77" s="1168" t="e">
        <f t="shared" si="254"/>
        <v>#DIV/0!</v>
      </c>
      <c r="AA77" s="1151">
        <f t="shared" si="265"/>
        <v>0</v>
      </c>
      <c r="AB77" s="1168" t="e">
        <f t="shared" si="255"/>
        <v>#DIV/0!</v>
      </c>
      <c r="AC77" s="1146">
        <f t="shared" si="265"/>
        <v>0</v>
      </c>
      <c r="AD77" s="1168" t="e">
        <f t="shared" si="256"/>
        <v>#DIV/0!</v>
      </c>
      <c r="AE77" s="1151">
        <f t="shared" si="265"/>
        <v>0</v>
      </c>
      <c r="AF77" s="1168" t="e">
        <f t="shared" si="257"/>
        <v>#DIV/0!</v>
      </c>
      <c r="AG77" s="1146">
        <f t="shared" si="265"/>
        <v>2191.4</v>
      </c>
      <c r="AH77" s="1168" t="e">
        <f t="shared" si="258"/>
        <v>#DIV/0!</v>
      </c>
      <c r="AI77" s="1168"/>
      <c r="AJ77" s="1168"/>
      <c r="AK77" s="1151">
        <f t="shared" si="265"/>
        <v>5000</v>
      </c>
      <c r="AL77" s="1168" t="e">
        <f t="shared" si="259"/>
        <v>#DIV/0!</v>
      </c>
      <c r="AM77" s="1146">
        <f t="shared" si="265"/>
        <v>2084.42</v>
      </c>
      <c r="AN77" s="1168">
        <f t="shared" si="260"/>
        <v>-4.8800000000000003E-2</v>
      </c>
      <c r="AO77" s="1168"/>
      <c r="AP77" s="1168"/>
      <c r="AQ77" s="1151">
        <f t="shared" ref="AQ77" si="266">SUM(AQ73:AQ76)</f>
        <v>5200</v>
      </c>
      <c r="AR77" s="1168">
        <f t="shared" si="261"/>
        <v>0.04</v>
      </c>
      <c r="AS77" s="1168" t="e">
        <f>ROUND((((+AQ77-U77)/U77)/5),4)</f>
        <v>#DIV/0!</v>
      </c>
      <c r="AT77" s="1168" t="e">
        <f>ROUND((((+AQ77-F77)/F77)/10),4)</f>
        <v>#DIV/0!</v>
      </c>
    </row>
    <row r="78" spans="1:53" x14ac:dyDescent="0.3">
      <c r="AL78" s="1151"/>
      <c r="AQ78" s="1151"/>
      <c r="AR78" s="1151"/>
    </row>
    <row r="79" spans="1:53" x14ac:dyDescent="0.3">
      <c r="A79" s="954" t="s">
        <v>530</v>
      </c>
      <c r="AL79" s="1151"/>
      <c r="AQ79" s="1151"/>
      <c r="AR79" s="1151"/>
    </row>
    <row r="80" spans="1:53" x14ac:dyDescent="0.3">
      <c r="B80" s="947" t="s">
        <v>2218</v>
      </c>
      <c r="C80" s="1146">
        <f>+'211 Police'!C28</f>
        <v>1029078.94</v>
      </c>
      <c r="D80" s="1146">
        <f>+'211 Police'!D28</f>
        <v>1095168.05</v>
      </c>
      <c r="E80" s="1168">
        <f t="shared" ref="E80:E83" si="267">ROUND(((+D80-C80)/C80),4)</f>
        <v>6.4199999999999993E-2</v>
      </c>
      <c r="F80" s="1151">
        <v>1207941</v>
      </c>
      <c r="G80" s="1146">
        <f>+'211 Police'!E28</f>
        <v>1198306.2999999998</v>
      </c>
      <c r="H80" s="1168">
        <f t="shared" ref="H80:H83" si="268">ROUND(((+G80-D80)/D80),4)</f>
        <v>9.4200000000000006E-2</v>
      </c>
      <c r="I80" s="1151">
        <v>1292092</v>
      </c>
      <c r="J80" s="1146">
        <f>+'211 Police'!F28</f>
        <v>1254040.6099999999</v>
      </c>
      <c r="K80" s="1168">
        <f>ROUND(((+J80-G80)/G80),4)</f>
        <v>4.65E-2</v>
      </c>
      <c r="L80" s="1151">
        <v>1320896</v>
      </c>
      <c r="M80" s="1146">
        <f>+'211 Police'!G28</f>
        <v>1298780.04</v>
      </c>
      <c r="N80" s="1168">
        <f>ROUND(((+M80-J80)/J80),4)</f>
        <v>3.5700000000000003E-2</v>
      </c>
      <c r="O80" s="1151">
        <v>1315344</v>
      </c>
      <c r="P80" s="1146">
        <f>+'211 Police'!H28</f>
        <v>1131098.1000000001</v>
      </c>
      <c r="Q80" s="1168">
        <f>ROUND(((+P80-M80)/M80),4)</f>
        <v>-0.12909999999999999</v>
      </c>
      <c r="R80" s="1151">
        <v>1438543</v>
      </c>
      <c r="S80" s="1146">
        <f>+'211 Police'!I28</f>
        <v>1364602.48</v>
      </c>
      <c r="T80" s="1168">
        <f>ROUND(((+S80-P80)/P80),4)</f>
        <v>0.2064</v>
      </c>
      <c r="U80" s="1151">
        <v>1437549</v>
      </c>
      <c r="V80" s="1146">
        <f>+'211 Police'!J28</f>
        <v>1408085.23</v>
      </c>
      <c r="W80" s="1168">
        <f>ROUND(((+V80-S80)/S80),4)</f>
        <v>3.1899999999999998E-2</v>
      </c>
      <c r="X80" s="1151">
        <f>+'211 Police'!K28</f>
        <v>1468774</v>
      </c>
      <c r="Y80" s="1146">
        <f>+'211 Police'!L28</f>
        <v>1437149.25</v>
      </c>
      <c r="Z80" s="1168">
        <f t="shared" ref="Z80:Z83" si="269">ROUND(((+Y80-V80)/V80),4)</f>
        <v>2.06E-2</v>
      </c>
      <c r="AA80" s="1151">
        <f>+'211 Police'!M28</f>
        <v>1572635</v>
      </c>
      <c r="AB80" s="1168">
        <f t="shared" ref="AB80:AB83" si="270">ROUND(((+AA80-X80)/X80),4)</f>
        <v>7.0699999999999999E-2</v>
      </c>
      <c r="AC80" s="1146">
        <f>+'211 Police'!N28</f>
        <v>1504867.5700000003</v>
      </c>
      <c r="AD80" s="1168">
        <f t="shared" ref="AD80:AD83" si="271">ROUND(((+AC80-Y80)/Y80),4)</f>
        <v>4.7100000000000003E-2</v>
      </c>
      <c r="AE80" s="1151">
        <f>+'211 Police'!O28</f>
        <v>1660074</v>
      </c>
      <c r="AF80" s="1168">
        <f t="shared" ref="AF80:AF83" si="272">ROUND(((+AE80-AA80)/AA80),4)</f>
        <v>5.5599999999999997E-2</v>
      </c>
      <c r="AG80" s="1146">
        <f>+'211 Police'!P28</f>
        <v>1626946.83</v>
      </c>
      <c r="AH80" s="1168">
        <f t="shared" ref="AH80:AH83" si="273">ROUND(((+AG80-AC80)/AC80),4)</f>
        <v>8.1100000000000005E-2</v>
      </c>
      <c r="AI80" s="1168"/>
      <c r="AJ80" s="1168"/>
      <c r="AK80" s="1151">
        <f>+'211 Police'!Q28</f>
        <v>1740694</v>
      </c>
      <c r="AL80" s="1168">
        <f t="shared" ref="AL80:AL83" si="274">ROUND(((+AK80-AE80)/AE80),4)</f>
        <v>4.8599999999999997E-2</v>
      </c>
      <c r="AM80" s="1146">
        <f>+'211 Police'!R28</f>
        <v>817886.20000000007</v>
      </c>
      <c r="AN80" s="1168">
        <f t="shared" ref="AN80:AN83" si="275">ROUND(((+AM80-AG80)/AG80),4)</f>
        <v>-0.49730000000000002</v>
      </c>
      <c r="AO80" s="1168"/>
      <c r="AP80" s="1168"/>
      <c r="AQ80" s="1151">
        <f>+'211 Police'!S28</f>
        <v>1824627.105</v>
      </c>
      <c r="AR80" s="1168">
        <f t="shared" ref="AR80:AR83" si="276">ROUND(((+AQ80-AK80)/AK80),4)</f>
        <v>4.82E-2</v>
      </c>
      <c r="AS80" s="1168">
        <f t="shared" ref="AS80:AS82" si="277">ROUND((((+AQ80-U80)/U80)/5),4)</f>
        <v>5.3900000000000003E-2</v>
      </c>
      <c r="AT80" s="1168">
        <f t="shared" ref="AT80:AT82" si="278">ROUND((((+AQ80-F80)/F80)/10),4)</f>
        <v>5.11E-2</v>
      </c>
      <c r="AV80" s="1151">
        <f>ROUND((+AQ80*(1.038)),0)</f>
        <v>1893963</v>
      </c>
      <c r="AW80" s="1151">
        <f>ROUND((+AV80*(1.038)),0)</f>
        <v>1965934</v>
      </c>
      <c r="AX80" s="1151">
        <f>ROUND((+AW80*(1.038)),0)</f>
        <v>2040639</v>
      </c>
      <c r="AY80" s="1151">
        <f>ROUND((+AX80*(1.038)),0)</f>
        <v>2118183</v>
      </c>
      <c r="AZ80" s="1151">
        <f>ROUND((+AY80*(1.038)),0)</f>
        <v>2198674</v>
      </c>
      <c r="BA80" s="1214">
        <v>3.7999999999999999E-2</v>
      </c>
    </row>
    <row r="81" spans="1:54" x14ac:dyDescent="0.3">
      <c r="B81" s="947" t="s">
        <v>1869</v>
      </c>
      <c r="C81" s="1146">
        <f>+'211 Police'!C54</f>
        <v>173935.32</v>
      </c>
      <c r="D81" s="1146">
        <f>+'211 Police'!D54</f>
        <v>167956.24</v>
      </c>
      <c r="E81" s="1168">
        <f t="shared" si="267"/>
        <v>-3.44E-2</v>
      </c>
      <c r="F81" s="1151">
        <v>162620</v>
      </c>
      <c r="G81" s="1146">
        <f>+'211 Police'!E54</f>
        <v>172643.79999999996</v>
      </c>
      <c r="H81" s="1168">
        <f t="shared" si="268"/>
        <v>2.7900000000000001E-2</v>
      </c>
      <c r="I81" s="1151">
        <v>178870</v>
      </c>
      <c r="J81" s="1146">
        <f>+'211 Police'!F54</f>
        <v>156222.19</v>
      </c>
      <c r="K81" s="1168">
        <f>ROUND(((+J81-G81)/G81),4)</f>
        <v>-9.5100000000000004E-2</v>
      </c>
      <c r="L81" s="1151">
        <v>171620</v>
      </c>
      <c r="M81" s="1146">
        <f>+'211 Police'!G54</f>
        <v>171872.11000000002</v>
      </c>
      <c r="N81" s="1168">
        <f>ROUND(((+M81-J81)/J81),4)</f>
        <v>0.1002</v>
      </c>
      <c r="O81" s="1151">
        <v>177570</v>
      </c>
      <c r="P81" s="1146">
        <f>+'211 Police'!H54</f>
        <v>178114.31</v>
      </c>
      <c r="Q81" s="1168">
        <f>ROUND(((+P81-M81)/M81),4)</f>
        <v>3.6299999999999999E-2</v>
      </c>
      <c r="R81" s="1151">
        <v>177385</v>
      </c>
      <c r="S81" s="1146">
        <f>+'211 Police'!I54</f>
        <v>186294.50000000003</v>
      </c>
      <c r="T81" s="1168">
        <f>ROUND(((+S81-P81)/P81),4)</f>
        <v>4.5900000000000003E-2</v>
      </c>
      <c r="U81" s="1151">
        <v>187363</v>
      </c>
      <c r="V81" s="1146">
        <f>+'211 Police'!J54</f>
        <v>187240.46</v>
      </c>
      <c r="W81" s="1168">
        <f>ROUND(((+V81-S81)/S81),4)</f>
        <v>5.1000000000000004E-3</v>
      </c>
      <c r="X81" s="1151">
        <f>+'211 Police'!K54</f>
        <v>183763</v>
      </c>
      <c r="Y81" s="1146">
        <f>+'211 Police'!L54</f>
        <v>190482.64</v>
      </c>
      <c r="Z81" s="1168">
        <f t="shared" si="269"/>
        <v>1.7299999999999999E-2</v>
      </c>
      <c r="AA81" s="1151">
        <f>+'211 Police'!M54</f>
        <v>189310</v>
      </c>
      <c r="AB81" s="1168">
        <f t="shared" si="270"/>
        <v>3.0200000000000001E-2</v>
      </c>
      <c r="AC81" s="1146">
        <f>+'211 Police'!N54</f>
        <v>208067.90000000002</v>
      </c>
      <c r="AD81" s="1168">
        <f t="shared" si="271"/>
        <v>9.2299999999999993E-2</v>
      </c>
      <c r="AE81" s="1151">
        <f>+'211 Police'!O54</f>
        <v>218360</v>
      </c>
      <c r="AF81" s="1168">
        <f t="shared" si="272"/>
        <v>0.1535</v>
      </c>
      <c r="AG81" s="1146">
        <f>+'211 Police'!P54</f>
        <v>218323.32</v>
      </c>
      <c r="AH81" s="1168">
        <f t="shared" si="273"/>
        <v>4.9299999999999997E-2</v>
      </c>
      <c r="AI81" s="1168"/>
      <c r="AJ81" s="1168"/>
      <c r="AK81" s="1151">
        <f>+'211 Police'!Q54</f>
        <v>229360</v>
      </c>
      <c r="AL81" s="1168">
        <f t="shared" si="274"/>
        <v>5.04E-2</v>
      </c>
      <c r="AM81" s="1146">
        <f>+'211 Police'!R54</f>
        <v>118327.11999999998</v>
      </c>
      <c r="AN81" s="1168">
        <f t="shared" si="275"/>
        <v>-0.45800000000000002</v>
      </c>
      <c r="AO81" s="1168"/>
      <c r="AP81" s="1168"/>
      <c r="AQ81" s="1151">
        <f>+'211 Police'!S54</f>
        <v>242981</v>
      </c>
      <c r="AR81" s="1168">
        <f t="shared" si="276"/>
        <v>5.9400000000000001E-2</v>
      </c>
      <c r="AS81" s="1168">
        <f t="shared" si="277"/>
        <v>5.9400000000000001E-2</v>
      </c>
      <c r="AT81" s="1168">
        <f t="shared" si="278"/>
        <v>4.9399999999999999E-2</v>
      </c>
      <c r="AV81" s="1151">
        <f t="shared" ref="AV81:AV82" si="279">ROUND((+AQ81*(1+AT81)),0)</f>
        <v>254984</v>
      </c>
      <c r="AW81" s="1151">
        <f t="shared" ref="AW81:AW82" si="280">ROUND((+AV81*(1+AT81)),0)</f>
        <v>267580</v>
      </c>
      <c r="AX81" s="1151">
        <f t="shared" ref="AX81:AX82" si="281">ROUND((+AW81*(1+AT81)),0)</f>
        <v>280798</v>
      </c>
      <c r="AY81" s="1151">
        <f t="shared" ref="AY81:AY82" si="282">ROUND((+AX81*(1+AT81)),0)</f>
        <v>294669</v>
      </c>
      <c r="AZ81" s="1151">
        <f t="shared" ref="AZ81:AZ82" si="283">ROUND((+AY81*(1+AT81)),0)</f>
        <v>309226</v>
      </c>
    </row>
    <row r="82" spans="1:54" x14ac:dyDescent="0.3">
      <c r="B82" s="947" t="s">
        <v>2221</v>
      </c>
      <c r="C82" s="1148">
        <f>+'211 Police'!C57</f>
        <v>36895.4</v>
      </c>
      <c r="D82" s="1148">
        <f>+'211 Police'!D57</f>
        <v>39483.5</v>
      </c>
      <c r="E82" s="1172">
        <f t="shared" si="267"/>
        <v>7.0099999999999996E-2</v>
      </c>
      <c r="F82" s="1152">
        <v>39500</v>
      </c>
      <c r="G82" s="1148">
        <f>+'211 Police'!E57</f>
        <v>39102.5</v>
      </c>
      <c r="H82" s="1172">
        <f t="shared" si="268"/>
        <v>-9.5999999999999992E-3</v>
      </c>
      <c r="I82" s="1152">
        <v>39500</v>
      </c>
      <c r="J82" s="1148">
        <f>+'211 Police'!F57</f>
        <v>39498.1</v>
      </c>
      <c r="K82" s="1172">
        <f>ROUND(((+J82-G82)/G82),4)</f>
        <v>1.01E-2</v>
      </c>
      <c r="L82" s="1152">
        <v>39500</v>
      </c>
      <c r="M82" s="1148">
        <f>+'211 Police'!G57</f>
        <v>39500</v>
      </c>
      <c r="N82" s="1172">
        <f>ROUND(((+M82-J82)/J82),4)</f>
        <v>0</v>
      </c>
      <c r="O82" s="1152">
        <v>42000</v>
      </c>
      <c r="P82" s="1148">
        <f>+'211 Police'!H57</f>
        <v>41424</v>
      </c>
      <c r="Q82" s="1172">
        <f>ROUND(((+P82-M82)/M82),4)</f>
        <v>4.87E-2</v>
      </c>
      <c r="R82" s="1152">
        <v>34000</v>
      </c>
      <c r="S82" s="1148">
        <f>+'211 Police'!I57</f>
        <v>34000</v>
      </c>
      <c r="T82" s="1172">
        <f>ROUND(((+S82-P82)/P82),4)</f>
        <v>-0.1792</v>
      </c>
      <c r="U82" s="1152">
        <v>51600</v>
      </c>
      <c r="V82" s="1148">
        <f>+'211 Police'!J57</f>
        <v>51600</v>
      </c>
      <c r="W82" s="1172">
        <f>ROUND(((+V82-S82)/S82),4)</f>
        <v>0.51759999999999995</v>
      </c>
      <c r="X82" s="1152">
        <f>+'211 Police'!K57</f>
        <v>53000</v>
      </c>
      <c r="Y82" s="1148">
        <f>+'211 Police'!L57</f>
        <v>22900</v>
      </c>
      <c r="Z82" s="1172">
        <f t="shared" si="269"/>
        <v>-0.55620000000000003</v>
      </c>
      <c r="AA82" s="1152">
        <f>+'211 Police'!M57</f>
        <v>53000</v>
      </c>
      <c r="AB82" s="1172">
        <f t="shared" si="270"/>
        <v>0</v>
      </c>
      <c r="AC82" s="1148">
        <f>+'211 Police'!N57</f>
        <v>44982.74</v>
      </c>
      <c r="AD82" s="1172">
        <f t="shared" si="271"/>
        <v>0.96430000000000005</v>
      </c>
      <c r="AE82" s="1152">
        <f>+'211 Police'!O57</f>
        <v>54000</v>
      </c>
      <c r="AF82" s="1172">
        <f t="shared" si="272"/>
        <v>1.89E-2</v>
      </c>
      <c r="AG82" s="1148">
        <f>+'211 Police'!P57</f>
        <v>54000</v>
      </c>
      <c r="AH82" s="1172">
        <f t="shared" si="273"/>
        <v>0.20050000000000001</v>
      </c>
      <c r="AI82" s="1172"/>
      <c r="AJ82" s="1172"/>
      <c r="AK82" s="1152">
        <f>+'211 Police'!Q57</f>
        <v>68100</v>
      </c>
      <c r="AL82" s="1172">
        <f t="shared" si="274"/>
        <v>0.2611</v>
      </c>
      <c r="AM82" s="1148">
        <f>+'211 Police'!R57</f>
        <v>62683.25</v>
      </c>
      <c r="AN82" s="1172">
        <f t="shared" si="275"/>
        <v>0.1608</v>
      </c>
      <c r="AO82" s="1172"/>
      <c r="AP82" s="1172"/>
      <c r="AQ82" s="1152">
        <f>+'211 Police'!S57</f>
        <v>60000</v>
      </c>
      <c r="AR82" s="1172">
        <f t="shared" si="276"/>
        <v>-0.11890000000000001</v>
      </c>
      <c r="AS82" s="1172">
        <f t="shared" si="277"/>
        <v>3.2599999999999997E-2</v>
      </c>
      <c r="AT82" s="1172">
        <f t="shared" si="278"/>
        <v>5.1900000000000002E-2</v>
      </c>
      <c r="AV82" s="1152">
        <f t="shared" si="279"/>
        <v>63114</v>
      </c>
      <c r="AW82" s="1152">
        <f t="shared" si="280"/>
        <v>66390</v>
      </c>
      <c r="AX82" s="1152">
        <f t="shared" si="281"/>
        <v>69836</v>
      </c>
      <c r="AY82" s="1152">
        <f t="shared" si="282"/>
        <v>73460</v>
      </c>
      <c r="AZ82" s="1152">
        <f t="shared" si="283"/>
        <v>77273</v>
      </c>
    </row>
    <row r="83" spans="1:54" x14ac:dyDescent="0.3">
      <c r="B83" s="947" t="s">
        <v>887</v>
      </c>
      <c r="C83" s="1146">
        <f>SUM(C79:C82)</f>
        <v>1239909.6599999999</v>
      </c>
      <c r="D83" s="1146">
        <f t="shared" ref="D83" si="284">SUM(D80:D82)</f>
        <v>1302607.79</v>
      </c>
      <c r="E83" s="1168">
        <f t="shared" si="267"/>
        <v>5.0599999999999999E-2</v>
      </c>
      <c r="F83" s="1151">
        <f t="shared" ref="F83" si="285">SUM(F80:F82)</f>
        <v>1410061</v>
      </c>
      <c r="G83" s="1146">
        <f t="shared" ref="G83:AQ83" si="286">SUM(G79:G82)</f>
        <v>1410052.5999999999</v>
      </c>
      <c r="H83" s="1168">
        <f t="shared" si="268"/>
        <v>8.2500000000000004E-2</v>
      </c>
      <c r="I83" s="1151">
        <f t="shared" ref="I83" si="287">SUM(I80:I82)</f>
        <v>1510462</v>
      </c>
      <c r="J83" s="1146">
        <f t="shared" si="286"/>
        <v>1449760.9</v>
      </c>
      <c r="K83" s="1168">
        <f>ROUND(((+J83-G83)/G83),4)</f>
        <v>2.8199999999999999E-2</v>
      </c>
      <c r="L83" s="1151">
        <f t="shared" ref="L83" si="288">SUM(L80:L82)</f>
        <v>1532016</v>
      </c>
      <c r="M83" s="1146">
        <f t="shared" si="286"/>
        <v>1510152.1500000001</v>
      </c>
      <c r="N83" s="1168">
        <f>ROUND(((+M83-J83)/J83),4)</f>
        <v>4.1700000000000001E-2</v>
      </c>
      <c r="O83" s="1151">
        <f t="shared" ref="O83" si="289">SUM(O80:O82)</f>
        <v>1534914</v>
      </c>
      <c r="P83" s="1146">
        <f t="shared" si="286"/>
        <v>1350636.4100000001</v>
      </c>
      <c r="Q83" s="1168">
        <f>ROUND(((+P83-M83)/M83),4)</f>
        <v>-0.1056</v>
      </c>
      <c r="R83" s="1151">
        <f t="shared" ref="R83" si="290">SUM(R80:R82)</f>
        <v>1649928</v>
      </c>
      <c r="S83" s="1146">
        <f t="shared" si="286"/>
        <v>1584896.98</v>
      </c>
      <c r="T83" s="1168">
        <f>ROUND(((+S83-P83)/P83),4)</f>
        <v>0.1734</v>
      </c>
      <c r="U83" s="1151">
        <f t="shared" ref="U83" si="291">SUM(U80:U82)</f>
        <v>1676512</v>
      </c>
      <c r="V83" s="1146">
        <f t="shared" si="286"/>
        <v>1646925.69</v>
      </c>
      <c r="W83" s="1168">
        <f>ROUND(((+V83-S83)/S83),4)</f>
        <v>3.9100000000000003E-2</v>
      </c>
      <c r="X83" s="1151">
        <f t="shared" si="286"/>
        <v>1705537</v>
      </c>
      <c r="Y83" s="1146">
        <f t="shared" si="286"/>
        <v>1650531.8900000001</v>
      </c>
      <c r="Z83" s="1168">
        <f t="shared" si="269"/>
        <v>2.2000000000000001E-3</v>
      </c>
      <c r="AA83" s="1151">
        <f t="shared" si="286"/>
        <v>1814945</v>
      </c>
      <c r="AB83" s="1168">
        <f t="shared" si="270"/>
        <v>6.4100000000000004E-2</v>
      </c>
      <c r="AC83" s="1146">
        <f t="shared" si="286"/>
        <v>1757918.2100000002</v>
      </c>
      <c r="AD83" s="1168">
        <f t="shared" si="271"/>
        <v>6.5100000000000005E-2</v>
      </c>
      <c r="AE83" s="1151">
        <f t="shared" si="286"/>
        <v>1932434</v>
      </c>
      <c r="AF83" s="1168">
        <f t="shared" si="272"/>
        <v>6.4699999999999994E-2</v>
      </c>
      <c r="AG83" s="1146">
        <f t="shared" si="286"/>
        <v>1899270.1500000001</v>
      </c>
      <c r="AH83" s="1168">
        <f t="shared" si="273"/>
        <v>8.0399999999999999E-2</v>
      </c>
      <c r="AI83" s="1168"/>
      <c r="AJ83" s="1168"/>
      <c r="AK83" s="1151">
        <f t="shared" si="286"/>
        <v>2038154</v>
      </c>
      <c r="AL83" s="1168">
        <f t="shared" si="274"/>
        <v>5.4699999999999999E-2</v>
      </c>
      <c r="AM83" s="1146">
        <f t="shared" si="286"/>
        <v>998896.57000000007</v>
      </c>
      <c r="AN83" s="1168">
        <f t="shared" si="275"/>
        <v>-0.47410000000000002</v>
      </c>
      <c r="AO83" s="1168"/>
      <c r="AP83" s="1168"/>
      <c r="AQ83" s="1151">
        <f t="shared" si="286"/>
        <v>2127608.105</v>
      </c>
      <c r="AR83" s="1168">
        <f t="shared" si="276"/>
        <v>4.3900000000000002E-2</v>
      </c>
      <c r="AS83" s="1168">
        <f>ROUND((((+AQ83-U83)/U83)/5),4)</f>
        <v>5.3800000000000001E-2</v>
      </c>
      <c r="AT83" s="1168">
        <f>ROUND((((+AQ83-F83)/F83)/10),4)</f>
        <v>5.0900000000000001E-2</v>
      </c>
      <c r="AV83" s="1151">
        <f t="shared" ref="AV83:AZ83" si="292">SUM(AV79:AV82)</f>
        <v>2212061</v>
      </c>
      <c r="AW83" s="1151">
        <f t="shared" si="292"/>
        <v>2299904</v>
      </c>
      <c r="AX83" s="1151">
        <f t="shared" si="292"/>
        <v>2391273</v>
      </c>
      <c r="AY83" s="1151">
        <f t="shared" si="292"/>
        <v>2486312</v>
      </c>
      <c r="AZ83" s="1151">
        <f t="shared" si="292"/>
        <v>2585173</v>
      </c>
    </row>
    <row r="84" spans="1:54" x14ac:dyDescent="0.3">
      <c r="AL84" s="1151"/>
      <c r="AQ84" s="1151"/>
      <c r="AR84" s="1151"/>
    </row>
    <row r="85" spans="1:54" x14ac:dyDescent="0.3">
      <c r="A85" s="954" t="s">
        <v>532</v>
      </c>
      <c r="AL85" s="1151"/>
      <c r="AQ85" s="1151"/>
      <c r="AR85" s="1151"/>
    </row>
    <row r="86" spans="1:54" x14ac:dyDescent="0.3">
      <c r="B86" s="947" t="s">
        <v>2218</v>
      </c>
      <c r="C86" s="1146">
        <f>+'212 Dispatch'!C19</f>
        <v>218518.88</v>
      </c>
      <c r="D86" s="1146">
        <f>+'212 Dispatch'!D19</f>
        <v>244622.25000000003</v>
      </c>
      <c r="E86" s="1168">
        <f t="shared" ref="E86:E88" si="293">ROUND(((+D86-C86)/C86),4)</f>
        <v>0.1195</v>
      </c>
      <c r="F86" s="1151">
        <v>247003</v>
      </c>
      <c r="G86" s="1146">
        <f>+'212 Dispatch'!E19</f>
        <v>257676.59</v>
      </c>
      <c r="H86" s="1168">
        <f t="shared" ref="H86:H88" si="294">ROUND(((+G86-D86)/D86),4)</f>
        <v>5.3400000000000003E-2</v>
      </c>
      <c r="I86" s="1151">
        <v>266691</v>
      </c>
      <c r="J86" s="1146">
        <f>+'212 Dispatch'!F19</f>
        <v>255951.24</v>
      </c>
      <c r="K86" s="1168">
        <f>ROUND(((+J86-G86)/G86),4)</f>
        <v>-6.7000000000000002E-3</v>
      </c>
      <c r="L86" s="1151">
        <v>268953</v>
      </c>
      <c r="M86" s="1146">
        <f>+'212 Dispatch'!G19</f>
        <v>263268.11000000004</v>
      </c>
      <c r="N86" s="1168">
        <f>ROUND(((+M86-J86)/J86),4)</f>
        <v>2.86E-2</v>
      </c>
      <c r="O86" s="1151">
        <v>277358</v>
      </c>
      <c r="P86" s="1146">
        <f>+'212 Dispatch'!H19</f>
        <v>292997.84000000003</v>
      </c>
      <c r="Q86" s="1168">
        <f>ROUND(((+P86-M86)/M86),4)</f>
        <v>0.1129</v>
      </c>
      <c r="R86" s="1151">
        <v>287792</v>
      </c>
      <c r="S86" s="1146">
        <f>+'212 Dispatch'!I19</f>
        <v>295344.17999999993</v>
      </c>
      <c r="T86" s="1168">
        <f>ROUND(((+S86-P86)/P86),4)</f>
        <v>8.0000000000000002E-3</v>
      </c>
      <c r="U86" s="1151">
        <v>297255</v>
      </c>
      <c r="V86" s="1146">
        <f>+'212 Dispatch'!J19</f>
        <v>307782.53999999992</v>
      </c>
      <c r="W86" s="1168">
        <f>ROUND(((+V86-S86)/S86),4)</f>
        <v>4.2099999999999999E-2</v>
      </c>
      <c r="X86" s="1151">
        <f>+'212 Dispatch'!K19</f>
        <v>303584</v>
      </c>
      <c r="Y86" s="1146">
        <f>+'212 Dispatch'!L19</f>
        <v>285712</v>
      </c>
      <c r="Z86" s="1187">
        <f t="shared" ref="Z86:Z88" si="295">ROUND(((+Y86-V86)/V86),4)</f>
        <v>-7.17E-2</v>
      </c>
      <c r="AA86" s="1153">
        <f>+'212 Dispatch'!M19</f>
        <v>302691</v>
      </c>
      <c r="AB86" s="1187">
        <f t="shared" ref="AB86:AB88" si="296">ROUND(((+AA86-X86)/X86),4)</f>
        <v>-2.8999999999999998E-3</v>
      </c>
      <c r="AC86" s="1149">
        <f>+'212 Dispatch'!N19</f>
        <v>327793.81999999995</v>
      </c>
      <c r="AD86" s="1187">
        <f t="shared" ref="AD86:AD88" si="297">ROUND(((+AC86-Y86)/Y86),4)</f>
        <v>0.14729999999999999</v>
      </c>
      <c r="AE86" s="1153">
        <f>+'212 Dispatch'!O19</f>
        <v>370262</v>
      </c>
      <c r="AF86" s="1187">
        <f t="shared" ref="AF86:AF88" si="298">ROUND(((+AE86-AA86)/AA86),4)</f>
        <v>0.22320000000000001</v>
      </c>
      <c r="AG86" s="1146">
        <f>+'212 Dispatch'!P19</f>
        <v>371625.66999999993</v>
      </c>
      <c r="AH86" s="1187">
        <f t="shared" ref="AH86:AH88" si="299">ROUND(((+AG86-AC86)/AC86),4)</f>
        <v>0.13370000000000001</v>
      </c>
      <c r="AI86" s="1187"/>
      <c r="AJ86" s="1187"/>
      <c r="AK86" s="1151">
        <f>+'212 Dispatch'!Q19</f>
        <v>394088</v>
      </c>
      <c r="AL86" s="1187">
        <f t="shared" ref="AL86:AL88" si="300">ROUND(((+AK86-AE86)/AE86),4)</f>
        <v>6.4299999999999996E-2</v>
      </c>
      <c r="AM86" s="1146">
        <f>+'212 Dispatch'!R19</f>
        <v>180635.1</v>
      </c>
      <c r="AN86" s="1187">
        <f t="shared" ref="AN86:AN88" si="301">ROUND(((+AM86-AG86)/AG86),4)</f>
        <v>-0.51390000000000002</v>
      </c>
      <c r="AO86" s="1187"/>
      <c r="AP86" s="1187"/>
      <c r="AQ86" s="1151">
        <f>+'212 Dispatch'!S19</f>
        <v>409168.26</v>
      </c>
      <c r="AR86" s="1187">
        <f t="shared" ref="AR86:AR88" si="302">ROUND(((+AQ86-AK86)/AK86),4)</f>
        <v>3.8300000000000001E-2</v>
      </c>
      <c r="AS86" s="1168">
        <f t="shared" ref="AS86:AS87" si="303">ROUND((((+AQ86-U86)/U86)/5),4)</f>
        <v>7.5300000000000006E-2</v>
      </c>
      <c r="AT86" s="1168">
        <f t="shared" ref="AT86:AT87" si="304">ROUND((((+AQ86-F86)/F86)/10),4)</f>
        <v>6.5699999999999995E-2</v>
      </c>
      <c r="AV86" s="1151">
        <f>ROUND((+AQ86*(1.056)),0)</f>
        <v>432082</v>
      </c>
      <c r="AW86" s="1151">
        <f>ROUND((+AV86*(1.056)),0)</f>
        <v>456279</v>
      </c>
      <c r="AX86" s="1151">
        <f>ROUND((+AW86*(1.05)),0)</f>
        <v>479093</v>
      </c>
      <c r="AY86" s="1151">
        <f>ROUND((+AX86*(1.056)),0)</f>
        <v>505922</v>
      </c>
      <c r="AZ86" s="1151">
        <f>ROUND((+AY86*(1.056)),0)</f>
        <v>534254</v>
      </c>
      <c r="BA86" s="1214">
        <v>5.6000000000000001E-2</v>
      </c>
    </row>
    <row r="87" spans="1:54" x14ac:dyDescent="0.3">
      <c r="B87" s="947" t="s">
        <v>1869</v>
      </c>
      <c r="C87" s="1148">
        <f>+'212 Dispatch'!C24</f>
        <v>1311.49</v>
      </c>
      <c r="D87" s="1148">
        <f>+'212 Dispatch'!D24</f>
        <v>2444.5099999999998</v>
      </c>
      <c r="E87" s="1172">
        <f t="shared" si="293"/>
        <v>0.8639</v>
      </c>
      <c r="F87" s="1152">
        <v>3700</v>
      </c>
      <c r="G87" s="1148">
        <f>+'212 Dispatch'!E24</f>
        <v>3339.0299999999997</v>
      </c>
      <c r="H87" s="1172">
        <f t="shared" si="294"/>
        <v>0.3659</v>
      </c>
      <c r="I87" s="1152">
        <v>9000</v>
      </c>
      <c r="J87" s="1148">
        <f>+'212 Dispatch'!F24</f>
        <v>5144.28</v>
      </c>
      <c r="K87" s="1172">
        <f>ROUND(((+J87-G87)/G87),4)</f>
        <v>0.54069999999999996</v>
      </c>
      <c r="L87" s="1152">
        <v>9000</v>
      </c>
      <c r="M87" s="1148">
        <f>+'212 Dispatch'!G24</f>
        <v>4993.7700000000004</v>
      </c>
      <c r="N87" s="1172">
        <f>ROUND(((+M87-J87)/J87),4)</f>
        <v>-2.93E-2</v>
      </c>
      <c r="O87" s="1152">
        <v>9000</v>
      </c>
      <c r="P87" s="1148">
        <f>+'212 Dispatch'!H24</f>
        <v>4262.2299999999996</v>
      </c>
      <c r="Q87" s="1172">
        <f>ROUND(((+P87-M87)/M87),4)</f>
        <v>-0.14649999999999999</v>
      </c>
      <c r="R87" s="1152">
        <v>8000</v>
      </c>
      <c r="S87" s="1148">
        <f>+'212 Dispatch'!I24</f>
        <v>4364.58</v>
      </c>
      <c r="T87" s="1172">
        <f>ROUND(((+S87-P87)/P87),4)</f>
        <v>2.4E-2</v>
      </c>
      <c r="U87" s="1152">
        <v>8000</v>
      </c>
      <c r="V87" s="1148">
        <f>+'212 Dispatch'!J24</f>
        <v>5296.52</v>
      </c>
      <c r="W87" s="1172">
        <f>ROUND(((+V87-S87)/S87),4)</f>
        <v>0.2135</v>
      </c>
      <c r="X87" s="1152">
        <f>+'212 Dispatch'!K24</f>
        <v>8000</v>
      </c>
      <c r="Y87" s="1148">
        <f>+'212 Dispatch'!L24</f>
        <v>524</v>
      </c>
      <c r="Z87" s="1172">
        <f t="shared" si="295"/>
        <v>-0.90110000000000001</v>
      </c>
      <c r="AA87" s="1152">
        <f>+'212 Dispatch'!M24</f>
        <v>7600</v>
      </c>
      <c r="AB87" s="1172">
        <f t="shared" si="296"/>
        <v>-0.05</v>
      </c>
      <c r="AC87" s="1148">
        <f>+'212 Dispatch'!N24</f>
        <v>970.66</v>
      </c>
      <c r="AD87" s="1172">
        <f t="shared" si="297"/>
        <v>0.85240000000000005</v>
      </c>
      <c r="AE87" s="1152">
        <f>+'212 Dispatch'!O24</f>
        <v>7600</v>
      </c>
      <c r="AF87" s="1172">
        <f t="shared" si="298"/>
        <v>0</v>
      </c>
      <c r="AG87" s="1148">
        <f>+'212 Dispatch'!P24</f>
        <v>634.54</v>
      </c>
      <c r="AH87" s="1172">
        <f t="shared" si="299"/>
        <v>-0.3463</v>
      </c>
      <c r="AI87" s="1172"/>
      <c r="AJ87" s="1172"/>
      <c r="AK87" s="1152">
        <f>+'212 Dispatch'!Q24</f>
        <v>1500</v>
      </c>
      <c r="AL87" s="1172">
        <f t="shared" si="300"/>
        <v>-0.80259999999999998</v>
      </c>
      <c r="AM87" s="1148">
        <f>+'212 Dispatch'!R24</f>
        <v>0</v>
      </c>
      <c r="AN87" s="1172">
        <f t="shared" si="301"/>
        <v>-1</v>
      </c>
      <c r="AO87" s="1172"/>
      <c r="AP87" s="1172"/>
      <c r="AQ87" s="1152">
        <f>+'212 Dispatch'!S24</f>
        <v>1600</v>
      </c>
      <c r="AR87" s="1172">
        <f t="shared" si="302"/>
        <v>6.6699999999999995E-2</v>
      </c>
      <c r="AS87" s="1172">
        <f t="shared" si="303"/>
        <v>-0.16</v>
      </c>
      <c r="AT87" s="1172">
        <f t="shared" si="304"/>
        <v>-5.6800000000000003E-2</v>
      </c>
      <c r="AV87" s="1152">
        <f>ROUND((+AQ87*(1.02)),0)</f>
        <v>1632</v>
      </c>
      <c r="AW87" s="1152">
        <f>ROUND((+AV87*(1.02)),0)</f>
        <v>1665</v>
      </c>
      <c r="AX87" s="1152">
        <f>ROUND((+AW87*(1.02)),0)</f>
        <v>1698</v>
      </c>
      <c r="AY87" s="1152">
        <f>ROUND((+AX87*(1.02)),0)</f>
        <v>1732</v>
      </c>
      <c r="AZ87" s="1152">
        <f>ROUND((+AY87*(1.02)),0)</f>
        <v>1767</v>
      </c>
      <c r="BA87" s="1214">
        <v>0.02</v>
      </c>
    </row>
    <row r="88" spans="1:54" x14ac:dyDescent="0.3">
      <c r="B88" s="947" t="s">
        <v>887</v>
      </c>
      <c r="C88" s="1146">
        <f>SUM(C85:C87)</f>
        <v>219830.37</v>
      </c>
      <c r="D88" s="1146">
        <f t="shared" ref="D88:AQ88" si="305">SUM(D85:D87)</f>
        <v>247066.76000000004</v>
      </c>
      <c r="E88" s="1168">
        <f t="shared" si="293"/>
        <v>0.1239</v>
      </c>
      <c r="F88" s="1151">
        <f t="shared" si="305"/>
        <v>250703</v>
      </c>
      <c r="G88" s="1146">
        <f t="shared" si="305"/>
        <v>261015.62</v>
      </c>
      <c r="H88" s="1168">
        <f t="shared" si="294"/>
        <v>5.6500000000000002E-2</v>
      </c>
      <c r="I88" s="1151">
        <f t="shared" si="305"/>
        <v>275691</v>
      </c>
      <c r="J88" s="1146">
        <f t="shared" si="305"/>
        <v>261095.52</v>
      </c>
      <c r="K88" s="1168">
        <f>ROUND(((+J88-G88)/G88),4)</f>
        <v>2.9999999999999997E-4</v>
      </c>
      <c r="L88" s="1151">
        <f t="shared" si="305"/>
        <v>277953</v>
      </c>
      <c r="M88" s="1146">
        <f t="shared" si="305"/>
        <v>268261.88000000006</v>
      </c>
      <c r="N88" s="1168">
        <f>ROUND(((+M88-J88)/J88),4)</f>
        <v>2.7400000000000001E-2</v>
      </c>
      <c r="O88" s="1151">
        <f t="shared" si="305"/>
        <v>286358</v>
      </c>
      <c r="P88" s="1146">
        <f t="shared" si="305"/>
        <v>297260.07</v>
      </c>
      <c r="Q88" s="1168">
        <f>ROUND(((+P88-M88)/M88),4)</f>
        <v>0.1081</v>
      </c>
      <c r="R88" s="1151">
        <f t="shared" si="305"/>
        <v>295792</v>
      </c>
      <c r="S88" s="1146">
        <f t="shared" si="305"/>
        <v>299708.75999999995</v>
      </c>
      <c r="T88" s="1168">
        <f>ROUND(((+S88-P88)/P88),4)</f>
        <v>8.2000000000000007E-3</v>
      </c>
      <c r="U88" s="1151">
        <f t="shared" si="305"/>
        <v>305255</v>
      </c>
      <c r="V88" s="1146">
        <f t="shared" si="305"/>
        <v>313079.05999999994</v>
      </c>
      <c r="W88" s="1168">
        <f>ROUND(((+V88-S88)/S88),4)</f>
        <v>4.4600000000000001E-2</v>
      </c>
      <c r="X88" s="1151">
        <f t="shared" si="305"/>
        <v>311584</v>
      </c>
      <c r="Y88" s="1146">
        <f t="shared" si="305"/>
        <v>286236</v>
      </c>
      <c r="Z88" s="1168">
        <f t="shared" si="295"/>
        <v>-8.5699999999999998E-2</v>
      </c>
      <c r="AA88" s="1151">
        <f t="shared" si="305"/>
        <v>310291</v>
      </c>
      <c r="AB88" s="1168">
        <f t="shared" si="296"/>
        <v>-4.1000000000000003E-3</v>
      </c>
      <c r="AC88" s="1146">
        <f t="shared" si="305"/>
        <v>328764.47999999992</v>
      </c>
      <c r="AD88" s="1168">
        <f t="shared" si="297"/>
        <v>0.14860000000000001</v>
      </c>
      <c r="AE88" s="1151">
        <f t="shared" si="305"/>
        <v>377862</v>
      </c>
      <c r="AF88" s="1168">
        <f t="shared" si="298"/>
        <v>0.21779999999999999</v>
      </c>
      <c r="AG88" s="1146">
        <f t="shared" si="305"/>
        <v>372260.2099999999</v>
      </c>
      <c r="AH88" s="1168">
        <f t="shared" si="299"/>
        <v>0.1323</v>
      </c>
      <c r="AI88" s="1168"/>
      <c r="AJ88" s="1168"/>
      <c r="AK88" s="1151">
        <f t="shared" si="305"/>
        <v>395588</v>
      </c>
      <c r="AL88" s="1168">
        <f t="shared" si="300"/>
        <v>4.6899999999999997E-2</v>
      </c>
      <c r="AM88" s="1146">
        <f t="shared" si="305"/>
        <v>180635.1</v>
      </c>
      <c r="AN88" s="1168">
        <f t="shared" si="301"/>
        <v>-0.51480000000000004</v>
      </c>
      <c r="AO88" s="1168"/>
      <c r="AP88" s="1168"/>
      <c r="AQ88" s="1151">
        <f t="shared" si="305"/>
        <v>410768.26</v>
      </c>
      <c r="AR88" s="1168">
        <f t="shared" si="302"/>
        <v>3.8399999999999997E-2</v>
      </c>
      <c r="AS88" s="1168">
        <f>ROUND((((+AQ88-U88)/U88)/5),4)</f>
        <v>6.9099999999999995E-2</v>
      </c>
      <c r="AT88" s="1168">
        <f>ROUND((((+AQ88-F88)/F88)/10),4)</f>
        <v>6.3799999999999996E-2</v>
      </c>
      <c r="AV88" s="1151">
        <f t="shared" ref="AV88:AZ88" si="306">SUM(AV85:AV87)</f>
        <v>433714</v>
      </c>
      <c r="AW88" s="1151">
        <f t="shared" si="306"/>
        <v>457944</v>
      </c>
      <c r="AX88" s="1151">
        <f t="shared" si="306"/>
        <v>480791</v>
      </c>
      <c r="AY88" s="1151">
        <f t="shared" si="306"/>
        <v>507654</v>
      </c>
      <c r="AZ88" s="1151">
        <f t="shared" si="306"/>
        <v>536021</v>
      </c>
    </row>
    <row r="89" spans="1:54" x14ac:dyDescent="0.3">
      <c r="AL89" s="1151"/>
      <c r="AQ89" s="1151"/>
      <c r="AR89" s="1151"/>
    </row>
    <row r="90" spans="1:54" x14ac:dyDescent="0.3">
      <c r="A90" s="954" t="s">
        <v>533</v>
      </c>
      <c r="AL90" s="1151"/>
      <c r="AQ90" s="1151"/>
      <c r="AR90" s="1151"/>
    </row>
    <row r="91" spans="1:54" x14ac:dyDescent="0.3">
      <c r="B91" s="947" t="s">
        <v>2218</v>
      </c>
      <c r="C91" s="1146">
        <f>+'241 Bldg'!C20</f>
        <v>108252.38</v>
      </c>
      <c r="D91" s="1146">
        <f>+'241 Bldg'!D20</f>
        <v>110391.57999999999</v>
      </c>
      <c r="E91" s="1168">
        <f t="shared" ref="E91:E93" si="307">ROUND(((+D91-C91)/C91),4)</f>
        <v>1.9800000000000002E-2</v>
      </c>
      <c r="F91" s="1151">
        <v>117823</v>
      </c>
      <c r="G91" s="1146">
        <f>+'241 Bldg'!E20</f>
        <v>114804.45999999999</v>
      </c>
      <c r="H91" s="1168">
        <f t="shared" ref="H91:H93" si="308">ROUND(((+G91-D91)/D91),4)</f>
        <v>0.04</v>
      </c>
      <c r="I91" s="1151">
        <v>120844</v>
      </c>
      <c r="J91" s="1146">
        <f>+'241 Bldg'!F20</f>
        <v>120124.51</v>
      </c>
      <c r="K91" s="1168">
        <f>ROUND(((+J91-G91)/G91),4)</f>
        <v>4.6300000000000001E-2</v>
      </c>
      <c r="L91" s="1151">
        <v>123356</v>
      </c>
      <c r="M91" s="1146">
        <f>+'241 Bldg'!G20</f>
        <v>120621.04</v>
      </c>
      <c r="N91" s="1168">
        <f>ROUND(((+M91-J91)/J91),4)</f>
        <v>4.1000000000000003E-3</v>
      </c>
      <c r="O91" s="1151">
        <v>126089</v>
      </c>
      <c r="P91" s="1146">
        <f>+'241 Bldg'!H20</f>
        <v>133515.22</v>
      </c>
      <c r="Q91" s="1168">
        <f>ROUND(((+P91-M91)/M91),4)</f>
        <v>0.1069</v>
      </c>
      <c r="R91" s="1151">
        <v>124798</v>
      </c>
      <c r="S91" s="1146">
        <f>+'241 Bldg'!I20</f>
        <v>118988.59</v>
      </c>
      <c r="T91" s="1168">
        <f>ROUND(((+S91-P91)/P91),4)</f>
        <v>-0.10879999999999999</v>
      </c>
      <c r="U91" s="1151">
        <v>127577</v>
      </c>
      <c r="V91" s="1146">
        <f>+'241 Bldg'!J20</f>
        <v>124793.76</v>
      </c>
      <c r="W91" s="1168">
        <f>ROUND(((+V91-S91)/S91),4)</f>
        <v>4.8800000000000003E-2</v>
      </c>
      <c r="X91" s="1151">
        <f>+'241 Bldg'!K20</f>
        <v>132474</v>
      </c>
      <c r="Y91" s="1146">
        <f>+'241 Bldg'!L20</f>
        <v>132558.48000000001</v>
      </c>
      <c r="Z91" s="1168">
        <f t="shared" ref="Z91:Z93" si="309">ROUND(((+Y91-V91)/V91),4)</f>
        <v>6.2199999999999998E-2</v>
      </c>
      <c r="AA91" s="1151">
        <f>+'241 Bldg'!M20</f>
        <v>134810</v>
      </c>
      <c r="AB91" s="1168">
        <f t="shared" ref="AB91:AB93" si="310">ROUND(((+AA91-X91)/X91),4)</f>
        <v>1.7600000000000001E-2</v>
      </c>
      <c r="AC91" s="1146">
        <f>+'241 Bldg'!N20</f>
        <v>116271.08999999998</v>
      </c>
      <c r="AD91" s="1168">
        <f t="shared" ref="AD91:AD93" si="311">ROUND(((+AC91-Y91)/Y91),4)</f>
        <v>-0.1229</v>
      </c>
      <c r="AE91" s="1151">
        <f>+'241 Bldg'!O20</f>
        <v>130396</v>
      </c>
      <c r="AF91" s="1168">
        <f t="shared" ref="AF91:AF93" si="312">ROUND(((+AE91-AA91)/AA91),4)</f>
        <v>-3.27E-2</v>
      </c>
      <c r="AG91" s="1146">
        <f>+'241 Bldg'!P20</f>
        <v>124296.34</v>
      </c>
      <c r="AH91" s="1168">
        <f t="shared" ref="AH91:AH93" si="313">ROUND(((+AG91-AC91)/AC91),4)</f>
        <v>6.9000000000000006E-2</v>
      </c>
      <c r="AI91" s="1168"/>
      <c r="AJ91" s="1168"/>
      <c r="AK91" s="1151">
        <f>+'241 Bldg'!Q20</f>
        <v>137351</v>
      </c>
      <c r="AL91" s="1168">
        <f t="shared" ref="AL91:AL93" si="314">ROUND(((+AK91-AE91)/AE91),4)</f>
        <v>5.33E-2</v>
      </c>
      <c r="AM91" s="1146">
        <f>+'241 Bldg'!R20</f>
        <v>59640.5</v>
      </c>
      <c r="AN91" s="1168">
        <f t="shared" ref="AN91:AN93" si="315">ROUND(((+AM91-AG91)/AG91),4)</f>
        <v>-0.5202</v>
      </c>
      <c r="AO91" s="1168"/>
      <c r="AP91" s="1168"/>
      <c r="AQ91" s="1151">
        <f>+'241 Bldg'!S20</f>
        <v>142312</v>
      </c>
      <c r="AR91" s="1168">
        <f t="shared" ref="AR91:AR93" si="316">ROUND(((+AQ91-AK91)/AK91),4)</f>
        <v>3.61E-2</v>
      </c>
      <c r="AS91" s="1168">
        <f t="shared" ref="AS91:AS92" si="317">ROUND((((+AQ91-U91)/U91)/5),4)</f>
        <v>2.3099999999999999E-2</v>
      </c>
      <c r="AT91" s="1168">
        <f t="shared" ref="AT91:AT92" si="318">ROUND((((+AQ91-F91)/F91)/10),4)</f>
        <v>2.0799999999999999E-2</v>
      </c>
      <c r="AV91" s="1151">
        <f t="shared" ref="AV91" si="319">ROUND((+AQ91*(1+AT91)),0)</f>
        <v>145272</v>
      </c>
      <c r="AW91" s="1151">
        <f t="shared" ref="AW91" si="320">ROUND((+AV91*(1+AT91)),0)</f>
        <v>148294</v>
      </c>
      <c r="AX91" s="1151">
        <f t="shared" ref="AX91" si="321">ROUND((+AW91*(1+AT91)),0)</f>
        <v>151379</v>
      </c>
      <c r="AY91" s="1151">
        <f t="shared" ref="AY91" si="322">ROUND((+AX91*(1+AT91)),0)</f>
        <v>154528</v>
      </c>
      <c r="AZ91" s="1151">
        <f t="shared" ref="AZ91" si="323">ROUND((+AY91*(1+AT91)),0)</f>
        <v>157742</v>
      </c>
    </row>
    <row r="92" spans="1:54" x14ac:dyDescent="0.3">
      <c r="B92" s="947" t="s">
        <v>1869</v>
      </c>
      <c r="C92" s="1148">
        <f>+'241 Bldg'!C33</f>
        <v>3472.99</v>
      </c>
      <c r="D92" s="1148">
        <f>+'241 Bldg'!D33</f>
        <v>4072.04</v>
      </c>
      <c r="E92" s="1172">
        <f t="shared" si="307"/>
        <v>0.17249999999999999</v>
      </c>
      <c r="F92" s="1152">
        <v>4415</v>
      </c>
      <c r="G92" s="1148">
        <f>+'241 Bldg'!E33</f>
        <v>3533.1</v>
      </c>
      <c r="H92" s="1172">
        <f t="shared" si="308"/>
        <v>-0.13239999999999999</v>
      </c>
      <c r="I92" s="1152">
        <v>4540</v>
      </c>
      <c r="J92" s="1148">
        <f>+'241 Bldg'!F33</f>
        <v>3390.52</v>
      </c>
      <c r="K92" s="1172">
        <f>ROUND(((+J92-G92)/G92),4)</f>
        <v>-4.0399999999999998E-2</v>
      </c>
      <c r="L92" s="1152">
        <v>3740</v>
      </c>
      <c r="M92" s="1148">
        <f>+'241 Bldg'!G33</f>
        <v>3570.87</v>
      </c>
      <c r="N92" s="1172">
        <f>ROUND(((+M92-J92)/J92),4)</f>
        <v>5.3199999999999997E-2</v>
      </c>
      <c r="O92" s="1152">
        <v>6350</v>
      </c>
      <c r="P92" s="1148">
        <f>+'241 Bldg'!H33</f>
        <v>8635.83</v>
      </c>
      <c r="Q92" s="1172">
        <f>ROUND(((+P92-M92)/M92),4)</f>
        <v>1.4184000000000001</v>
      </c>
      <c r="R92" s="1152">
        <v>7310</v>
      </c>
      <c r="S92" s="1148">
        <f>+'241 Bldg'!I33</f>
        <v>5230.3899999999994</v>
      </c>
      <c r="T92" s="1172">
        <f>ROUND(((+S92-P92)/P92),4)</f>
        <v>-0.39429999999999998</v>
      </c>
      <c r="U92" s="1152">
        <v>10470</v>
      </c>
      <c r="V92" s="1148">
        <f>+'241 Bldg'!J33</f>
        <v>10401.6</v>
      </c>
      <c r="W92" s="1172">
        <f>ROUND(((+V92-S92)/S92),4)</f>
        <v>0.98870000000000002</v>
      </c>
      <c r="X92" s="1152">
        <f>+'241 Bldg'!K33</f>
        <v>8970</v>
      </c>
      <c r="Y92" s="1148">
        <f>+'241 Bldg'!L33</f>
        <v>7285.29</v>
      </c>
      <c r="Z92" s="1172">
        <f t="shared" si="309"/>
        <v>-0.29959999999999998</v>
      </c>
      <c r="AA92" s="1152">
        <f>+'241 Bldg'!M33</f>
        <v>8270</v>
      </c>
      <c r="AB92" s="1172">
        <f t="shared" si="310"/>
        <v>-7.8E-2</v>
      </c>
      <c r="AC92" s="1148">
        <f>+'241 Bldg'!N33</f>
        <v>10440.469999999999</v>
      </c>
      <c r="AD92" s="1172">
        <f t="shared" si="311"/>
        <v>0.43309999999999998</v>
      </c>
      <c r="AE92" s="1152">
        <f>+'241 Bldg'!O33</f>
        <v>10270</v>
      </c>
      <c r="AF92" s="1172">
        <f t="shared" si="312"/>
        <v>0.24179999999999999</v>
      </c>
      <c r="AG92" s="1148">
        <f>+'241 Bldg'!P33</f>
        <v>9205.82</v>
      </c>
      <c r="AH92" s="1172">
        <f t="shared" si="313"/>
        <v>-0.1183</v>
      </c>
      <c r="AI92" s="1172"/>
      <c r="AJ92" s="1172"/>
      <c r="AK92" s="1152">
        <f>+'241 Bldg'!Q33</f>
        <v>11270</v>
      </c>
      <c r="AL92" s="1172">
        <f t="shared" si="314"/>
        <v>9.74E-2</v>
      </c>
      <c r="AM92" s="1148">
        <f>+'241 Bldg'!R33</f>
        <v>1231.8400000000001</v>
      </c>
      <c r="AN92" s="1172">
        <f t="shared" si="315"/>
        <v>-0.86619999999999997</v>
      </c>
      <c r="AO92" s="1172"/>
      <c r="AP92" s="1172"/>
      <c r="AQ92" s="1152">
        <f>+'241 Bldg'!S33</f>
        <v>12770</v>
      </c>
      <c r="AR92" s="1172">
        <f t="shared" si="316"/>
        <v>0.1331</v>
      </c>
      <c r="AS92" s="1172">
        <f t="shared" si="317"/>
        <v>4.3900000000000002E-2</v>
      </c>
      <c r="AT92" s="1172">
        <f t="shared" si="318"/>
        <v>0.18920000000000001</v>
      </c>
      <c r="AV92" s="1151">
        <f>ROUND((+AQ92*(1.038)),0)</f>
        <v>13255</v>
      </c>
      <c r="AW92" s="1151">
        <f>ROUND((+AV92*(1.038)),0)</f>
        <v>13759</v>
      </c>
      <c r="AX92" s="1151">
        <f>ROUND((+AW92*(1.038)),0)</f>
        <v>14282</v>
      </c>
      <c r="AY92" s="1151">
        <f>ROUND((+AX92*(1.038)),0)</f>
        <v>14825</v>
      </c>
      <c r="AZ92" s="1151">
        <f>ROUND((+AY92*(1.038)),0)</f>
        <v>15388</v>
      </c>
      <c r="BA92" s="1214">
        <v>3.7999999999999999E-2</v>
      </c>
    </row>
    <row r="93" spans="1:54" x14ac:dyDescent="0.3">
      <c r="B93" s="947" t="s">
        <v>887</v>
      </c>
      <c r="C93" s="1146">
        <f>SUM(C90:C92)</f>
        <v>111725.37000000001</v>
      </c>
      <c r="D93" s="1146">
        <f t="shared" ref="D93:AQ93" si="324">SUM(D90:D92)</f>
        <v>114463.61999999998</v>
      </c>
      <c r="E93" s="1168">
        <f t="shared" si="307"/>
        <v>2.4500000000000001E-2</v>
      </c>
      <c r="F93" s="1151">
        <f t="shared" si="324"/>
        <v>122238</v>
      </c>
      <c r="G93" s="1146">
        <f t="shared" si="324"/>
        <v>118337.56</v>
      </c>
      <c r="H93" s="1168">
        <f t="shared" si="308"/>
        <v>3.3799999999999997E-2</v>
      </c>
      <c r="I93" s="1151">
        <f t="shared" si="324"/>
        <v>125384</v>
      </c>
      <c r="J93" s="1146">
        <f t="shared" si="324"/>
        <v>123515.03</v>
      </c>
      <c r="K93" s="1168">
        <f>ROUND(((+J93-G93)/G93),4)</f>
        <v>4.3799999999999999E-2</v>
      </c>
      <c r="L93" s="1151">
        <f t="shared" si="324"/>
        <v>127096</v>
      </c>
      <c r="M93" s="1146">
        <f t="shared" si="324"/>
        <v>124191.90999999999</v>
      </c>
      <c r="N93" s="1168">
        <f>ROUND(((+M93-J93)/J93),4)</f>
        <v>5.4999999999999997E-3</v>
      </c>
      <c r="O93" s="1151">
        <f t="shared" si="324"/>
        <v>132439</v>
      </c>
      <c r="P93" s="1146">
        <f t="shared" si="324"/>
        <v>142151.04999999999</v>
      </c>
      <c r="Q93" s="1168">
        <f>ROUND(((+P93-M93)/M93),4)</f>
        <v>0.14460000000000001</v>
      </c>
      <c r="R93" s="1151">
        <f t="shared" si="324"/>
        <v>132108</v>
      </c>
      <c r="S93" s="1146">
        <f t="shared" si="324"/>
        <v>124218.98</v>
      </c>
      <c r="T93" s="1168">
        <f>ROUND(((+S93-P93)/P93),4)</f>
        <v>-0.12609999999999999</v>
      </c>
      <c r="U93" s="1151">
        <f t="shared" si="324"/>
        <v>138047</v>
      </c>
      <c r="V93" s="1146">
        <f t="shared" si="324"/>
        <v>135195.35999999999</v>
      </c>
      <c r="W93" s="1168">
        <f>ROUND(((+V93-S93)/S93),4)</f>
        <v>8.8400000000000006E-2</v>
      </c>
      <c r="X93" s="1151">
        <f t="shared" si="324"/>
        <v>141444</v>
      </c>
      <c r="Y93" s="1146">
        <f t="shared" si="324"/>
        <v>139843.77000000002</v>
      </c>
      <c r="Z93" s="1168">
        <f t="shared" si="309"/>
        <v>3.44E-2</v>
      </c>
      <c r="AA93" s="1151">
        <f t="shared" si="324"/>
        <v>143080</v>
      </c>
      <c r="AB93" s="1168">
        <f t="shared" si="310"/>
        <v>1.1599999999999999E-2</v>
      </c>
      <c r="AC93" s="1146">
        <f t="shared" si="324"/>
        <v>126711.55999999998</v>
      </c>
      <c r="AD93" s="1168">
        <f t="shared" si="311"/>
        <v>-9.3899999999999997E-2</v>
      </c>
      <c r="AE93" s="1151">
        <f t="shared" si="324"/>
        <v>140666</v>
      </c>
      <c r="AF93" s="1168">
        <f t="shared" si="312"/>
        <v>-1.6899999999999998E-2</v>
      </c>
      <c r="AG93" s="1146">
        <f t="shared" si="324"/>
        <v>133502.16</v>
      </c>
      <c r="AH93" s="1168">
        <f t="shared" si="313"/>
        <v>5.3600000000000002E-2</v>
      </c>
      <c r="AI93" s="1168"/>
      <c r="AJ93" s="1168"/>
      <c r="AK93" s="1151">
        <f t="shared" si="324"/>
        <v>148621</v>
      </c>
      <c r="AL93" s="1168">
        <f t="shared" si="314"/>
        <v>5.6599999999999998E-2</v>
      </c>
      <c r="AM93" s="1146">
        <f t="shared" si="324"/>
        <v>60872.34</v>
      </c>
      <c r="AN93" s="1168">
        <f t="shared" si="315"/>
        <v>-0.54400000000000004</v>
      </c>
      <c r="AO93" s="1168"/>
      <c r="AP93" s="1168"/>
      <c r="AQ93" s="1151">
        <f t="shared" si="324"/>
        <v>155082</v>
      </c>
      <c r="AR93" s="1168">
        <f t="shared" si="316"/>
        <v>4.3499999999999997E-2</v>
      </c>
      <c r="AS93" s="1168">
        <f>ROUND((((+AQ93-U93)/U93)/5),4)</f>
        <v>2.47E-2</v>
      </c>
      <c r="AT93" s="1168">
        <f>ROUND((((+AQ93-F93)/F93)/10),4)</f>
        <v>2.69E-2</v>
      </c>
      <c r="AV93" s="1151">
        <f t="shared" ref="AV93:AZ93" si="325">SUM(AV90:AV92)</f>
        <v>158527</v>
      </c>
      <c r="AW93" s="1151">
        <f t="shared" si="325"/>
        <v>162053</v>
      </c>
      <c r="AX93" s="1151">
        <f t="shared" si="325"/>
        <v>165661</v>
      </c>
      <c r="AY93" s="1151">
        <f t="shared" si="325"/>
        <v>169353</v>
      </c>
      <c r="AZ93" s="1151">
        <f t="shared" si="325"/>
        <v>173130</v>
      </c>
    </row>
    <row r="94" spans="1:54" x14ac:dyDescent="0.3">
      <c r="AL94" s="1151"/>
      <c r="AQ94" s="1151"/>
      <c r="AR94" s="1151"/>
    </row>
    <row r="95" spans="1:54" x14ac:dyDescent="0.3">
      <c r="A95" s="954" t="s">
        <v>534</v>
      </c>
      <c r="AL95" s="1151"/>
      <c r="AQ95" s="1151"/>
      <c r="AR95" s="1151"/>
    </row>
    <row r="96" spans="1:54" x14ac:dyDescent="0.3">
      <c r="B96" s="947" t="s">
        <v>1869</v>
      </c>
      <c r="C96" s="1148">
        <f>+'244 Sealer'!C10</f>
        <v>2750</v>
      </c>
      <c r="D96" s="1148">
        <f>+'244 Sealer'!D10</f>
        <v>2750</v>
      </c>
      <c r="E96" s="1172">
        <f t="shared" ref="E96:E97" si="326">ROUND(((+D96-C96)/C96),4)</f>
        <v>0</v>
      </c>
      <c r="F96" s="1152">
        <v>2570</v>
      </c>
      <c r="G96" s="1148">
        <f>+'244 Sealer'!E10</f>
        <v>2750</v>
      </c>
      <c r="H96" s="1172">
        <f t="shared" ref="H96:H97" si="327">ROUND(((+G96-D96)/D96),4)</f>
        <v>0</v>
      </c>
      <c r="I96" s="1152">
        <v>2570</v>
      </c>
      <c r="J96" s="1148">
        <f>+'244 Sealer'!F10</f>
        <v>2750</v>
      </c>
      <c r="K96" s="1172">
        <f>ROUND(((+J96-G96)/G96),4)</f>
        <v>0</v>
      </c>
      <c r="L96" s="1152">
        <v>2570</v>
      </c>
      <c r="M96" s="1148">
        <f>+'244 Sealer'!G10</f>
        <v>2750</v>
      </c>
      <c r="N96" s="1172">
        <f>ROUND(((+M96-J96)/J96),4)</f>
        <v>0</v>
      </c>
      <c r="O96" s="1152">
        <v>2570</v>
      </c>
      <c r="P96" s="1148">
        <f>+'244 Sealer'!H10</f>
        <v>2750</v>
      </c>
      <c r="Q96" s="1172">
        <f>ROUND(((+P96-M96)/M96),4)</f>
        <v>0</v>
      </c>
      <c r="R96" s="1152">
        <v>2570</v>
      </c>
      <c r="S96" s="1148">
        <f>+'244 Sealer'!I10</f>
        <v>2750</v>
      </c>
      <c r="T96" s="1172">
        <f>ROUND(((+S96-P96)/P96),4)</f>
        <v>0</v>
      </c>
      <c r="U96" s="1152">
        <v>2570</v>
      </c>
      <c r="V96" s="1148">
        <f>+'244 Sealer'!J10</f>
        <v>2750</v>
      </c>
      <c r="W96" s="1172">
        <f>ROUND(((+V96-S96)/S96),4)</f>
        <v>0</v>
      </c>
      <c r="X96" s="1152">
        <f>+'244 Sealer'!K10</f>
        <v>2750</v>
      </c>
      <c r="Y96" s="1148">
        <f>+'244 Sealer'!L10</f>
        <v>2750</v>
      </c>
      <c r="Z96" s="1172">
        <f t="shared" ref="Z96:Z97" si="328">ROUND(((+Y96-V96)/V96),4)</f>
        <v>0</v>
      </c>
      <c r="AA96" s="1152">
        <f>+'244 Sealer'!M10</f>
        <v>2750</v>
      </c>
      <c r="AB96" s="1172">
        <f t="shared" ref="AB96:AB97" si="329">ROUND(((+AA96-X96)/X96),4)</f>
        <v>0</v>
      </c>
      <c r="AC96" s="1148">
        <f>+'244 Sealer'!N10</f>
        <v>2750</v>
      </c>
      <c r="AD96" s="1172">
        <f t="shared" ref="AD96:AD97" si="330">ROUND(((+AC96-Y96)/Y96),4)</f>
        <v>0</v>
      </c>
      <c r="AE96" s="1152">
        <f>+'244 Sealer'!O10</f>
        <v>7182</v>
      </c>
      <c r="AF96" s="1172">
        <f t="shared" ref="AF96:AF97" si="331">ROUND(((+AE96-AA96)/AA96),4)</f>
        <v>1.6115999999999999</v>
      </c>
      <c r="AG96" s="1148">
        <f>+'244 Sealer'!P10</f>
        <v>2750</v>
      </c>
      <c r="AH96" s="1172">
        <f t="shared" ref="AH96:AH97" si="332">ROUND(((+AG96-AC96)/AC96),4)</f>
        <v>0</v>
      </c>
      <c r="AI96" s="1172"/>
      <c r="AJ96" s="1172"/>
      <c r="AK96" s="1152">
        <f>+'244 Sealer'!Q10</f>
        <v>7182</v>
      </c>
      <c r="AL96" s="1172">
        <f t="shared" ref="AL96:AL97" si="333">ROUND(((+AK96-AE96)/AE96),4)</f>
        <v>0</v>
      </c>
      <c r="AM96" s="1148">
        <f>+'244 Sealer'!R10</f>
        <v>0</v>
      </c>
      <c r="AN96" s="1172">
        <f t="shared" ref="AN96:AN97" si="334">ROUND(((+AM96-AG96)/AG96),4)</f>
        <v>-1</v>
      </c>
      <c r="AO96" s="1172"/>
      <c r="AP96" s="1172"/>
      <c r="AQ96" s="1152">
        <f>+'244 Sealer'!S10</f>
        <v>7182</v>
      </c>
      <c r="AR96" s="1172">
        <f t="shared" ref="AR96:AR97" si="335">ROUND(((+AQ96-AK96)/AK96),4)</f>
        <v>0</v>
      </c>
      <c r="AS96" s="1172">
        <f>ROUND((((+AQ96-U96)/U96)/5),4)</f>
        <v>0.3589</v>
      </c>
      <c r="AT96" s="1172">
        <f>ROUND((((+AQ96-F96)/F96)/10),4)</f>
        <v>0.17949999999999999</v>
      </c>
      <c r="AV96" s="1152">
        <f>+AQ96</f>
        <v>7182</v>
      </c>
      <c r="AW96" s="1152">
        <f>+AQ96</f>
        <v>7182</v>
      </c>
      <c r="AX96" s="1152">
        <f>+AQ96</f>
        <v>7182</v>
      </c>
      <c r="AY96" s="1152">
        <f>+AQ96</f>
        <v>7182</v>
      </c>
      <c r="AZ96" s="1152">
        <f>+AQ96</f>
        <v>7182</v>
      </c>
      <c r="BB96" s="947" t="s">
        <v>2277</v>
      </c>
    </row>
    <row r="97" spans="1:53" x14ac:dyDescent="0.3">
      <c r="B97" s="947" t="s">
        <v>887</v>
      </c>
      <c r="C97" s="1146">
        <f>SUM(C95:C96)</f>
        <v>2750</v>
      </c>
      <c r="D97" s="1146">
        <f t="shared" ref="D97:AQ97" si="336">SUM(D95:D96)</f>
        <v>2750</v>
      </c>
      <c r="E97" s="1168">
        <f t="shared" si="326"/>
        <v>0</v>
      </c>
      <c r="F97" s="1151">
        <f t="shared" si="336"/>
        <v>2570</v>
      </c>
      <c r="G97" s="1146">
        <f t="shared" si="336"/>
        <v>2750</v>
      </c>
      <c r="H97" s="1168">
        <f t="shared" si="327"/>
        <v>0</v>
      </c>
      <c r="I97" s="1151">
        <f t="shared" si="336"/>
        <v>2570</v>
      </c>
      <c r="J97" s="1146">
        <f t="shared" si="336"/>
        <v>2750</v>
      </c>
      <c r="K97" s="1168">
        <f>ROUND(((+J97-G97)/G97),4)</f>
        <v>0</v>
      </c>
      <c r="L97" s="1151">
        <f t="shared" si="336"/>
        <v>2570</v>
      </c>
      <c r="M97" s="1146">
        <f t="shared" si="336"/>
        <v>2750</v>
      </c>
      <c r="N97" s="1168">
        <f>ROUND(((+M97-J97)/J97),4)</f>
        <v>0</v>
      </c>
      <c r="O97" s="1151">
        <f t="shared" si="336"/>
        <v>2570</v>
      </c>
      <c r="P97" s="1146">
        <f t="shared" si="336"/>
        <v>2750</v>
      </c>
      <c r="Q97" s="1168">
        <f>ROUND(((+P97-M97)/M97),4)</f>
        <v>0</v>
      </c>
      <c r="S97" s="1146">
        <f t="shared" si="336"/>
        <v>2750</v>
      </c>
      <c r="T97" s="1168">
        <f>ROUND(((+S97-P97)/P97),4)</f>
        <v>0</v>
      </c>
      <c r="V97" s="1146">
        <f t="shared" si="336"/>
        <v>2750</v>
      </c>
      <c r="W97" s="1168">
        <f>ROUND(((+V97-S97)/S97),4)</f>
        <v>0</v>
      </c>
      <c r="X97" s="1151">
        <f t="shared" si="336"/>
        <v>2750</v>
      </c>
      <c r="Y97" s="1146">
        <f t="shared" si="336"/>
        <v>2750</v>
      </c>
      <c r="Z97" s="1168">
        <f t="shared" si="328"/>
        <v>0</v>
      </c>
      <c r="AA97" s="1151">
        <f t="shared" si="336"/>
        <v>2750</v>
      </c>
      <c r="AB97" s="1168">
        <f t="shared" si="329"/>
        <v>0</v>
      </c>
      <c r="AC97" s="1146">
        <f t="shared" si="336"/>
        <v>2750</v>
      </c>
      <c r="AD97" s="1168">
        <f t="shared" si="330"/>
        <v>0</v>
      </c>
      <c r="AE97" s="1151">
        <f t="shared" si="336"/>
        <v>7182</v>
      </c>
      <c r="AF97" s="1168">
        <f t="shared" si="331"/>
        <v>1.6115999999999999</v>
      </c>
      <c r="AG97" s="1146">
        <f t="shared" si="336"/>
        <v>2750</v>
      </c>
      <c r="AH97" s="1168">
        <f t="shared" si="332"/>
        <v>0</v>
      </c>
      <c r="AI97" s="1168"/>
      <c r="AJ97" s="1168"/>
      <c r="AK97" s="1151">
        <f t="shared" si="336"/>
        <v>7182</v>
      </c>
      <c r="AL97" s="1168">
        <f t="shared" si="333"/>
        <v>0</v>
      </c>
      <c r="AM97" s="1146">
        <f t="shared" si="336"/>
        <v>0</v>
      </c>
      <c r="AN97" s="1168">
        <f t="shared" si="334"/>
        <v>-1</v>
      </c>
      <c r="AO97" s="1168"/>
      <c r="AP97" s="1168"/>
      <c r="AQ97" s="1151">
        <f t="shared" si="336"/>
        <v>7182</v>
      </c>
      <c r="AR97" s="1168">
        <f t="shared" si="335"/>
        <v>0</v>
      </c>
      <c r="AS97" s="1168" t="e">
        <f>ROUND((((+AQ97-U97)/U97)/5),4)</f>
        <v>#DIV/0!</v>
      </c>
      <c r="AT97" s="1168">
        <f>ROUND((((+AQ97-F97)/F97)/10),4)</f>
        <v>0.17949999999999999</v>
      </c>
      <c r="AV97" s="1151">
        <f t="shared" ref="AV97:AZ97" si="337">SUM(AV95:AV96)</f>
        <v>7182</v>
      </c>
      <c r="AW97" s="1151">
        <f t="shared" si="337"/>
        <v>7182</v>
      </c>
      <c r="AX97" s="1151">
        <f t="shared" si="337"/>
        <v>7182</v>
      </c>
      <c r="AY97" s="1151">
        <f t="shared" si="337"/>
        <v>7182</v>
      </c>
      <c r="AZ97" s="1151">
        <f t="shared" si="337"/>
        <v>7182</v>
      </c>
    </row>
    <row r="98" spans="1:53" x14ac:dyDescent="0.3">
      <c r="AL98" s="1151"/>
      <c r="AQ98" s="1151"/>
      <c r="AR98" s="1151"/>
    </row>
    <row r="99" spans="1:53" x14ac:dyDescent="0.3">
      <c r="A99" s="954" t="s">
        <v>535</v>
      </c>
      <c r="AL99" s="1151"/>
      <c r="AQ99" s="1151"/>
      <c r="AR99" s="1151"/>
    </row>
    <row r="100" spans="1:53" x14ac:dyDescent="0.3">
      <c r="B100" s="947" t="s">
        <v>2218</v>
      </c>
      <c r="C100" s="1146">
        <f>+'291 Emergency'!C10</f>
        <v>5490</v>
      </c>
      <c r="D100" s="1146">
        <f>+'291 Emergency'!D10</f>
        <v>5490</v>
      </c>
      <c r="E100" s="1168">
        <f t="shared" ref="E100:E102" si="338">ROUND(((+D100-C100)/C100),4)</f>
        <v>0</v>
      </c>
      <c r="F100" s="1151">
        <v>5490</v>
      </c>
      <c r="G100" s="1146">
        <f>+'291 Emergency'!E10</f>
        <v>5490</v>
      </c>
      <c r="H100" s="1168">
        <f t="shared" ref="H100:H102" si="339">ROUND(((+G100-D100)/D100),4)</f>
        <v>0</v>
      </c>
      <c r="I100" s="1151">
        <v>5490</v>
      </c>
      <c r="J100" s="1146">
        <f>+'291 Emergency'!F10</f>
        <v>5490</v>
      </c>
      <c r="K100" s="1168">
        <f>ROUND(((+J100-G100)/G100),4)</f>
        <v>0</v>
      </c>
      <c r="L100" s="1151">
        <v>5490</v>
      </c>
      <c r="M100" s="1146">
        <f>+'291 Emergency'!G10</f>
        <v>5490</v>
      </c>
      <c r="N100" s="1168">
        <f>ROUND(((+M100-J100)/J100),4)</f>
        <v>0</v>
      </c>
      <c r="O100" s="1151">
        <v>5490</v>
      </c>
      <c r="P100" s="1146">
        <f>+'291 Emergency'!H10</f>
        <v>5490</v>
      </c>
      <c r="Q100" s="1168">
        <f>ROUND(((+P100-M100)/M100),4)</f>
        <v>0</v>
      </c>
      <c r="R100" s="1151">
        <v>5490</v>
      </c>
      <c r="S100" s="1146">
        <f>+'291 Emergency'!I10</f>
        <v>5490</v>
      </c>
      <c r="T100" s="1168">
        <f>ROUND(((+S100-P100)/P100),4)</f>
        <v>0</v>
      </c>
      <c r="U100" s="1151">
        <v>5765</v>
      </c>
      <c r="V100" s="1146">
        <f>+'291 Emergency'!J10</f>
        <v>5765</v>
      </c>
      <c r="W100" s="1168">
        <f>ROUND(((+V100-S100)/S100),4)</f>
        <v>5.0099999999999999E-2</v>
      </c>
      <c r="X100" s="1151">
        <f>+'291 Emergency'!K10</f>
        <v>5765</v>
      </c>
      <c r="Y100" s="1146">
        <f>+'291 Emergency'!L10</f>
        <v>5765</v>
      </c>
      <c r="Z100" s="1168">
        <f t="shared" ref="Z100:Z102" si="340">ROUND(((+Y100-V100)/V100),4)</f>
        <v>0</v>
      </c>
      <c r="AA100" s="1151">
        <f>+'291 Emergency'!M10</f>
        <v>5765</v>
      </c>
      <c r="AB100" s="1168">
        <f t="shared" ref="AB100:AB102" si="341">ROUND(((+AA100-X100)/X100),4)</f>
        <v>0</v>
      </c>
      <c r="AC100" s="1146">
        <f>+'291 Emergency'!N10</f>
        <v>5765</v>
      </c>
      <c r="AD100" s="1168">
        <f t="shared" ref="AD100:AD102" si="342">ROUND(((+AC100-Y100)/Y100),4)</f>
        <v>0</v>
      </c>
      <c r="AE100" s="1151">
        <f>+'291 Emergency'!O10</f>
        <v>5765</v>
      </c>
      <c r="AF100" s="1168">
        <f t="shared" ref="AF100:AF102" si="343">ROUND(((+AE100-AA100)/AA100),4)</f>
        <v>0</v>
      </c>
      <c r="AG100" s="1146">
        <f>+'291 Emergency'!P10</f>
        <v>5765</v>
      </c>
      <c r="AH100" s="1168">
        <f t="shared" ref="AH100:AH102" si="344">ROUND(((+AG100-AC100)/AC100),4)</f>
        <v>0</v>
      </c>
      <c r="AI100" s="1168"/>
      <c r="AJ100" s="1168"/>
      <c r="AK100" s="1151">
        <f>+'291 Emergency'!Q10</f>
        <v>5765</v>
      </c>
      <c r="AL100" s="1168">
        <f t="shared" ref="AL100:AL102" si="345">ROUND(((+AK100-AE100)/AE100),4)</f>
        <v>0</v>
      </c>
      <c r="AM100" s="1146">
        <f>+'291 Emergency'!R10</f>
        <v>2882.48</v>
      </c>
      <c r="AN100" s="1168">
        <f t="shared" ref="AN100:AN102" si="346">ROUND(((+AM100-AG100)/AG100),4)</f>
        <v>-0.5</v>
      </c>
      <c r="AO100" s="1168"/>
      <c r="AP100" s="1168"/>
      <c r="AQ100" s="1151">
        <f>+'291 Emergency'!S10</f>
        <v>6444</v>
      </c>
      <c r="AR100" s="1168">
        <f t="shared" ref="AR100:AR102" si="347">ROUND(((+AQ100-AK100)/AK100),4)</f>
        <v>0.1178</v>
      </c>
      <c r="AS100" s="1168">
        <f t="shared" ref="AS100:AS101" si="348">ROUND((((+AQ100-U100)/U100)/5),4)</f>
        <v>2.3599999999999999E-2</v>
      </c>
      <c r="AT100" s="1168">
        <f t="shared" ref="AT100:AT101" si="349">ROUND((((+AQ100-F100)/F100)/10),4)</f>
        <v>1.7399999999999999E-2</v>
      </c>
      <c r="AV100" s="1151">
        <f t="shared" ref="AV100" si="350">ROUND((+AQ100*(1+AT100)),0)</f>
        <v>6556</v>
      </c>
      <c r="AW100" s="1151">
        <f t="shared" ref="AW100" si="351">ROUND((+AV100*(1+AT100)),0)</f>
        <v>6670</v>
      </c>
      <c r="AX100" s="1151">
        <f t="shared" ref="AX100" si="352">ROUND((+AW100*(1+AT100)),0)</f>
        <v>6786</v>
      </c>
      <c r="AY100" s="1151">
        <f t="shared" ref="AY100" si="353">ROUND((+AX100*(1+AT100)),0)</f>
        <v>6904</v>
      </c>
      <c r="AZ100" s="1151">
        <f t="shared" ref="AZ100" si="354">ROUND((+AY100*(1+AT100)),0)</f>
        <v>7024</v>
      </c>
    </row>
    <row r="101" spans="1:53" x14ac:dyDescent="0.3">
      <c r="B101" s="947" t="s">
        <v>1869</v>
      </c>
      <c r="C101" s="1148">
        <f>+'291 Emergency'!C14</f>
        <v>0</v>
      </c>
      <c r="D101" s="1148">
        <f>+'291 Emergency'!D14</f>
        <v>100</v>
      </c>
      <c r="E101" s="1172" t="e">
        <f t="shared" si="338"/>
        <v>#DIV/0!</v>
      </c>
      <c r="F101" s="1152">
        <v>250</v>
      </c>
      <c r="G101" s="1148">
        <f>+'291 Emergency'!E14</f>
        <v>100</v>
      </c>
      <c r="H101" s="1172">
        <f t="shared" si="339"/>
        <v>0</v>
      </c>
      <c r="I101" s="1152">
        <v>250</v>
      </c>
      <c r="J101" s="1148">
        <f>+'291 Emergency'!F14</f>
        <v>150</v>
      </c>
      <c r="K101" s="1172">
        <f>ROUND(((+J101-G101)/G101),4)</f>
        <v>0.5</v>
      </c>
      <c r="L101" s="1152"/>
      <c r="M101" s="1148">
        <f>+'291 Emergency'!G14</f>
        <v>0</v>
      </c>
      <c r="N101" s="1172">
        <f>ROUND(((+M101-J101)/J101),4)</f>
        <v>-1</v>
      </c>
      <c r="O101" s="1152"/>
      <c r="P101" s="1148">
        <f>+'291 Emergency'!H14</f>
        <v>0</v>
      </c>
      <c r="Q101" s="1172" t="e">
        <f>ROUND(((+P101-M101)/M101),4)</f>
        <v>#DIV/0!</v>
      </c>
      <c r="R101" s="1152"/>
      <c r="S101" s="1148">
        <f>+'291 Emergency'!I14</f>
        <v>0</v>
      </c>
      <c r="T101" s="1172" t="e">
        <f>ROUND(((+S101-P101)/P101),4)</f>
        <v>#DIV/0!</v>
      </c>
      <c r="U101" s="1152"/>
      <c r="V101" s="1148">
        <f>+'291 Emergency'!J14</f>
        <v>0</v>
      </c>
      <c r="W101" s="1172" t="e">
        <f>ROUND(((+V101-S101)/S101),4)</f>
        <v>#DIV/0!</v>
      </c>
      <c r="X101" s="1152">
        <f>+'291 Emergency'!K14</f>
        <v>0</v>
      </c>
      <c r="Y101" s="1148">
        <f>+'291 Emergency'!L14</f>
        <v>0</v>
      </c>
      <c r="Z101" s="1172" t="e">
        <f t="shared" si="340"/>
        <v>#DIV/0!</v>
      </c>
      <c r="AA101" s="1152">
        <f>+'291 Emergency'!M14</f>
        <v>500</v>
      </c>
      <c r="AB101" s="1172" t="e">
        <f t="shared" si="341"/>
        <v>#DIV/0!</v>
      </c>
      <c r="AC101" s="1148">
        <f>+'291 Emergency'!N14</f>
        <v>0</v>
      </c>
      <c r="AD101" s="1172" t="e">
        <f t="shared" si="342"/>
        <v>#DIV/0!</v>
      </c>
      <c r="AE101" s="1152">
        <f>+'291 Emergency'!O14</f>
        <v>500</v>
      </c>
      <c r="AF101" s="1172">
        <f t="shared" si="343"/>
        <v>0</v>
      </c>
      <c r="AG101" s="1148">
        <f>+'291 Emergency'!P14</f>
        <v>0</v>
      </c>
      <c r="AH101" s="1172" t="e">
        <f t="shared" si="344"/>
        <v>#DIV/0!</v>
      </c>
      <c r="AI101" s="1172"/>
      <c r="AJ101" s="1172"/>
      <c r="AK101" s="1152">
        <f>+'291 Emergency'!Q14</f>
        <v>500</v>
      </c>
      <c r="AL101" s="1172">
        <f t="shared" si="345"/>
        <v>0</v>
      </c>
      <c r="AM101" s="1148">
        <f>+'291 Emergency'!R14</f>
        <v>0</v>
      </c>
      <c r="AN101" s="1172" t="e">
        <f t="shared" si="346"/>
        <v>#DIV/0!</v>
      </c>
      <c r="AO101" s="1172"/>
      <c r="AP101" s="1172"/>
      <c r="AQ101" s="1152">
        <f>+'291 Emergency'!S14</f>
        <v>500</v>
      </c>
      <c r="AR101" s="1172">
        <f t="shared" si="347"/>
        <v>0</v>
      </c>
      <c r="AS101" s="1172" t="e">
        <f t="shared" si="348"/>
        <v>#DIV/0!</v>
      </c>
      <c r="AT101" s="1172">
        <f t="shared" si="349"/>
        <v>0.1</v>
      </c>
      <c r="AV101" s="1152"/>
      <c r="AW101" s="1152"/>
      <c r="AX101" s="1152"/>
      <c r="AY101" s="1152"/>
      <c r="AZ101" s="1152"/>
      <c r="BA101" s="947" t="s">
        <v>2264</v>
      </c>
    </row>
    <row r="102" spans="1:53" x14ac:dyDescent="0.3">
      <c r="B102" s="947" t="s">
        <v>887</v>
      </c>
      <c r="C102" s="1146">
        <f>SUM(C99:C101)</f>
        <v>5490</v>
      </c>
      <c r="D102" s="1146">
        <f t="shared" ref="D102:AQ102" si="355">SUM(D99:D101)</f>
        <v>5590</v>
      </c>
      <c r="E102" s="1168">
        <f t="shared" si="338"/>
        <v>1.8200000000000001E-2</v>
      </c>
      <c r="F102" s="1151">
        <f t="shared" si="355"/>
        <v>5740</v>
      </c>
      <c r="G102" s="1146">
        <f t="shared" si="355"/>
        <v>5590</v>
      </c>
      <c r="H102" s="1168">
        <f t="shared" si="339"/>
        <v>0</v>
      </c>
      <c r="I102" s="1151">
        <f t="shared" si="355"/>
        <v>5740</v>
      </c>
      <c r="J102" s="1146">
        <f t="shared" si="355"/>
        <v>5640</v>
      </c>
      <c r="K102" s="1168">
        <f>ROUND(((+J102-G102)/G102),4)</f>
        <v>8.8999999999999999E-3</v>
      </c>
      <c r="L102" s="1151">
        <f t="shared" si="355"/>
        <v>5490</v>
      </c>
      <c r="M102" s="1146">
        <f t="shared" si="355"/>
        <v>5490</v>
      </c>
      <c r="N102" s="1168">
        <f>ROUND(((+M102-J102)/J102),4)</f>
        <v>-2.6599999999999999E-2</v>
      </c>
      <c r="O102" s="1151">
        <f t="shared" si="355"/>
        <v>5490</v>
      </c>
      <c r="P102" s="1146">
        <f t="shared" si="355"/>
        <v>5490</v>
      </c>
      <c r="Q102" s="1168">
        <f>ROUND(((+P102-M102)/M102),4)</f>
        <v>0</v>
      </c>
      <c r="R102" s="1151">
        <f t="shared" si="355"/>
        <v>5490</v>
      </c>
      <c r="S102" s="1146">
        <f t="shared" si="355"/>
        <v>5490</v>
      </c>
      <c r="T102" s="1168">
        <f>ROUND(((+S102-P102)/P102),4)</f>
        <v>0</v>
      </c>
      <c r="U102" s="1151">
        <f t="shared" si="355"/>
        <v>5765</v>
      </c>
      <c r="V102" s="1146">
        <f t="shared" si="355"/>
        <v>5765</v>
      </c>
      <c r="W102" s="1168">
        <f>ROUND(((+V102-S102)/S102),4)</f>
        <v>5.0099999999999999E-2</v>
      </c>
      <c r="X102" s="1151">
        <f t="shared" si="355"/>
        <v>5765</v>
      </c>
      <c r="Y102" s="1146">
        <f t="shared" si="355"/>
        <v>5765</v>
      </c>
      <c r="Z102" s="1168">
        <f t="shared" si="340"/>
        <v>0</v>
      </c>
      <c r="AA102" s="1151">
        <f t="shared" si="355"/>
        <v>6265</v>
      </c>
      <c r="AB102" s="1168">
        <f t="shared" si="341"/>
        <v>8.6699999999999999E-2</v>
      </c>
      <c r="AC102" s="1146">
        <f t="shared" si="355"/>
        <v>5765</v>
      </c>
      <c r="AD102" s="1168">
        <f t="shared" si="342"/>
        <v>0</v>
      </c>
      <c r="AE102" s="1151">
        <f t="shared" si="355"/>
        <v>6265</v>
      </c>
      <c r="AF102" s="1168">
        <f t="shared" si="343"/>
        <v>0</v>
      </c>
      <c r="AG102" s="1146">
        <f t="shared" si="355"/>
        <v>5765</v>
      </c>
      <c r="AH102" s="1168">
        <f t="shared" si="344"/>
        <v>0</v>
      </c>
      <c r="AI102" s="1168"/>
      <c r="AJ102" s="1168"/>
      <c r="AK102" s="1151">
        <f t="shared" si="355"/>
        <v>6265</v>
      </c>
      <c r="AL102" s="1168">
        <f t="shared" si="345"/>
        <v>0</v>
      </c>
      <c r="AM102" s="1146">
        <f t="shared" si="355"/>
        <v>2882.48</v>
      </c>
      <c r="AN102" s="1168">
        <f t="shared" si="346"/>
        <v>-0.5</v>
      </c>
      <c r="AO102" s="1168"/>
      <c r="AP102" s="1168"/>
      <c r="AQ102" s="1151">
        <f t="shared" si="355"/>
        <v>6944</v>
      </c>
      <c r="AR102" s="1168">
        <f t="shared" si="347"/>
        <v>0.1084</v>
      </c>
      <c r="AS102" s="1168">
        <f>ROUND((((+AQ102-U102)/U102)/5),4)</f>
        <v>4.0899999999999999E-2</v>
      </c>
      <c r="AT102" s="1168">
        <f>ROUND((((+AQ102-F102)/F102)/10),4)</f>
        <v>2.1000000000000001E-2</v>
      </c>
      <c r="AV102" s="1151">
        <f t="shared" ref="AV102:AZ102" si="356">SUM(AV99:AV101)</f>
        <v>6556</v>
      </c>
      <c r="AW102" s="1151">
        <f t="shared" si="356"/>
        <v>6670</v>
      </c>
      <c r="AX102" s="1151">
        <f t="shared" si="356"/>
        <v>6786</v>
      </c>
      <c r="AY102" s="1151">
        <f t="shared" si="356"/>
        <v>6904</v>
      </c>
      <c r="AZ102" s="1151">
        <f t="shared" si="356"/>
        <v>7024</v>
      </c>
    </row>
    <row r="103" spans="1:53" x14ac:dyDescent="0.3">
      <c r="AL103" s="1151"/>
      <c r="AQ103" s="1151"/>
      <c r="AR103" s="1151"/>
    </row>
    <row r="104" spans="1:53" x14ac:dyDescent="0.3">
      <c r="A104" s="954" t="s">
        <v>536</v>
      </c>
      <c r="AL104" s="1151"/>
      <c r="AQ104" s="1151"/>
      <c r="AR104" s="1151"/>
    </row>
    <row r="105" spans="1:53" x14ac:dyDescent="0.3">
      <c r="B105" s="947" t="s">
        <v>2218</v>
      </c>
      <c r="AL105" s="1151"/>
      <c r="AQ105" s="1151"/>
      <c r="AR105" s="1151"/>
    </row>
    <row r="106" spans="1:53" x14ac:dyDescent="0.3">
      <c r="B106" s="947" t="s">
        <v>1869</v>
      </c>
      <c r="C106" s="1148">
        <f>+'292 Animal'!C16</f>
        <v>3869.81</v>
      </c>
      <c r="D106" s="1148">
        <f>+'292 Animal'!D16</f>
        <v>12240.720000000001</v>
      </c>
      <c r="E106" s="1172">
        <f t="shared" ref="E106:E107" si="357">ROUND(((+D106-C106)/C106),4)</f>
        <v>2.1631</v>
      </c>
      <c r="F106" s="1152">
        <v>17850</v>
      </c>
      <c r="G106" s="1148">
        <f>+'292 Animal'!E16</f>
        <v>16352.41</v>
      </c>
      <c r="H106" s="1172">
        <f t="shared" ref="H106:H107" si="358">ROUND(((+G106-D106)/D106),4)</f>
        <v>0.33589999999999998</v>
      </c>
      <c r="I106" s="1152">
        <v>17800</v>
      </c>
      <c r="J106" s="1148">
        <f>+'292 Animal'!F16</f>
        <v>16526.579999999998</v>
      </c>
      <c r="K106" s="1172">
        <f>ROUND(((+J106-G106)/G106),4)</f>
        <v>1.0699999999999999E-2</v>
      </c>
      <c r="L106" s="1152">
        <v>18396</v>
      </c>
      <c r="M106" s="1148">
        <f>+'292 Animal'!G16</f>
        <v>17994.600000000002</v>
      </c>
      <c r="N106" s="1172">
        <f>ROUND(((+M106-J106)/J106),4)</f>
        <v>8.8800000000000004E-2</v>
      </c>
      <c r="O106" s="1152">
        <v>26353</v>
      </c>
      <c r="P106" s="1148">
        <f>+'292 Animal'!H16</f>
        <v>18281.5</v>
      </c>
      <c r="Q106" s="1172">
        <f>ROUND(((+P106-M106)/M106),4)</f>
        <v>1.5900000000000001E-2</v>
      </c>
      <c r="R106" s="1152">
        <v>19257</v>
      </c>
      <c r="S106" s="1148">
        <f>+'292 Animal'!I16</f>
        <v>19156.59</v>
      </c>
      <c r="T106" s="1172">
        <f>ROUND(((+S106-P106)/P106),4)</f>
        <v>4.7899999999999998E-2</v>
      </c>
      <c r="U106" s="1152">
        <v>20057</v>
      </c>
      <c r="V106" s="1148">
        <f>+'292 Animal'!J16</f>
        <v>20200.080000000002</v>
      </c>
      <c r="W106" s="1172">
        <f>ROUND(((+V106-S106)/S106),4)</f>
        <v>5.45E-2</v>
      </c>
      <c r="X106" s="1152">
        <f>+'292 Animal'!K16</f>
        <v>20414</v>
      </c>
      <c r="Y106" s="1148">
        <f>+'292 Animal'!L16</f>
        <v>20141.48</v>
      </c>
      <c r="Z106" s="1172">
        <f t="shared" ref="Z106:Z107" si="359">ROUND(((+Y106-V106)/V106),4)</f>
        <v>-2.8999999999999998E-3</v>
      </c>
      <c r="AA106" s="1152">
        <f>+'292 Animal'!M16</f>
        <v>21527</v>
      </c>
      <c r="AB106" s="1172">
        <f t="shared" ref="AB106:AB107" si="360">ROUND(((+AA106-X106)/X106),4)</f>
        <v>5.45E-2</v>
      </c>
      <c r="AC106" s="1148">
        <f>+'292 Animal'!N16</f>
        <v>20390.28</v>
      </c>
      <c r="AD106" s="1172">
        <f t="shared" ref="AD106:AD107" si="361">ROUND(((+AC106-Y106)/Y106),4)</f>
        <v>1.24E-2</v>
      </c>
      <c r="AE106" s="1152">
        <f>+'292 Animal'!O16</f>
        <v>21765</v>
      </c>
      <c r="AF106" s="1172">
        <f t="shared" ref="AF106:AF107" si="362">ROUND(((+AE106-AA106)/AA106),4)</f>
        <v>1.11E-2</v>
      </c>
      <c r="AG106" s="1148">
        <f>+'292 Animal'!P16</f>
        <v>21579.09</v>
      </c>
      <c r="AH106" s="1172">
        <f t="shared" ref="AH106:AH107" si="363">ROUND(((+AG106-AC106)/AC106),4)</f>
        <v>5.8299999999999998E-2</v>
      </c>
      <c r="AI106" s="1172"/>
      <c r="AJ106" s="1172"/>
      <c r="AK106" s="1152">
        <f>+'292 Animal'!Q16</f>
        <v>23112</v>
      </c>
      <c r="AL106" s="1172">
        <f t="shared" ref="AL106:AL107" si="364">ROUND(((+AK106-AE106)/AE106),4)</f>
        <v>6.1899999999999997E-2</v>
      </c>
      <c r="AM106" s="1148">
        <f>+'292 Animal'!R16</f>
        <v>11230.36</v>
      </c>
      <c r="AN106" s="1172">
        <f t="shared" ref="AN106:AN107" si="365">ROUND(((+AM106-AG106)/AG106),4)</f>
        <v>-0.47960000000000003</v>
      </c>
      <c r="AO106" s="1172"/>
      <c r="AP106" s="1172"/>
      <c r="AQ106" s="1152">
        <f>+'292 Animal'!S16</f>
        <v>23658</v>
      </c>
      <c r="AR106" s="1172">
        <f t="shared" ref="AR106:AR107" si="366">ROUND(((+AQ106-AK106)/AK106),4)</f>
        <v>2.3599999999999999E-2</v>
      </c>
      <c r="AS106" s="1172">
        <f>ROUND((((+AQ106-U106)/U106)/5),4)</f>
        <v>3.5900000000000001E-2</v>
      </c>
      <c r="AT106" s="1172">
        <f>ROUND((((+AQ106-F106)/F106)/10),4)</f>
        <v>3.2500000000000001E-2</v>
      </c>
      <c r="AV106" s="1152">
        <f t="shared" ref="AV106" si="367">ROUND((+AQ106*(1+AT106)),0)</f>
        <v>24427</v>
      </c>
      <c r="AW106" s="1152">
        <f t="shared" ref="AW106" si="368">ROUND((+AV106*(1+AT106)),0)</f>
        <v>25221</v>
      </c>
      <c r="AX106" s="1152">
        <f t="shared" ref="AX106" si="369">ROUND((+AW106*(1+AT106)),0)</f>
        <v>26041</v>
      </c>
      <c r="AY106" s="1152">
        <f t="shared" ref="AY106" si="370">ROUND((+AX106*(1+AT106)),0)</f>
        <v>26887</v>
      </c>
      <c r="AZ106" s="1152">
        <f t="shared" ref="AZ106" si="371">ROUND((+AY106*(1+AT106)),0)</f>
        <v>27761</v>
      </c>
    </row>
    <row r="107" spans="1:53" x14ac:dyDescent="0.3">
      <c r="B107" s="947" t="s">
        <v>887</v>
      </c>
      <c r="C107" s="1146">
        <f>SUM(C104:C106)</f>
        <v>3869.81</v>
      </c>
      <c r="D107" s="1146">
        <f t="shared" ref="D107:AQ107" si="372">SUM(D104:D106)</f>
        <v>12240.720000000001</v>
      </c>
      <c r="E107" s="1168">
        <f t="shared" si="357"/>
        <v>2.1631</v>
      </c>
      <c r="F107" s="1151">
        <f t="shared" si="372"/>
        <v>17850</v>
      </c>
      <c r="G107" s="1146">
        <f t="shared" si="372"/>
        <v>16352.41</v>
      </c>
      <c r="H107" s="1168">
        <f t="shared" si="358"/>
        <v>0.33589999999999998</v>
      </c>
      <c r="I107" s="1151">
        <f t="shared" si="372"/>
        <v>17800</v>
      </c>
      <c r="J107" s="1146">
        <f t="shared" si="372"/>
        <v>16526.579999999998</v>
      </c>
      <c r="K107" s="1168">
        <f>ROUND(((+J107-G107)/G107),4)</f>
        <v>1.0699999999999999E-2</v>
      </c>
      <c r="L107" s="1151">
        <f t="shared" si="372"/>
        <v>18396</v>
      </c>
      <c r="M107" s="1146">
        <f t="shared" si="372"/>
        <v>17994.600000000002</v>
      </c>
      <c r="N107" s="1168">
        <f>ROUND(((+M107-J107)/J107),4)</f>
        <v>8.8800000000000004E-2</v>
      </c>
      <c r="O107" s="1151">
        <f t="shared" si="372"/>
        <v>26353</v>
      </c>
      <c r="P107" s="1146">
        <f t="shared" si="372"/>
        <v>18281.5</v>
      </c>
      <c r="Q107" s="1168">
        <f>ROUND(((+P107-M107)/M107),4)</f>
        <v>1.5900000000000001E-2</v>
      </c>
      <c r="R107" s="1151">
        <f t="shared" si="372"/>
        <v>19257</v>
      </c>
      <c r="S107" s="1146">
        <f t="shared" si="372"/>
        <v>19156.59</v>
      </c>
      <c r="T107" s="1168">
        <f>ROUND(((+S107-P107)/P107),4)</f>
        <v>4.7899999999999998E-2</v>
      </c>
      <c r="U107" s="1151">
        <f t="shared" si="372"/>
        <v>20057</v>
      </c>
      <c r="V107" s="1146">
        <f t="shared" si="372"/>
        <v>20200.080000000002</v>
      </c>
      <c r="W107" s="1168">
        <f>ROUND(((+V107-S107)/S107),4)</f>
        <v>5.45E-2</v>
      </c>
      <c r="X107" s="1151">
        <f t="shared" si="372"/>
        <v>20414</v>
      </c>
      <c r="Y107" s="1146">
        <f t="shared" si="372"/>
        <v>20141.48</v>
      </c>
      <c r="Z107" s="1168">
        <f t="shared" si="359"/>
        <v>-2.8999999999999998E-3</v>
      </c>
      <c r="AA107" s="1151">
        <f t="shared" si="372"/>
        <v>21527</v>
      </c>
      <c r="AB107" s="1168">
        <f t="shared" si="360"/>
        <v>5.45E-2</v>
      </c>
      <c r="AC107" s="1146">
        <f t="shared" si="372"/>
        <v>20390.28</v>
      </c>
      <c r="AD107" s="1168">
        <f t="shared" si="361"/>
        <v>1.24E-2</v>
      </c>
      <c r="AE107" s="1151">
        <f t="shared" si="372"/>
        <v>21765</v>
      </c>
      <c r="AF107" s="1168">
        <f t="shared" si="362"/>
        <v>1.11E-2</v>
      </c>
      <c r="AG107" s="1146">
        <f t="shared" si="372"/>
        <v>21579.09</v>
      </c>
      <c r="AH107" s="1168">
        <f t="shared" si="363"/>
        <v>5.8299999999999998E-2</v>
      </c>
      <c r="AI107" s="1168"/>
      <c r="AJ107" s="1168"/>
      <c r="AK107" s="1151">
        <f t="shared" si="372"/>
        <v>23112</v>
      </c>
      <c r="AL107" s="1168">
        <f t="shared" si="364"/>
        <v>6.1899999999999997E-2</v>
      </c>
      <c r="AM107" s="1146">
        <f t="shared" si="372"/>
        <v>11230.36</v>
      </c>
      <c r="AN107" s="1168">
        <f t="shared" si="365"/>
        <v>-0.47960000000000003</v>
      </c>
      <c r="AO107" s="1168"/>
      <c r="AP107" s="1168"/>
      <c r="AQ107" s="1151">
        <f t="shared" si="372"/>
        <v>23658</v>
      </c>
      <c r="AR107" s="1168">
        <f t="shared" si="366"/>
        <v>2.3599999999999999E-2</v>
      </c>
      <c r="AS107" s="1168">
        <f>ROUND((((+AQ107-U107)/U107)/5),4)</f>
        <v>3.5900000000000001E-2</v>
      </c>
      <c r="AT107" s="1168">
        <f>ROUND((((+AQ107-F107)/F107)/10),4)</f>
        <v>3.2500000000000001E-2</v>
      </c>
      <c r="AV107" s="1151">
        <f t="shared" ref="AV107:AZ107" si="373">SUM(AV104:AV106)</f>
        <v>24427</v>
      </c>
      <c r="AW107" s="1151">
        <f t="shared" si="373"/>
        <v>25221</v>
      </c>
      <c r="AX107" s="1151">
        <f t="shared" si="373"/>
        <v>26041</v>
      </c>
      <c r="AY107" s="1151">
        <f t="shared" si="373"/>
        <v>26887</v>
      </c>
      <c r="AZ107" s="1151">
        <f t="shared" si="373"/>
        <v>27761</v>
      </c>
    </row>
    <row r="108" spans="1:53" x14ac:dyDescent="0.3">
      <c r="AL108" s="1151"/>
      <c r="AQ108" s="1151"/>
      <c r="AR108" s="1151"/>
    </row>
    <row r="109" spans="1:53" x14ac:dyDescent="0.3">
      <c r="A109" s="954" t="s">
        <v>538</v>
      </c>
      <c r="AL109" s="1151"/>
      <c r="AQ109" s="1151"/>
      <c r="AR109" s="1151"/>
    </row>
    <row r="110" spans="1:53" x14ac:dyDescent="0.3">
      <c r="B110" s="947" t="s">
        <v>2218</v>
      </c>
      <c r="C110" s="1146">
        <f>+'294 Forest Warden'!C10</f>
        <v>1584</v>
      </c>
      <c r="D110" s="1146">
        <f>+'294 Forest Warden'!D10</f>
        <v>1631</v>
      </c>
      <c r="E110" s="1168">
        <f t="shared" ref="E110:E112" si="374">ROUND(((+D110-C110)/C110),4)</f>
        <v>2.9700000000000001E-2</v>
      </c>
      <c r="F110" s="1151">
        <v>1631</v>
      </c>
      <c r="G110" s="1146">
        <f>+'294 Forest Warden'!E10</f>
        <v>1631</v>
      </c>
      <c r="H110" s="1168">
        <f t="shared" ref="H110:H112" si="375">ROUND(((+G110-D110)/D110),4)</f>
        <v>0</v>
      </c>
      <c r="I110" s="1151">
        <v>1631</v>
      </c>
      <c r="J110" s="1146">
        <f>+'294 Forest Warden'!F10</f>
        <v>1631</v>
      </c>
      <c r="K110" s="1168">
        <f>ROUND(((+J110-G110)/G110),4)</f>
        <v>0</v>
      </c>
      <c r="L110" s="1151">
        <v>1631</v>
      </c>
      <c r="M110" s="1146">
        <f>+'294 Forest Warden'!G10</f>
        <v>1631</v>
      </c>
      <c r="N110" s="1168">
        <f>ROUND(((+M110-J110)/J110),4)</f>
        <v>0</v>
      </c>
      <c r="O110" s="1151">
        <v>1631</v>
      </c>
      <c r="P110" s="1146">
        <f>+'294 Forest Warden'!H10</f>
        <v>1631</v>
      </c>
      <c r="Q110" s="1168">
        <f>ROUND(((+P110-M110)/M110),4)</f>
        <v>0</v>
      </c>
      <c r="R110" s="1151">
        <v>1631</v>
      </c>
      <c r="S110" s="1146">
        <f>+'294 Forest Warden'!I10</f>
        <v>1631</v>
      </c>
      <c r="T110" s="1168">
        <f>ROUND(((+S110-P110)/P110),4)</f>
        <v>0</v>
      </c>
      <c r="U110" s="1151">
        <v>1710</v>
      </c>
      <c r="V110" s="1146">
        <f>+'294 Forest Warden'!J10</f>
        <v>1710</v>
      </c>
      <c r="W110" s="1168">
        <f>ROUND(((+V110-S110)/S110),4)</f>
        <v>4.8399999999999999E-2</v>
      </c>
      <c r="X110" s="1151">
        <f>+'294 Forest Warden'!K10</f>
        <v>1710</v>
      </c>
      <c r="Y110" s="1146">
        <f>+'294 Forest Warden'!L10</f>
        <v>1710</v>
      </c>
      <c r="Z110" s="1168">
        <f t="shared" ref="Z110:Z112" si="376">ROUND(((+Y110-V110)/V110),4)</f>
        <v>0</v>
      </c>
      <c r="AA110" s="1151">
        <f>+'294 Forest Warden'!M10</f>
        <v>1710</v>
      </c>
      <c r="AB110" s="1168">
        <f t="shared" ref="AB110:AB112" si="377">ROUND(((+AA110-X110)/X110),4)</f>
        <v>0</v>
      </c>
      <c r="AC110" s="1146">
        <f>+'294 Forest Warden'!N10</f>
        <v>1710</v>
      </c>
      <c r="AD110" s="1168">
        <f t="shared" ref="AD110:AD112" si="378">ROUND(((+AC110-Y110)/Y110),4)</f>
        <v>0</v>
      </c>
      <c r="AE110" s="1151">
        <f>+'294 Forest Warden'!O10</f>
        <v>1710</v>
      </c>
      <c r="AF110" s="1168">
        <f t="shared" ref="AF110:AF112" si="379">ROUND(((+AE110-AA110)/AA110),4)</f>
        <v>0</v>
      </c>
      <c r="AG110" s="1146">
        <f>+'294 Forest Warden'!P10</f>
        <v>1710</v>
      </c>
      <c r="AH110" s="1168">
        <f t="shared" ref="AH110:AH112" si="380">ROUND(((+AG110-AC110)/AC110),4)</f>
        <v>0</v>
      </c>
      <c r="AI110" s="1168"/>
      <c r="AJ110" s="1168"/>
      <c r="AK110" s="1151">
        <f>+'294 Forest Warden'!Q10</f>
        <v>1710</v>
      </c>
      <c r="AL110" s="1168">
        <f t="shared" ref="AL110:AL112" si="381">ROUND(((+AK110-AE110)/AE110),4)</f>
        <v>0</v>
      </c>
      <c r="AM110" s="1146">
        <f>+'294 Forest Warden'!R10</f>
        <v>0</v>
      </c>
      <c r="AN110" s="1168">
        <f t="shared" ref="AN110:AN112" si="382">ROUND(((+AM110-AG110)/AG110),4)</f>
        <v>-1</v>
      </c>
      <c r="AO110" s="1168"/>
      <c r="AP110" s="1168"/>
      <c r="AQ110" s="1151">
        <f>+'294 Forest Warden'!S10</f>
        <v>1882</v>
      </c>
      <c r="AR110" s="1168">
        <f t="shared" ref="AR110:AR112" si="383">ROUND(((+AQ110-AK110)/AK110),4)</f>
        <v>0.10059999999999999</v>
      </c>
      <c r="AS110" s="1168">
        <f t="shared" ref="AS110:AS111" si="384">ROUND((((+AQ110-U110)/U110)/5),4)</f>
        <v>2.01E-2</v>
      </c>
      <c r="AT110" s="1168">
        <f t="shared" ref="AT110:AT111" si="385">ROUND((((+AQ110-F110)/F110)/10),4)</f>
        <v>1.54E-2</v>
      </c>
      <c r="AV110" s="1153">
        <f t="shared" ref="AV110" si="386">ROUND((+AQ110*(1+AT110)),0)</f>
        <v>1911</v>
      </c>
      <c r="AW110" s="1153">
        <f t="shared" ref="AW110" si="387">ROUND((+AV110*(1+AT110)),0)</f>
        <v>1940</v>
      </c>
      <c r="AX110" s="1153">
        <f t="shared" ref="AX110" si="388">ROUND((+AW110*(1+AT110)),0)</f>
        <v>1970</v>
      </c>
      <c r="AY110" s="1153">
        <f t="shared" ref="AY110" si="389">ROUND((+AX110*(1+AT110)),0)</f>
        <v>2000</v>
      </c>
      <c r="AZ110" s="1153">
        <f t="shared" ref="AZ110" si="390">ROUND((+AY110*(1+AT110)),0)</f>
        <v>2031</v>
      </c>
    </row>
    <row r="111" spans="1:53" x14ac:dyDescent="0.3">
      <c r="B111" s="947" t="s">
        <v>1869</v>
      </c>
      <c r="C111" s="1148"/>
      <c r="D111" s="1148"/>
      <c r="E111" s="1172" t="e">
        <f t="shared" si="374"/>
        <v>#DIV/0!</v>
      </c>
      <c r="F111" s="1152"/>
      <c r="G111" s="1148"/>
      <c r="H111" s="1172" t="e">
        <f t="shared" si="375"/>
        <v>#DIV/0!</v>
      </c>
      <c r="I111" s="1152"/>
      <c r="J111" s="1148"/>
      <c r="K111" s="1172" t="e">
        <f>ROUND(((+J111-G111)/G111),4)</f>
        <v>#DIV/0!</v>
      </c>
      <c r="L111" s="1152"/>
      <c r="M111" s="1148"/>
      <c r="N111" s="1172" t="e">
        <f>ROUND(((+M111-J111)/J111),4)</f>
        <v>#DIV/0!</v>
      </c>
      <c r="O111" s="1152"/>
      <c r="P111" s="1148"/>
      <c r="Q111" s="1172" t="e">
        <f>ROUND(((+P111-M111)/M111),4)</f>
        <v>#DIV/0!</v>
      </c>
      <c r="R111" s="1152"/>
      <c r="S111" s="1148"/>
      <c r="T111" s="1172" t="e">
        <f>ROUND(((+S111-P111)/P111),4)</f>
        <v>#DIV/0!</v>
      </c>
      <c r="U111" s="1152"/>
      <c r="V111" s="1148"/>
      <c r="W111" s="1172" t="e">
        <f>ROUND(((+V111-S111)/S111),4)</f>
        <v>#DIV/0!</v>
      </c>
      <c r="X111" s="1152"/>
      <c r="Y111" s="1148"/>
      <c r="Z111" s="1172" t="e">
        <f t="shared" si="376"/>
        <v>#DIV/0!</v>
      </c>
      <c r="AA111" s="1152"/>
      <c r="AB111" s="1172" t="e">
        <f t="shared" si="377"/>
        <v>#DIV/0!</v>
      </c>
      <c r="AC111" s="1148"/>
      <c r="AD111" s="1172" t="e">
        <f t="shared" si="378"/>
        <v>#DIV/0!</v>
      </c>
      <c r="AE111" s="1152"/>
      <c r="AF111" s="1172" t="e">
        <f t="shared" si="379"/>
        <v>#DIV/0!</v>
      </c>
      <c r="AG111" s="1148"/>
      <c r="AH111" s="1172" t="e">
        <f t="shared" si="380"/>
        <v>#DIV/0!</v>
      </c>
      <c r="AI111" s="1172"/>
      <c r="AJ111" s="1172"/>
      <c r="AK111" s="1152"/>
      <c r="AL111" s="1172" t="e">
        <f t="shared" si="381"/>
        <v>#DIV/0!</v>
      </c>
      <c r="AM111" s="1148"/>
      <c r="AN111" s="1172" t="e">
        <f t="shared" si="382"/>
        <v>#DIV/0!</v>
      </c>
      <c r="AO111" s="1172"/>
      <c r="AP111" s="1172"/>
      <c r="AQ111" s="1152"/>
      <c r="AR111" s="1172" t="e">
        <f t="shared" si="383"/>
        <v>#DIV/0!</v>
      </c>
      <c r="AS111" s="1172" t="e">
        <f t="shared" si="384"/>
        <v>#DIV/0!</v>
      </c>
      <c r="AT111" s="1172" t="e">
        <f t="shared" si="385"/>
        <v>#DIV/0!</v>
      </c>
      <c r="AV111" s="1152"/>
      <c r="AW111" s="1152"/>
      <c r="AX111" s="1152"/>
      <c r="AY111" s="1152"/>
      <c r="AZ111" s="1152"/>
      <c r="BA111" s="947" t="s">
        <v>2264</v>
      </c>
    </row>
    <row r="112" spans="1:53" x14ac:dyDescent="0.3">
      <c r="B112" s="947" t="s">
        <v>887</v>
      </c>
      <c r="C112" s="1146">
        <f>SUM(C109:C111)</f>
        <v>1584</v>
      </c>
      <c r="D112" s="1146">
        <f t="shared" ref="D112:AQ112" si="391">SUM(D109:D111)</f>
        <v>1631</v>
      </c>
      <c r="E112" s="1168">
        <f t="shared" si="374"/>
        <v>2.9700000000000001E-2</v>
      </c>
      <c r="F112" s="1151">
        <f t="shared" si="391"/>
        <v>1631</v>
      </c>
      <c r="G112" s="1146">
        <f t="shared" si="391"/>
        <v>1631</v>
      </c>
      <c r="H112" s="1168">
        <f t="shared" si="375"/>
        <v>0</v>
      </c>
      <c r="I112" s="1151">
        <f t="shared" si="391"/>
        <v>1631</v>
      </c>
      <c r="J112" s="1146">
        <f t="shared" si="391"/>
        <v>1631</v>
      </c>
      <c r="K112" s="1168">
        <f>ROUND(((+J112-G112)/G112),4)</f>
        <v>0</v>
      </c>
      <c r="L112" s="1151">
        <f t="shared" si="391"/>
        <v>1631</v>
      </c>
      <c r="M112" s="1146">
        <f t="shared" si="391"/>
        <v>1631</v>
      </c>
      <c r="N112" s="1168">
        <f>ROUND(((+M112-J112)/J112),4)</f>
        <v>0</v>
      </c>
      <c r="O112" s="1151">
        <f t="shared" si="391"/>
        <v>1631</v>
      </c>
      <c r="P112" s="1146">
        <f t="shared" si="391"/>
        <v>1631</v>
      </c>
      <c r="Q112" s="1168">
        <f>ROUND(((+P112-M112)/M112),4)</f>
        <v>0</v>
      </c>
      <c r="R112" s="1151">
        <f t="shared" si="391"/>
        <v>1631</v>
      </c>
      <c r="S112" s="1146">
        <f t="shared" si="391"/>
        <v>1631</v>
      </c>
      <c r="T112" s="1168">
        <f>ROUND(((+S112-P112)/P112),4)</f>
        <v>0</v>
      </c>
      <c r="U112" s="1151">
        <f t="shared" si="391"/>
        <v>1710</v>
      </c>
      <c r="V112" s="1146">
        <f t="shared" si="391"/>
        <v>1710</v>
      </c>
      <c r="W112" s="1168">
        <f>ROUND(((+V112-S112)/S112),4)</f>
        <v>4.8399999999999999E-2</v>
      </c>
      <c r="X112" s="1151">
        <f t="shared" si="391"/>
        <v>1710</v>
      </c>
      <c r="Y112" s="1146">
        <f t="shared" si="391"/>
        <v>1710</v>
      </c>
      <c r="Z112" s="1168">
        <f t="shared" si="376"/>
        <v>0</v>
      </c>
      <c r="AA112" s="1151">
        <f t="shared" si="391"/>
        <v>1710</v>
      </c>
      <c r="AB112" s="1168">
        <f t="shared" si="377"/>
        <v>0</v>
      </c>
      <c r="AC112" s="1146">
        <f t="shared" si="391"/>
        <v>1710</v>
      </c>
      <c r="AD112" s="1168">
        <f t="shared" si="378"/>
        <v>0</v>
      </c>
      <c r="AE112" s="1151">
        <f t="shared" si="391"/>
        <v>1710</v>
      </c>
      <c r="AF112" s="1168">
        <f t="shared" si="379"/>
        <v>0</v>
      </c>
      <c r="AG112" s="1146">
        <f t="shared" si="391"/>
        <v>1710</v>
      </c>
      <c r="AH112" s="1168">
        <f t="shared" si="380"/>
        <v>0</v>
      </c>
      <c r="AI112" s="1168"/>
      <c r="AJ112" s="1168"/>
      <c r="AK112" s="1151">
        <f t="shared" si="391"/>
        <v>1710</v>
      </c>
      <c r="AL112" s="1168">
        <f t="shared" si="381"/>
        <v>0</v>
      </c>
      <c r="AM112" s="1146">
        <f t="shared" si="391"/>
        <v>0</v>
      </c>
      <c r="AN112" s="1168">
        <f t="shared" si="382"/>
        <v>-1</v>
      </c>
      <c r="AO112" s="1168"/>
      <c r="AP112" s="1168"/>
      <c r="AQ112" s="1151">
        <f t="shared" si="391"/>
        <v>1882</v>
      </c>
      <c r="AR112" s="1168">
        <f t="shared" si="383"/>
        <v>0.10059999999999999</v>
      </c>
      <c r="AS112" s="1168">
        <f>ROUND((((+AQ112-U112)/U112)/5),4)</f>
        <v>2.01E-2</v>
      </c>
      <c r="AT112" s="1168">
        <f>ROUND((((+AQ112-F112)/F112)/10),4)</f>
        <v>1.54E-2</v>
      </c>
      <c r="AV112" s="1151">
        <f t="shared" ref="AV112:AZ112" si="392">SUM(AV109:AV111)</f>
        <v>1911</v>
      </c>
      <c r="AW112" s="1151">
        <f t="shared" si="392"/>
        <v>1940</v>
      </c>
      <c r="AX112" s="1151">
        <f t="shared" si="392"/>
        <v>1970</v>
      </c>
      <c r="AY112" s="1151">
        <f t="shared" si="392"/>
        <v>2000</v>
      </c>
      <c r="AZ112" s="1151">
        <f t="shared" si="392"/>
        <v>2031</v>
      </c>
    </row>
    <row r="113" spans="1:54" x14ac:dyDescent="0.3">
      <c r="AL113" s="1151"/>
      <c r="AQ113" s="1151"/>
      <c r="AR113" s="1151"/>
    </row>
    <row r="114" spans="1:54" x14ac:dyDescent="0.3">
      <c r="A114" s="954" t="s">
        <v>539</v>
      </c>
      <c r="AL114" s="1151"/>
      <c r="AQ114" s="1151"/>
      <c r="AR114" s="1151"/>
    </row>
    <row r="115" spans="1:54" x14ac:dyDescent="0.3">
      <c r="B115" s="947" t="s">
        <v>2218</v>
      </c>
      <c r="C115" s="1146">
        <f>+'299 Tree Warden'!C10</f>
        <v>1263.08</v>
      </c>
      <c r="D115" s="1146">
        <f>+'299 Tree Warden'!D10</f>
        <v>1303.56</v>
      </c>
      <c r="E115" s="1168">
        <f t="shared" ref="E115:E117" si="393">ROUND(((+D115-C115)/C115),4)</f>
        <v>3.2000000000000001E-2</v>
      </c>
      <c r="F115" s="1151">
        <v>1460</v>
      </c>
      <c r="G115" s="1146">
        <f>+'299 Tree Warden'!E10</f>
        <v>1296.44</v>
      </c>
      <c r="H115" s="1168">
        <f t="shared" ref="H115:H117" si="394">ROUND(((+G115-D115)/D115),4)</f>
        <v>-5.4999999999999997E-3</v>
      </c>
      <c r="I115" s="1151">
        <v>1500</v>
      </c>
      <c r="J115" s="1146">
        <f>+'299 Tree Warden'!F10</f>
        <v>1300</v>
      </c>
      <c r="K115" s="1168">
        <f>ROUND(((+J115-G115)/G115),4)</f>
        <v>2.7000000000000001E-3</v>
      </c>
      <c r="L115" s="1151">
        <v>1500</v>
      </c>
      <c r="M115" s="1146">
        <f>+'299 Tree Warden'!G10</f>
        <v>1500</v>
      </c>
      <c r="N115" s="1168">
        <f>ROUND(((+M115-J115)/J115),4)</f>
        <v>0.15379999999999999</v>
      </c>
      <c r="O115" s="1151">
        <v>1500</v>
      </c>
      <c r="P115" s="1146">
        <f>+'299 Tree Warden'!H10</f>
        <v>1500</v>
      </c>
      <c r="Q115" s="1168">
        <f>ROUND(((+P115-M115)/M115),4)</f>
        <v>0</v>
      </c>
      <c r="R115" s="1151">
        <v>1500</v>
      </c>
      <c r="S115" s="1146">
        <f>+'299 Tree Warden'!I10</f>
        <v>1500</v>
      </c>
      <c r="T115" s="1168">
        <f>ROUND(((+S115-P115)/P115),4)</f>
        <v>0</v>
      </c>
      <c r="U115" s="1151">
        <v>1575</v>
      </c>
      <c r="V115" s="1146">
        <f>+'299 Tree Warden'!J10</f>
        <v>1575</v>
      </c>
      <c r="W115" s="1168">
        <f>ROUND(((+V115-S115)/S115),4)</f>
        <v>0.05</v>
      </c>
      <c r="X115" s="1151">
        <f>+'299 Tree Warden'!K10</f>
        <v>1575</v>
      </c>
      <c r="Y115" s="1146">
        <f>+'299 Tree Warden'!L10</f>
        <v>1575</v>
      </c>
      <c r="Z115" s="1168">
        <f t="shared" ref="Z115:Z117" si="395">ROUND(((+Y115-V115)/V115),4)</f>
        <v>0</v>
      </c>
      <c r="AA115" s="1151">
        <f>+'299 Tree Warden'!M10</f>
        <v>1575</v>
      </c>
      <c r="AB115" s="1168">
        <f t="shared" ref="AB115:AB117" si="396">ROUND(((+AA115-X115)/X115),4)</f>
        <v>0</v>
      </c>
      <c r="AC115" s="1146">
        <f>+'299 Tree Warden'!N10</f>
        <v>1575</v>
      </c>
      <c r="AD115" s="1168">
        <f t="shared" ref="AD115:AD117" si="397">ROUND(((+AC115-Y115)/Y115),4)</f>
        <v>0</v>
      </c>
      <c r="AE115" s="1151">
        <f>+'299 Tree Warden'!O10</f>
        <v>1575</v>
      </c>
      <c r="AF115" s="1168">
        <f t="shared" ref="AF115:AF117" si="398">ROUND(((+AE115-AA115)/AA115),4)</f>
        <v>0</v>
      </c>
      <c r="AG115" s="1146">
        <f>+'299 Tree Warden'!P10</f>
        <v>1575</v>
      </c>
      <c r="AH115" s="1168">
        <f t="shared" ref="AH115:AH117" si="399">ROUND(((+AG115-AC115)/AC115),4)</f>
        <v>0</v>
      </c>
      <c r="AI115" s="1168"/>
      <c r="AJ115" s="1168"/>
      <c r="AK115" s="1151">
        <f>+'299 Tree Warden'!Q10</f>
        <v>1575</v>
      </c>
      <c r="AL115" s="1168">
        <f t="shared" ref="AL115:AL117" si="400">ROUND(((+AK115-AE115)/AE115),4)</f>
        <v>0</v>
      </c>
      <c r="AM115" s="1146">
        <f>+'299 Tree Warden'!R10</f>
        <v>787.5</v>
      </c>
      <c r="AN115" s="1168">
        <f t="shared" ref="AN115:AN117" si="401">ROUND(((+AM115-AG115)/AG115),4)</f>
        <v>-0.5</v>
      </c>
      <c r="AO115" s="1168"/>
      <c r="AP115" s="1168"/>
      <c r="AQ115" s="1151">
        <f>+'299 Tree Warden'!S10</f>
        <v>1764</v>
      </c>
      <c r="AR115" s="1168">
        <f t="shared" ref="AR115:AR117" si="402">ROUND(((+AQ115-AK115)/AK115),4)</f>
        <v>0.12</v>
      </c>
      <c r="AS115" s="1168">
        <f t="shared" ref="AS115:AS117" si="403">ROUND((((+AQ115-U115)/U115)/5),4)</f>
        <v>2.4E-2</v>
      </c>
      <c r="AT115" s="1168">
        <f t="shared" ref="AT115:AT117" si="404">ROUND((((+AQ115-F115)/F115)/10),4)</f>
        <v>2.0799999999999999E-2</v>
      </c>
      <c r="AV115" s="1151">
        <f t="shared" ref="AV115" si="405">ROUND((+AQ115*(1+AT115)),0)</f>
        <v>1801</v>
      </c>
      <c r="AW115" s="1151">
        <f t="shared" ref="AW115" si="406">ROUND((+AV115*(1+AT115)),0)</f>
        <v>1838</v>
      </c>
      <c r="AX115" s="1151">
        <f t="shared" ref="AX115" si="407">ROUND((+AW115*(1+AT115)),0)</f>
        <v>1876</v>
      </c>
      <c r="AY115" s="1151">
        <f t="shared" ref="AY115" si="408">ROUND((+AX115*(1+AT115)),0)</f>
        <v>1915</v>
      </c>
      <c r="AZ115" s="1151">
        <f t="shared" ref="AZ115" si="409">ROUND((+AY115*(1+AT115)),0)</f>
        <v>1955</v>
      </c>
    </row>
    <row r="116" spans="1:54" x14ac:dyDescent="0.3">
      <c r="B116" s="947" t="s">
        <v>1869</v>
      </c>
      <c r="C116" s="1148">
        <f>+'299 Tree Warden'!C17</f>
        <v>10554.009999999998</v>
      </c>
      <c r="D116" s="1148">
        <f>+'299 Tree Warden'!D17</f>
        <v>10586.14</v>
      </c>
      <c r="E116" s="1172">
        <f t="shared" si="393"/>
        <v>3.0000000000000001E-3</v>
      </c>
      <c r="F116" s="1152">
        <v>12210</v>
      </c>
      <c r="G116" s="1148">
        <f>+'299 Tree Warden'!E17</f>
        <v>11655</v>
      </c>
      <c r="H116" s="1172">
        <f t="shared" si="394"/>
        <v>0.10100000000000001</v>
      </c>
      <c r="I116" s="1152">
        <v>12210</v>
      </c>
      <c r="J116" s="1148">
        <f>+'299 Tree Warden'!F17</f>
        <v>11526.49</v>
      </c>
      <c r="K116" s="1172">
        <f>ROUND(((+J116-G116)/G116),4)</f>
        <v>-1.0999999999999999E-2</v>
      </c>
      <c r="L116" s="1152">
        <v>12710</v>
      </c>
      <c r="M116" s="1148">
        <f>+'299 Tree Warden'!G17</f>
        <v>12216</v>
      </c>
      <c r="N116" s="1172">
        <f>ROUND(((+M116-J116)/J116),4)</f>
        <v>5.9799999999999999E-2</v>
      </c>
      <c r="O116" s="1152">
        <v>15710</v>
      </c>
      <c r="P116" s="1148">
        <f>+'299 Tree Warden'!H17</f>
        <v>15180.8</v>
      </c>
      <c r="Q116" s="1172">
        <f>ROUND(((+P116-M116)/M116),4)</f>
        <v>0.2427</v>
      </c>
      <c r="R116" s="1152">
        <v>15710</v>
      </c>
      <c r="S116" s="1148">
        <f>+'299 Tree Warden'!I17</f>
        <v>15545.5</v>
      </c>
      <c r="T116" s="1172">
        <f>ROUND(((+S116-P116)/P116),4)</f>
        <v>2.4E-2</v>
      </c>
      <c r="U116" s="1152">
        <v>16710</v>
      </c>
      <c r="V116" s="1148">
        <f>+'299 Tree Warden'!J17</f>
        <v>14135</v>
      </c>
      <c r="W116" s="1172">
        <f>ROUND(((+V116-S116)/S116),4)</f>
        <v>-9.0700000000000003E-2</v>
      </c>
      <c r="X116" s="1152">
        <f>+'299 Tree Warden'!K17</f>
        <v>18710</v>
      </c>
      <c r="Y116" s="1148">
        <f>+'299 Tree Warden'!L17</f>
        <v>17685</v>
      </c>
      <c r="Z116" s="1172">
        <f t="shared" si="395"/>
        <v>0.25109999999999999</v>
      </c>
      <c r="AA116" s="1152">
        <f>+'299 Tree Warden'!M17</f>
        <v>28710</v>
      </c>
      <c r="AB116" s="1172">
        <f t="shared" si="396"/>
        <v>0.53449999999999998</v>
      </c>
      <c r="AC116" s="1148">
        <f>+'299 Tree Warden'!N17</f>
        <v>26047.480000000003</v>
      </c>
      <c r="AD116" s="1172">
        <f t="shared" si="397"/>
        <v>0.47289999999999999</v>
      </c>
      <c r="AE116" s="1152">
        <f>+'299 Tree Warden'!O17</f>
        <v>28710</v>
      </c>
      <c r="AF116" s="1172">
        <f t="shared" si="398"/>
        <v>0</v>
      </c>
      <c r="AG116" s="1148">
        <f>+'299 Tree Warden'!P17</f>
        <v>26904.1</v>
      </c>
      <c r="AH116" s="1172">
        <f t="shared" si="399"/>
        <v>3.2899999999999999E-2</v>
      </c>
      <c r="AI116" s="1172"/>
      <c r="AJ116" s="1172"/>
      <c r="AK116" s="1152">
        <f>+'299 Tree Warden'!Q17</f>
        <v>28710</v>
      </c>
      <c r="AL116" s="1172">
        <f t="shared" si="400"/>
        <v>0</v>
      </c>
      <c r="AM116" s="1148">
        <f>+'299 Tree Warden'!R17</f>
        <v>10632.5</v>
      </c>
      <c r="AN116" s="1172">
        <f t="shared" si="401"/>
        <v>-0.6048</v>
      </c>
      <c r="AO116" s="1172"/>
      <c r="AP116" s="1172"/>
      <c r="AQ116" s="1152">
        <f>+'299 Tree Warden'!S17</f>
        <v>28710</v>
      </c>
      <c r="AR116" s="1172">
        <f t="shared" si="402"/>
        <v>0</v>
      </c>
      <c r="AS116" s="1172">
        <f t="shared" si="403"/>
        <v>0.14360000000000001</v>
      </c>
      <c r="AT116" s="1172">
        <f t="shared" si="404"/>
        <v>0.1351</v>
      </c>
      <c r="AV116" s="1152">
        <f>ROUND((+AQ116*(1.05)),0)</f>
        <v>30146</v>
      </c>
      <c r="AW116" s="1152">
        <f>ROUND((+AV116*(1.05)),0)</f>
        <v>31653</v>
      </c>
      <c r="AX116" s="1152">
        <f>ROUND((+AW116*(1.05)),0)</f>
        <v>33236</v>
      </c>
      <c r="AY116" s="1152">
        <f>ROUND((+AX116*(1.05)),0)</f>
        <v>34898</v>
      </c>
      <c r="AZ116" s="1152">
        <f>ROUND((+AY116*(1.054)),0)</f>
        <v>36782</v>
      </c>
      <c r="BA116" s="1214">
        <v>0.05</v>
      </c>
    </row>
    <row r="117" spans="1:54" x14ac:dyDescent="0.3">
      <c r="B117" s="947" t="s">
        <v>887</v>
      </c>
      <c r="C117" s="1146">
        <f>SUM(C114:C116)</f>
        <v>11817.089999999998</v>
      </c>
      <c r="D117" s="1146">
        <f t="shared" ref="D117:AQ117" si="410">SUM(D114:D116)</f>
        <v>11889.699999999999</v>
      </c>
      <c r="E117" s="1168">
        <f t="shared" si="393"/>
        <v>6.1000000000000004E-3</v>
      </c>
      <c r="F117" s="1151">
        <f t="shared" si="410"/>
        <v>13670</v>
      </c>
      <c r="G117" s="1146">
        <f t="shared" si="410"/>
        <v>12951.44</v>
      </c>
      <c r="H117" s="1168">
        <f t="shared" si="394"/>
        <v>8.9300000000000004E-2</v>
      </c>
      <c r="I117" s="1151">
        <f t="shared" si="410"/>
        <v>13710</v>
      </c>
      <c r="J117" s="1146">
        <f t="shared" si="410"/>
        <v>12826.49</v>
      </c>
      <c r="K117" s="1168">
        <f>ROUND(((+J117-G117)/G117),4)</f>
        <v>-9.5999999999999992E-3</v>
      </c>
      <c r="L117" s="1151">
        <f t="shared" si="410"/>
        <v>14210</v>
      </c>
      <c r="M117" s="1146">
        <f t="shared" si="410"/>
        <v>13716</v>
      </c>
      <c r="N117" s="1168">
        <f>ROUND(((+M117-J117)/J117),4)</f>
        <v>6.93E-2</v>
      </c>
      <c r="O117" s="1151">
        <f t="shared" si="410"/>
        <v>17210</v>
      </c>
      <c r="P117" s="1146">
        <f t="shared" si="410"/>
        <v>16680.8</v>
      </c>
      <c r="Q117" s="1168">
        <f>ROUND(((+P117-M117)/M117),4)</f>
        <v>0.2162</v>
      </c>
      <c r="R117" s="1151">
        <f t="shared" si="410"/>
        <v>17210</v>
      </c>
      <c r="S117" s="1146">
        <f t="shared" si="410"/>
        <v>17045.5</v>
      </c>
      <c r="T117" s="1168">
        <f>ROUND(((+S117-P117)/P117),4)</f>
        <v>2.1899999999999999E-2</v>
      </c>
      <c r="U117" s="1151">
        <f t="shared" si="410"/>
        <v>18285</v>
      </c>
      <c r="V117" s="1146">
        <f t="shared" si="410"/>
        <v>15710</v>
      </c>
      <c r="W117" s="1168">
        <f>ROUND(((+V117-S117)/S117),4)</f>
        <v>-7.8299999999999995E-2</v>
      </c>
      <c r="X117" s="1151">
        <f t="shared" si="410"/>
        <v>20285</v>
      </c>
      <c r="Y117" s="1146">
        <f t="shared" si="410"/>
        <v>19260</v>
      </c>
      <c r="Z117" s="1168">
        <f t="shared" si="395"/>
        <v>0.22600000000000001</v>
      </c>
      <c r="AA117" s="1151">
        <f t="shared" si="410"/>
        <v>30285</v>
      </c>
      <c r="AB117" s="1168">
        <f t="shared" si="396"/>
        <v>0.49299999999999999</v>
      </c>
      <c r="AC117" s="1146">
        <f t="shared" si="410"/>
        <v>27622.480000000003</v>
      </c>
      <c r="AD117" s="1168">
        <f t="shared" si="397"/>
        <v>0.43419999999999997</v>
      </c>
      <c r="AE117" s="1151">
        <f t="shared" si="410"/>
        <v>30285</v>
      </c>
      <c r="AF117" s="1168">
        <f t="shared" si="398"/>
        <v>0</v>
      </c>
      <c r="AG117" s="1146">
        <f t="shared" si="410"/>
        <v>28479.1</v>
      </c>
      <c r="AH117" s="1168">
        <f t="shared" si="399"/>
        <v>3.1E-2</v>
      </c>
      <c r="AI117" s="1168"/>
      <c r="AJ117" s="1168"/>
      <c r="AK117" s="1151">
        <f t="shared" si="410"/>
        <v>30285</v>
      </c>
      <c r="AL117" s="1168">
        <f t="shared" si="400"/>
        <v>0</v>
      </c>
      <c r="AM117" s="1146">
        <f t="shared" si="410"/>
        <v>11420</v>
      </c>
      <c r="AN117" s="1168">
        <f t="shared" si="401"/>
        <v>-0.59899999999999998</v>
      </c>
      <c r="AO117" s="1168"/>
      <c r="AP117" s="1168"/>
      <c r="AQ117" s="1151">
        <f t="shared" si="410"/>
        <v>30474</v>
      </c>
      <c r="AR117" s="1168">
        <f t="shared" si="402"/>
        <v>6.1999999999999998E-3</v>
      </c>
      <c r="AS117" s="1168">
        <f t="shared" si="403"/>
        <v>0.1333</v>
      </c>
      <c r="AT117" s="1168">
        <f t="shared" si="404"/>
        <v>0.1229</v>
      </c>
      <c r="AV117" s="1151">
        <f t="shared" ref="AV117:AZ117" si="411">SUM(AV114:AV116)</f>
        <v>31947</v>
      </c>
      <c r="AW117" s="1151">
        <f t="shared" si="411"/>
        <v>33491</v>
      </c>
      <c r="AX117" s="1151">
        <f t="shared" si="411"/>
        <v>35112</v>
      </c>
      <c r="AY117" s="1151">
        <f t="shared" si="411"/>
        <v>36813</v>
      </c>
      <c r="AZ117" s="1151">
        <f t="shared" si="411"/>
        <v>38737</v>
      </c>
    </row>
    <row r="118" spans="1:54" x14ac:dyDescent="0.3">
      <c r="AL118" s="1151"/>
      <c r="AQ118" s="1151"/>
      <c r="AR118" s="1151"/>
    </row>
    <row r="119" spans="1:54" x14ac:dyDescent="0.3">
      <c r="A119" s="954" t="s">
        <v>542</v>
      </c>
      <c r="AL119" s="1151"/>
      <c r="AQ119" s="1151"/>
      <c r="AR119" s="1151"/>
    </row>
    <row r="120" spans="1:54" x14ac:dyDescent="0.3">
      <c r="B120" s="947" t="s">
        <v>2218</v>
      </c>
      <c r="C120" s="1146">
        <f>+'420 DPW'!C17</f>
        <v>676710.89</v>
      </c>
      <c r="D120" s="1146">
        <f>+'420 DPW'!D17</f>
        <v>726866.31999999983</v>
      </c>
      <c r="E120" s="1168">
        <f t="shared" ref="E120:E123" si="412">ROUND(((+D120-C120)/C120),4)</f>
        <v>7.4099999999999999E-2</v>
      </c>
      <c r="F120" s="1151">
        <v>793296</v>
      </c>
      <c r="G120" s="1146">
        <f>+'420 DPW'!E17</f>
        <v>732045.94000000029</v>
      </c>
      <c r="H120" s="1168">
        <f t="shared" ref="H120:H123" si="413">ROUND(((+G120-D120)/D120),4)</f>
        <v>7.1000000000000004E-3</v>
      </c>
      <c r="I120" s="1151">
        <v>781054</v>
      </c>
      <c r="J120" s="1146">
        <f>+'420 DPW'!F17</f>
        <v>744500.33</v>
      </c>
      <c r="K120" s="1168">
        <f>ROUND(((+J120-G120)/G120),4)</f>
        <v>1.7000000000000001E-2</v>
      </c>
      <c r="L120" s="1151">
        <v>864948</v>
      </c>
      <c r="M120" s="1146">
        <f>+'420 DPW'!G17</f>
        <v>803464.39</v>
      </c>
      <c r="N120" s="1168">
        <f>ROUND(((+M120-J120)/J120),4)</f>
        <v>7.9200000000000007E-2</v>
      </c>
      <c r="O120" s="1151">
        <v>879440</v>
      </c>
      <c r="P120" s="1146">
        <f>+'420 DPW'!H17</f>
        <v>847311.35999999987</v>
      </c>
      <c r="Q120" s="1168">
        <f>ROUND(((+P120-M120)/M120),4)</f>
        <v>5.4600000000000003E-2</v>
      </c>
      <c r="R120" s="1151">
        <v>921188</v>
      </c>
      <c r="S120" s="1146">
        <f>+'420 DPW'!I17</f>
        <v>865566.70000000007</v>
      </c>
      <c r="T120" s="1168">
        <f>ROUND(((+S120-P120)/P120),4)</f>
        <v>2.1499999999999998E-2</v>
      </c>
      <c r="U120" s="1151">
        <v>922730</v>
      </c>
      <c r="V120" s="1146">
        <f>+'420 DPW'!J17</f>
        <v>924712.38</v>
      </c>
      <c r="W120" s="1168">
        <f>ROUND(((+V120-S120)/S120),4)</f>
        <v>6.83E-2</v>
      </c>
      <c r="X120" s="1151">
        <f>+'420 DPW'!K17</f>
        <v>967583</v>
      </c>
      <c r="Y120" s="1146">
        <f>+'420 DPW'!L17</f>
        <v>946083.38000000012</v>
      </c>
      <c r="Z120" s="1168">
        <f t="shared" ref="Z120:Z123" si="414">ROUND(((+Y120-V120)/V120),4)</f>
        <v>2.3099999999999999E-2</v>
      </c>
      <c r="AA120" s="1151">
        <f>+'420 DPW'!M17</f>
        <v>1022750</v>
      </c>
      <c r="AB120" s="1168">
        <f t="shared" ref="AB120:AB123" si="415">ROUND(((+AA120-X120)/X120),4)</f>
        <v>5.7000000000000002E-2</v>
      </c>
      <c r="AC120" s="1146">
        <f>+'420 DPW'!N17</f>
        <v>966095.4800000001</v>
      </c>
      <c r="AD120" s="1168">
        <f t="shared" ref="AD120:AD123" si="416">ROUND(((+AC120-Y120)/Y120),4)</f>
        <v>2.12E-2</v>
      </c>
      <c r="AE120" s="1151">
        <f>+'420 DPW'!O17</f>
        <v>1038654</v>
      </c>
      <c r="AF120" s="1168">
        <f t="shared" ref="AF120:AF123" si="417">ROUND(((+AE120-AA120)/AA120),4)</f>
        <v>1.5599999999999999E-2</v>
      </c>
      <c r="AG120" s="1146">
        <f>+'420 DPW'!P17</f>
        <v>945050.46000000008</v>
      </c>
      <c r="AH120" s="1168">
        <f t="shared" ref="AH120:AH123" si="418">ROUND(((+AG120-AC120)/AC120),4)</f>
        <v>-2.18E-2</v>
      </c>
      <c r="AI120" s="1168"/>
      <c r="AJ120" s="1168"/>
      <c r="AK120" s="1151">
        <f>+'420 DPW'!Q17</f>
        <v>1174641</v>
      </c>
      <c r="AL120" s="1168">
        <f t="shared" ref="AL120:AL123" si="419">ROUND(((+AK120-AE120)/AE120),4)</f>
        <v>0.13089999999999999</v>
      </c>
      <c r="AM120" s="1146">
        <f>+'420 DPW'!R17</f>
        <v>463000.95000000007</v>
      </c>
      <c r="AN120" s="1168">
        <f t="shared" ref="AN120:AN123" si="420">ROUND(((+AM120-AG120)/AG120),4)</f>
        <v>-0.5101</v>
      </c>
      <c r="AO120" s="1168"/>
      <c r="AP120" s="1168"/>
      <c r="AQ120" s="1151">
        <f>+'420 DPW'!S17</f>
        <v>1182590.5</v>
      </c>
      <c r="AR120" s="1168">
        <f t="shared" ref="AR120:AR123" si="421">ROUND(((+AQ120-AK120)/AK120),4)</f>
        <v>6.7999999999999996E-3</v>
      </c>
      <c r="AS120" s="1168">
        <f t="shared" ref="AS120:AS123" si="422">ROUND((((+AQ120-U120)/U120)/5),4)</f>
        <v>5.6300000000000003E-2</v>
      </c>
      <c r="AT120" s="1168">
        <f t="shared" ref="AT120:AT123" si="423">ROUND((((+AQ120-F120)/F120)/10),4)</f>
        <v>4.9099999999999998E-2</v>
      </c>
      <c r="AV120" s="1151">
        <f>ROUND((+AQ120*(1.028)),0)</f>
        <v>1215703</v>
      </c>
      <c r="AW120" s="1151">
        <f>ROUND((+AV120*(1.028)),0)</f>
        <v>1249743</v>
      </c>
      <c r="AX120" s="1151">
        <f>ROUND((+AW120*(1.028)),0)</f>
        <v>1284736</v>
      </c>
      <c r="AY120" s="1151">
        <f>ROUND((+AX120*(1.028)),0)</f>
        <v>1320709</v>
      </c>
      <c r="AZ120" s="1151">
        <f>ROUND((+AY120*(1.028)),0)</f>
        <v>1357689</v>
      </c>
      <c r="BA120" s="1214">
        <v>2.8000000000000001E-2</v>
      </c>
    </row>
    <row r="121" spans="1:54" x14ac:dyDescent="0.3">
      <c r="B121" s="947" t="s">
        <v>1869</v>
      </c>
      <c r="C121" s="1146">
        <f>+'420 DPW'!C56</f>
        <v>285136.54000000004</v>
      </c>
      <c r="D121" s="1146">
        <f>+'420 DPW'!D56</f>
        <v>332717.53999999998</v>
      </c>
      <c r="E121" s="1168">
        <f t="shared" si="412"/>
        <v>0.16689999999999999</v>
      </c>
      <c r="F121" s="1151">
        <v>340175</v>
      </c>
      <c r="G121" s="1146">
        <f>+'420 DPW'!E56</f>
        <v>399597.73000000004</v>
      </c>
      <c r="H121" s="1168">
        <f t="shared" si="413"/>
        <v>0.20100000000000001</v>
      </c>
      <c r="I121" s="1151">
        <v>367475</v>
      </c>
      <c r="J121" s="1146">
        <f>+'420 DPW'!F56</f>
        <v>382107.43999999994</v>
      </c>
      <c r="K121" s="1168">
        <f>ROUND(((+J121-G121)/G121),4)</f>
        <v>-4.3799999999999999E-2</v>
      </c>
      <c r="L121" s="1151">
        <v>328275</v>
      </c>
      <c r="M121" s="1146">
        <f>+'420 DPW'!G56</f>
        <v>316782.28999999998</v>
      </c>
      <c r="N121" s="1168">
        <f>ROUND(((+M121-J121)/J121),4)</f>
        <v>-0.17100000000000001</v>
      </c>
      <c r="O121" s="1151">
        <v>396325</v>
      </c>
      <c r="P121" s="1146">
        <f>+'420 DPW'!H56</f>
        <v>356131.57000000007</v>
      </c>
      <c r="Q121" s="1168">
        <f>ROUND(((+P121-M121)/M121),4)</f>
        <v>0.1242</v>
      </c>
      <c r="R121" s="1151">
        <v>427275</v>
      </c>
      <c r="S121" s="1146">
        <f>+'420 DPW'!I56</f>
        <v>427074.30000000005</v>
      </c>
      <c r="T121" s="1168">
        <f>ROUND(((+S121-P121)/P121),4)</f>
        <v>0.19919999999999999</v>
      </c>
      <c r="U121" s="1151">
        <v>447075</v>
      </c>
      <c r="V121" s="1146">
        <f>+'420 DPW'!J56</f>
        <v>430017.62000000005</v>
      </c>
      <c r="W121" s="1168">
        <f>ROUND(((+V121-S121)/S121),4)</f>
        <v>6.8999999999999999E-3</v>
      </c>
      <c r="X121" s="1151">
        <f>+'420 DPW'!K56</f>
        <v>473825</v>
      </c>
      <c r="Y121" s="1146">
        <f>+'420 DPW'!L56</f>
        <v>407776.17</v>
      </c>
      <c r="Z121" s="1168">
        <f t="shared" si="414"/>
        <v>-5.1700000000000003E-2</v>
      </c>
      <c r="AA121" s="1151">
        <f>+'420 DPW'!M56</f>
        <v>496075</v>
      </c>
      <c r="AB121" s="1168">
        <f t="shared" si="415"/>
        <v>4.7E-2</v>
      </c>
      <c r="AC121" s="1146">
        <f>+'420 DPW'!N56</f>
        <v>432058.60000000003</v>
      </c>
      <c r="AD121" s="1168">
        <f t="shared" si="416"/>
        <v>5.9499999999999997E-2</v>
      </c>
      <c r="AE121" s="1151">
        <f>+'420 DPW'!O56</f>
        <v>533175</v>
      </c>
      <c r="AF121" s="1168">
        <f t="shared" si="417"/>
        <v>7.4800000000000005E-2</v>
      </c>
      <c r="AG121" s="1146">
        <f>+'420 DPW'!P56</f>
        <v>541230.86</v>
      </c>
      <c r="AH121" s="1168">
        <f t="shared" si="418"/>
        <v>0.25269999999999998</v>
      </c>
      <c r="AI121" s="1168"/>
      <c r="AJ121" s="1168"/>
      <c r="AK121" s="1151">
        <f>+'420 DPW'!Q56</f>
        <v>572865</v>
      </c>
      <c r="AL121" s="1168">
        <f t="shared" si="419"/>
        <v>7.4399999999999994E-2</v>
      </c>
      <c r="AM121" s="1146">
        <f>+'420 DPW'!R56</f>
        <v>257705.81999999998</v>
      </c>
      <c r="AN121" s="1168">
        <f t="shared" si="420"/>
        <v>-0.52390000000000003</v>
      </c>
      <c r="AO121" s="1168"/>
      <c r="AP121" s="1168"/>
      <c r="AQ121" s="1151">
        <f>+'420 DPW'!S56</f>
        <v>589415</v>
      </c>
      <c r="AR121" s="1168">
        <f t="shared" si="421"/>
        <v>2.8899999999999999E-2</v>
      </c>
      <c r="AS121" s="1168">
        <f t="shared" si="422"/>
        <v>6.3700000000000007E-2</v>
      </c>
      <c r="AT121" s="1168">
        <f t="shared" si="423"/>
        <v>7.3300000000000004E-2</v>
      </c>
      <c r="AV121" s="1151">
        <f t="shared" ref="AV121" si="424">ROUND((+AQ121*(1+AT121)),0)</f>
        <v>632619</v>
      </c>
      <c r="AW121" s="1151">
        <f t="shared" ref="AW121" si="425">ROUND((+AV121*(1+AT121)),0)</f>
        <v>678990</v>
      </c>
      <c r="AX121" s="1151">
        <f t="shared" ref="AX121" si="426">ROUND((+AW121*(1+AT121)),0)</f>
        <v>728760</v>
      </c>
      <c r="AY121" s="1151">
        <f t="shared" ref="AY121" si="427">ROUND((+AX121*(1+AT121)),0)</f>
        <v>782178</v>
      </c>
      <c r="AZ121" s="1151">
        <f t="shared" ref="AZ121" si="428">ROUND((+AY121*(1+AT121)),0)</f>
        <v>839512</v>
      </c>
    </row>
    <row r="122" spans="1:54" x14ac:dyDescent="0.3">
      <c r="B122" s="947" t="s">
        <v>2221</v>
      </c>
      <c r="C122" s="1148">
        <f>+'420 DPW'!C58</f>
        <v>0</v>
      </c>
      <c r="D122" s="1148">
        <f>+'420 DPW'!D58</f>
        <v>0</v>
      </c>
      <c r="E122" s="1172" t="e">
        <f t="shared" si="412"/>
        <v>#DIV/0!</v>
      </c>
      <c r="F122" s="1152"/>
      <c r="G122" s="1148">
        <f>+'420 DPW'!E58</f>
        <v>0</v>
      </c>
      <c r="H122" s="1172" t="e">
        <f t="shared" si="413"/>
        <v>#DIV/0!</v>
      </c>
      <c r="I122" s="1152"/>
      <c r="J122" s="1148">
        <f>+'420 DPW'!F58</f>
        <v>0</v>
      </c>
      <c r="K122" s="1172" t="e">
        <f>ROUND(((+J122-G122)/G122),4)</f>
        <v>#DIV/0!</v>
      </c>
      <c r="L122" s="1152"/>
      <c r="M122" s="1148">
        <f>+'420 DPW'!G58</f>
        <v>0</v>
      </c>
      <c r="N122" s="1172" t="e">
        <f>ROUND(((+M122-J122)/J122),4)</f>
        <v>#DIV/0!</v>
      </c>
      <c r="O122" s="1152"/>
      <c r="P122" s="1148">
        <f>+'420 DPW'!H58</f>
        <v>0</v>
      </c>
      <c r="Q122" s="1172" t="e">
        <f>ROUND(((+P122-M122)/M122),4)</f>
        <v>#DIV/0!</v>
      </c>
      <c r="R122" s="1152">
        <v>24090</v>
      </c>
      <c r="S122" s="1148">
        <f>+'420 DPW'!I58</f>
        <v>21320.41</v>
      </c>
      <c r="T122" s="1172" t="e">
        <f>ROUND(((+S122-P122)/P122),4)</f>
        <v>#DIV/0!</v>
      </c>
      <c r="U122" s="1152">
        <v>24090</v>
      </c>
      <c r="V122" s="1148">
        <f>+'420 DPW'!J58</f>
        <v>21320.41</v>
      </c>
      <c r="W122" s="1172">
        <f>ROUND(((+V122-S122)/S122),4)</f>
        <v>0</v>
      </c>
      <c r="X122" s="1152">
        <f>+'420 DPW'!K58</f>
        <v>24090</v>
      </c>
      <c r="Y122" s="1148">
        <f>+'420 DPW'!L58</f>
        <v>21320.41</v>
      </c>
      <c r="Z122" s="1172">
        <f t="shared" si="414"/>
        <v>0</v>
      </c>
      <c r="AA122" s="1152">
        <f>+'420 DPW'!M58</f>
        <v>21321</v>
      </c>
      <c r="AB122" s="1172">
        <f t="shared" si="415"/>
        <v>-0.1149</v>
      </c>
      <c r="AC122" s="1148">
        <f>+'420 DPW'!N58</f>
        <v>21320.41</v>
      </c>
      <c r="AD122" s="1172">
        <f t="shared" si="416"/>
        <v>0</v>
      </c>
      <c r="AE122" s="1152">
        <f>+'420 DPW'!O58</f>
        <v>40000</v>
      </c>
      <c r="AF122" s="1172">
        <f t="shared" si="417"/>
        <v>0.87609999999999999</v>
      </c>
      <c r="AG122" s="1148">
        <f>+'420 DPW'!P58</f>
        <v>38715</v>
      </c>
      <c r="AH122" s="1172">
        <f t="shared" si="418"/>
        <v>0.81589999999999996</v>
      </c>
      <c r="AI122" s="1172"/>
      <c r="AJ122" s="1172"/>
      <c r="AK122" s="1152">
        <f>+'420 DPW'!Q58</f>
        <v>0</v>
      </c>
      <c r="AL122" s="1172">
        <f t="shared" si="419"/>
        <v>-1</v>
      </c>
      <c r="AM122" s="1148">
        <f>+'420 DPW'!R58</f>
        <v>0</v>
      </c>
      <c r="AN122" s="1172">
        <f t="shared" si="420"/>
        <v>-1</v>
      </c>
      <c r="AO122" s="1172"/>
      <c r="AP122" s="1172"/>
      <c r="AQ122" s="1152">
        <f>+'420 DPW'!S58</f>
        <v>0</v>
      </c>
      <c r="AR122" s="1172" t="e">
        <f t="shared" si="421"/>
        <v>#DIV/0!</v>
      </c>
      <c r="AS122" s="1213">
        <f t="shared" si="422"/>
        <v>-0.2</v>
      </c>
      <c r="AT122" s="1213" t="e">
        <f t="shared" si="423"/>
        <v>#DIV/0!</v>
      </c>
      <c r="AV122" s="1152"/>
      <c r="AW122" s="1152"/>
      <c r="AX122" s="1152"/>
      <c r="AY122" s="1152"/>
      <c r="AZ122" s="1152"/>
      <c r="BB122" s="947" t="s">
        <v>2265</v>
      </c>
    </row>
    <row r="123" spans="1:54" x14ac:dyDescent="0.3">
      <c r="B123" s="947" t="s">
        <v>887</v>
      </c>
      <c r="C123" s="1146">
        <f>SUM(C119:C122)</f>
        <v>961847.43</v>
      </c>
      <c r="D123" s="1146">
        <f t="shared" ref="D123:AQ123" si="429">SUM(D119:D122)</f>
        <v>1059583.8599999999</v>
      </c>
      <c r="E123" s="1168">
        <f t="shared" si="412"/>
        <v>0.1016</v>
      </c>
      <c r="F123" s="1151">
        <f t="shared" si="429"/>
        <v>1133471</v>
      </c>
      <c r="G123" s="1146">
        <f t="shared" si="429"/>
        <v>1131643.6700000004</v>
      </c>
      <c r="H123" s="1168">
        <f t="shared" si="413"/>
        <v>6.8000000000000005E-2</v>
      </c>
      <c r="I123" s="1151">
        <f t="shared" si="429"/>
        <v>1148529</v>
      </c>
      <c r="J123" s="1146">
        <f t="shared" si="429"/>
        <v>1126607.77</v>
      </c>
      <c r="K123" s="1168">
        <f>ROUND(((+J123-G123)/G123),4)</f>
        <v>-4.4999999999999997E-3</v>
      </c>
      <c r="L123" s="1151">
        <f t="shared" si="429"/>
        <v>1193223</v>
      </c>
      <c r="M123" s="1146">
        <f t="shared" si="429"/>
        <v>1120246.68</v>
      </c>
      <c r="N123" s="1168">
        <f>ROUND(((+M123-J123)/J123),4)</f>
        <v>-5.5999999999999999E-3</v>
      </c>
      <c r="O123" s="1151">
        <f t="shared" si="429"/>
        <v>1275765</v>
      </c>
      <c r="P123" s="1146">
        <f t="shared" si="429"/>
        <v>1203442.93</v>
      </c>
      <c r="Q123" s="1168">
        <f>ROUND(((+P123-M123)/M123),4)</f>
        <v>7.4300000000000005E-2</v>
      </c>
      <c r="R123" s="1151">
        <f t="shared" si="429"/>
        <v>1372553</v>
      </c>
      <c r="S123" s="1146">
        <f t="shared" si="429"/>
        <v>1313961.4099999999</v>
      </c>
      <c r="T123" s="1168">
        <f>ROUND(((+S123-P123)/P123),4)</f>
        <v>9.1800000000000007E-2</v>
      </c>
      <c r="U123" s="1151">
        <f t="shared" si="429"/>
        <v>1393895</v>
      </c>
      <c r="V123" s="1146">
        <f t="shared" si="429"/>
        <v>1376050.41</v>
      </c>
      <c r="W123" s="1168">
        <f>ROUND(((+V123-S123)/S123),4)</f>
        <v>4.7300000000000002E-2</v>
      </c>
      <c r="X123" s="1151">
        <f t="shared" si="429"/>
        <v>1465498</v>
      </c>
      <c r="Y123" s="1146">
        <f t="shared" si="429"/>
        <v>1375179.96</v>
      </c>
      <c r="Z123" s="1168">
        <f t="shared" si="414"/>
        <v>-5.9999999999999995E-4</v>
      </c>
      <c r="AA123" s="1151">
        <f t="shared" si="429"/>
        <v>1540146</v>
      </c>
      <c r="AB123" s="1168">
        <f t="shared" si="415"/>
        <v>5.0900000000000001E-2</v>
      </c>
      <c r="AC123" s="1146">
        <f t="shared" si="429"/>
        <v>1419474.49</v>
      </c>
      <c r="AD123" s="1168">
        <f t="shared" si="416"/>
        <v>3.2199999999999999E-2</v>
      </c>
      <c r="AE123" s="1151">
        <f t="shared" si="429"/>
        <v>1611829</v>
      </c>
      <c r="AF123" s="1168">
        <f t="shared" si="417"/>
        <v>4.65E-2</v>
      </c>
      <c r="AG123" s="1146">
        <f t="shared" si="429"/>
        <v>1524996.32</v>
      </c>
      <c r="AH123" s="1168">
        <f t="shared" si="418"/>
        <v>7.4300000000000005E-2</v>
      </c>
      <c r="AI123" s="1168"/>
      <c r="AJ123" s="1168"/>
      <c r="AK123" s="1151">
        <f t="shared" si="429"/>
        <v>1747506</v>
      </c>
      <c r="AL123" s="1168">
        <f t="shared" si="419"/>
        <v>8.4199999999999997E-2</v>
      </c>
      <c r="AM123" s="1146">
        <f t="shared" si="429"/>
        <v>720706.77</v>
      </c>
      <c r="AN123" s="1168">
        <f t="shared" si="420"/>
        <v>-0.52739999999999998</v>
      </c>
      <c r="AO123" s="1168"/>
      <c r="AP123" s="1168"/>
      <c r="AQ123" s="1151">
        <f t="shared" si="429"/>
        <v>1772005.5</v>
      </c>
      <c r="AR123" s="1168">
        <f t="shared" si="421"/>
        <v>1.4E-2</v>
      </c>
      <c r="AS123" s="1168">
        <f t="shared" si="422"/>
        <v>5.4300000000000001E-2</v>
      </c>
      <c r="AT123" s="1168">
        <f t="shared" si="423"/>
        <v>5.6300000000000003E-2</v>
      </c>
      <c r="AV123" s="1151">
        <f t="shared" ref="AV123:AZ123" si="430">SUM(AV119:AV122)</f>
        <v>1848322</v>
      </c>
      <c r="AW123" s="1151">
        <f t="shared" si="430"/>
        <v>1928733</v>
      </c>
      <c r="AX123" s="1151">
        <f t="shared" si="430"/>
        <v>2013496</v>
      </c>
      <c r="AY123" s="1151">
        <f t="shared" si="430"/>
        <v>2102887</v>
      </c>
      <c r="AZ123" s="1151">
        <f t="shared" si="430"/>
        <v>2197201</v>
      </c>
    </row>
    <row r="124" spans="1:54" x14ac:dyDescent="0.3">
      <c r="AL124" s="1151"/>
      <c r="AQ124" s="1151"/>
      <c r="AR124" s="1151"/>
    </row>
    <row r="125" spans="1:54" x14ac:dyDescent="0.3">
      <c r="A125" s="954" t="s">
        <v>544</v>
      </c>
      <c r="AL125" s="1151"/>
      <c r="AQ125" s="1151"/>
      <c r="AR125" s="1151"/>
    </row>
    <row r="126" spans="1:54" x14ac:dyDescent="0.3">
      <c r="B126" s="947" t="s">
        <v>2218</v>
      </c>
      <c r="C126" s="1146">
        <f>+'423 Snow'!C12</f>
        <v>53700.189999999995</v>
      </c>
      <c r="D126" s="1146">
        <f>+'423 Snow'!D12</f>
        <v>77708.25</v>
      </c>
      <c r="E126" s="1168">
        <f t="shared" ref="E126:E128" si="431">ROUND(((+D126-C126)/C126),4)</f>
        <v>0.4471</v>
      </c>
      <c r="F126" s="1151">
        <v>90000</v>
      </c>
      <c r="G126" s="1146">
        <f>+'423 Snow'!E12</f>
        <v>95746.48</v>
      </c>
      <c r="H126" s="1168">
        <f t="shared" ref="H126:H128" si="432">ROUND(((+G126-D126)/D126),4)</f>
        <v>0.2321</v>
      </c>
      <c r="I126" s="1151">
        <v>90500</v>
      </c>
      <c r="J126" s="1146">
        <f>+'423 Snow'!F12</f>
        <v>30988.980000000003</v>
      </c>
      <c r="K126" s="1168">
        <f>ROUND(((+J126-G126)/G126),4)</f>
        <v>-0.67630000000000001</v>
      </c>
      <c r="L126" s="1151">
        <v>90000</v>
      </c>
      <c r="M126" s="1146">
        <f>+'423 Snow'!G12</f>
        <v>83174</v>
      </c>
      <c r="N126" s="1168">
        <f>ROUND(((+M126-J126)/J126),4)</f>
        <v>1.6839999999999999</v>
      </c>
      <c r="O126" s="1151">
        <v>91000</v>
      </c>
      <c r="P126" s="1146">
        <f>+'423 Snow'!H12</f>
        <v>84348.6</v>
      </c>
      <c r="Q126" s="1168">
        <f>ROUND(((+P126-M126)/M126),4)</f>
        <v>1.41E-2</v>
      </c>
      <c r="R126" s="1151">
        <v>91000</v>
      </c>
      <c r="S126" s="1146">
        <f>+'423 Snow'!I12</f>
        <v>69521.56</v>
      </c>
      <c r="T126" s="1168">
        <f>ROUND(((+S126-P126)/P126),4)</f>
        <v>-0.17580000000000001</v>
      </c>
      <c r="U126" s="1151">
        <v>94000</v>
      </c>
      <c r="V126" s="1146">
        <f>+'423 Snow'!J12</f>
        <v>54763.360000000001</v>
      </c>
      <c r="W126" s="1168">
        <f>ROUND(((+V126-S126)/S126),4)</f>
        <v>-0.21229999999999999</v>
      </c>
      <c r="X126" s="1151">
        <f>+'423 Snow'!K12</f>
        <v>107050</v>
      </c>
      <c r="Y126" s="1146">
        <f>+'423 Snow'!L12</f>
        <v>56324.160000000003</v>
      </c>
      <c r="Z126" s="1168">
        <f t="shared" ref="Z126:Z128" si="433">ROUND(((+Y126-V126)/V126),4)</f>
        <v>2.8500000000000001E-2</v>
      </c>
      <c r="AA126" s="1151">
        <f>+'423 Snow'!M12</f>
        <v>107050</v>
      </c>
      <c r="AB126" s="1168">
        <f t="shared" ref="AB126:AB128" si="434">ROUND(((+AA126-X126)/X126),4)</f>
        <v>0</v>
      </c>
      <c r="AC126" s="1146">
        <f>+'423 Snow'!N12</f>
        <v>64035.72</v>
      </c>
      <c r="AD126" s="1168">
        <f t="shared" ref="AD126:AD128" si="435">ROUND(((+AC126-Y126)/Y126),4)</f>
        <v>0.13689999999999999</v>
      </c>
      <c r="AE126" s="1151">
        <f>+'423 Snow'!O12</f>
        <v>104050</v>
      </c>
      <c r="AF126" s="1168">
        <f t="shared" ref="AF126:AF128" si="436">ROUND(((+AE126-AA126)/AA126),4)</f>
        <v>-2.8000000000000001E-2</v>
      </c>
      <c r="AG126" s="1146">
        <f>+'423 Snow'!P12</f>
        <v>72338.53</v>
      </c>
      <c r="AH126" s="1168">
        <f t="shared" ref="AH126:AH128" si="437">ROUND(((+AG126-AC126)/AC126),4)</f>
        <v>0.12970000000000001</v>
      </c>
      <c r="AI126" s="1168"/>
      <c r="AJ126" s="1168"/>
      <c r="AK126" s="1151">
        <f>+'423 Snow'!Q12</f>
        <v>97000</v>
      </c>
      <c r="AL126" s="1168">
        <f t="shared" ref="AL126:AL128" si="438">ROUND(((+AK126-AE126)/AE126),4)</f>
        <v>-6.7799999999999999E-2</v>
      </c>
      <c r="AM126" s="1146">
        <f>+'423 Snow'!R12</f>
        <v>3242.39</v>
      </c>
      <c r="AN126" s="1168">
        <f t="shared" ref="AN126:AN128" si="439">ROUND(((+AM126-AG126)/AG126),4)</f>
        <v>-0.95520000000000005</v>
      </c>
      <c r="AO126" s="1168"/>
      <c r="AP126" s="1168"/>
      <c r="AQ126" s="1151">
        <f>+'423 Snow'!S12</f>
        <v>97000</v>
      </c>
      <c r="AR126" s="1168">
        <f t="shared" ref="AR126:AR128" si="440">ROUND(((+AQ126-AK126)/AK126),4)</f>
        <v>0</v>
      </c>
      <c r="AS126" s="1168">
        <f t="shared" ref="AS126:AS128" si="441">ROUND((((+AQ126-U126)/U126)/5),4)</f>
        <v>6.4000000000000003E-3</v>
      </c>
      <c r="AT126" s="1168">
        <f t="shared" ref="AT126:AT128" si="442">ROUND((((+AQ126-F126)/F126)/10),4)</f>
        <v>7.7999999999999996E-3</v>
      </c>
      <c r="AV126" s="1151">
        <f t="shared" ref="AV126:AV127" si="443">ROUND((+AQ126*(1+AT126)),0)</f>
        <v>97757</v>
      </c>
      <c r="AW126" s="1151">
        <f t="shared" ref="AW126:AW127" si="444">ROUND((+AV126*(1+AT126)),0)</f>
        <v>98520</v>
      </c>
      <c r="AX126" s="1151">
        <f t="shared" ref="AX126:AX127" si="445">ROUND((+AW126*(1+AT126)),0)</f>
        <v>99288</v>
      </c>
      <c r="AY126" s="1151">
        <f t="shared" ref="AY126:AY127" si="446">ROUND((+AX126*(1+AT126)),0)</f>
        <v>100062</v>
      </c>
      <c r="AZ126" s="1151">
        <f t="shared" ref="AZ126:AZ127" si="447">ROUND((+AY126*(1+AT126)),0)</f>
        <v>100842</v>
      </c>
    </row>
    <row r="127" spans="1:54" x14ac:dyDescent="0.3">
      <c r="B127" s="947" t="s">
        <v>1869</v>
      </c>
      <c r="C127" s="1148">
        <f>+'423 Snow'!C18</f>
        <v>106744.11</v>
      </c>
      <c r="D127" s="1148">
        <f>+'423 Snow'!D18</f>
        <v>132432.31</v>
      </c>
      <c r="E127" s="1172">
        <f t="shared" si="431"/>
        <v>0.2407</v>
      </c>
      <c r="F127" s="1152">
        <v>122000</v>
      </c>
      <c r="G127" s="1148">
        <f>+'423 Snow'!E18</f>
        <v>123498.41</v>
      </c>
      <c r="H127" s="1172">
        <f t="shared" si="432"/>
        <v>-6.7500000000000004E-2</v>
      </c>
      <c r="I127" s="1152">
        <v>136000</v>
      </c>
      <c r="J127" s="1148">
        <f>+'423 Snow'!F18</f>
        <v>92770.06</v>
      </c>
      <c r="K127" s="1172">
        <f>ROUND(((+J127-G127)/G127),4)</f>
        <v>-0.24879999999999999</v>
      </c>
      <c r="L127" s="1152">
        <v>129000</v>
      </c>
      <c r="M127" s="1148">
        <f>+'423 Snow'!G18</f>
        <v>122154.90000000001</v>
      </c>
      <c r="N127" s="1172">
        <f>ROUND(((+M127-J127)/J127),4)</f>
        <v>0.31669999999999998</v>
      </c>
      <c r="O127" s="1152">
        <v>133000</v>
      </c>
      <c r="P127" s="1148">
        <f>+'423 Snow'!H18</f>
        <v>138249.38999999998</v>
      </c>
      <c r="Q127" s="1172">
        <f>ROUND(((+P127-M127)/M127),4)</f>
        <v>0.1318</v>
      </c>
      <c r="R127" s="1152">
        <v>139000</v>
      </c>
      <c r="S127" s="1148">
        <f>+'423 Snow'!I18</f>
        <v>130619.61</v>
      </c>
      <c r="T127" s="1172">
        <f>ROUND(((+S127-P127)/P127),4)</f>
        <v>-5.5199999999999999E-2</v>
      </c>
      <c r="U127" s="1152">
        <v>158000</v>
      </c>
      <c r="V127" s="1148">
        <f>+'423 Snow'!J18</f>
        <v>128556.43</v>
      </c>
      <c r="W127" s="1172">
        <f>ROUND(((+V127-S127)/S127),4)</f>
        <v>-1.5800000000000002E-2</v>
      </c>
      <c r="X127" s="1152">
        <f>+'423 Snow'!K18</f>
        <v>171000</v>
      </c>
      <c r="Y127" s="1148">
        <f>+'423 Snow'!L18</f>
        <v>104955.04000000001</v>
      </c>
      <c r="Z127" s="1172">
        <f t="shared" si="433"/>
        <v>-0.18360000000000001</v>
      </c>
      <c r="AA127" s="1152">
        <f>+'423 Snow'!M18</f>
        <v>171000</v>
      </c>
      <c r="AB127" s="1172">
        <f t="shared" si="434"/>
        <v>0</v>
      </c>
      <c r="AC127" s="1148">
        <f>+'423 Snow'!N18</f>
        <v>172560.06</v>
      </c>
      <c r="AD127" s="1172">
        <f t="shared" si="435"/>
        <v>0.64410000000000001</v>
      </c>
      <c r="AE127" s="1152">
        <f>+'423 Snow'!O18</f>
        <v>177000</v>
      </c>
      <c r="AF127" s="1172">
        <f t="shared" si="436"/>
        <v>3.5099999999999999E-2</v>
      </c>
      <c r="AG127" s="1148">
        <f>+'423 Snow'!P18</f>
        <v>170726.21</v>
      </c>
      <c r="AH127" s="1172">
        <f t="shared" si="437"/>
        <v>-1.06E-2</v>
      </c>
      <c r="AI127" s="1172"/>
      <c r="AJ127" s="1172"/>
      <c r="AK127" s="1152">
        <f>+'423 Snow'!Q18</f>
        <v>214250</v>
      </c>
      <c r="AL127" s="1172">
        <f t="shared" si="438"/>
        <v>0.21049999999999999</v>
      </c>
      <c r="AM127" s="1148">
        <f>+'423 Snow'!R18</f>
        <v>46374.559999999998</v>
      </c>
      <c r="AN127" s="1172">
        <f t="shared" si="439"/>
        <v>-0.72840000000000005</v>
      </c>
      <c r="AO127" s="1172"/>
      <c r="AP127" s="1172"/>
      <c r="AQ127" s="1152">
        <f>+'423 Snow'!S18</f>
        <v>224250</v>
      </c>
      <c r="AR127" s="1172">
        <f t="shared" si="440"/>
        <v>4.6699999999999998E-2</v>
      </c>
      <c r="AS127" s="1213">
        <f t="shared" si="441"/>
        <v>8.3900000000000002E-2</v>
      </c>
      <c r="AT127" s="1213">
        <f t="shared" si="442"/>
        <v>8.3799999999999999E-2</v>
      </c>
      <c r="AV127" s="1152">
        <f t="shared" si="443"/>
        <v>243042</v>
      </c>
      <c r="AW127" s="1152">
        <f t="shared" si="444"/>
        <v>263409</v>
      </c>
      <c r="AX127" s="1152">
        <f t="shared" si="445"/>
        <v>285483</v>
      </c>
      <c r="AY127" s="1152">
        <f t="shared" si="446"/>
        <v>309406</v>
      </c>
      <c r="AZ127" s="1152">
        <f t="shared" si="447"/>
        <v>335334</v>
      </c>
    </row>
    <row r="128" spans="1:54" x14ac:dyDescent="0.3">
      <c r="B128" s="947" t="s">
        <v>887</v>
      </c>
      <c r="C128" s="1146">
        <f>SUM(C125:C127)</f>
        <v>160444.29999999999</v>
      </c>
      <c r="D128" s="1146">
        <f t="shared" ref="D128:AQ128" si="448">SUM(D125:D127)</f>
        <v>210140.56</v>
      </c>
      <c r="E128" s="1168">
        <f t="shared" si="431"/>
        <v>0.30969999999999998</v>
      </c>
      <c r="F128" s="1151">
        <f t="shared" si="448"/>
        <v>212000</v>
      </c>
      <c r="G128" s="1146">
        <f t="shared" si="448"/>
        <v>219244.89</v>
      </c>
      <c r="H128" s="1168">
        <f t="shared" si="432"/>
        <v>4.3299999999999998E-2</v>
      </c>
      <c r="I128" s="1151">
        <f t="shared" si="448"/>
        <v>226500</v>
      </c>
      <c r="J128" s="1146">
        <f t="shared" si="448"/>
        <v>123759.04000000001</v>
      </c>
      <c r="K128" s="1168">
        <f>ROUND(((+J128-G128)/G128),4)</f>
        <v>-0.4355</v>
      </c>
      <c r="L128" s="1151">
        <f t="shared" si="448"/>
        <v>219000</v>
      </c>
      <c r="M128" s="1146">
        <f t="shared" si="448"/>
        <v>205328.90000000002</v>
      </c>
      <c r="N128" s="1168">
        <f>ROUND(((+M128-J128)/J128),4)</f>
        <v>0.65910000000000002</v>
      </c>
      <c r="O128" s="1151">
        <f t="shared" si="448"/>
        <v>224000</v>
      </c>
      <c r="P128" s="1146">
        <f t="shared" si="448"/>
        <v>222597.99</v>
      </c>
      <c r="Q128" s="1168">
        <f>ROUND(((+P128-M128)/M128),4)</f>
        <v>8.4099999999999994E-2</v>
      </c>
      <c r="R128" s="1151">
        <f t="shared" si="448"/>
        <v>230000</v>
      </c>
      <c r="S128" s="1146">
        <f t="shared" si="448"/>
        <v>200141.16999999998</v>
      </c>
      <c r="T128" s="1168">
        <f>ROUND(((+S128-P128)/P128),4)</f>
        <v>-0.1009</v>
      </c>
      <c r="U128" s="1151">
        <f t="shared" si="448"/>
        <v>252000</v>
      </c>
      <c r="V128" s="1146">
        <f t="shared" si="448"/>
        <v>183319.78999999998</v>
      </c>
      <c r="W128" s="1168">
        <f>ROUND(((+V128-S128)/S128),4)</f>
        <v>-8.4000000000000005E-2</v>
      </c>
      <c r="X128" s="1151">
        <f t="shared" si="448"/>
        <v>278050</v>
      </c>
      <c r="Y128" s="1146">
        <f t="shared" si="448"/>
        <v>161279.20000000001</v>
      </c>
      <c r="Z128" s="1168">
        <f t="shared" si="433"/>
        <v>-0.1202</v>
      </c>
      <c r="AA128" s="1151">
        <f t="shared" si="448"/>
        <v>278050</v>
      </c>
      <c r="AB128" s="1168">
        <f t="shared" si="434"/>
        <v>0</v>
      </c>
      <c r="AC128" s="1146">
        <f t="shared" si="448"/>
        <v>236595.78</v>
      </c>
      <c r="AD128" s="1168">
        <f t="shared" si="435"/>
        <v>0.46700000000000003</v>
      </c>
      <c r="AE128" s="1151">
        <f t="shared" si="448"/>
        <v>281050</v>
      </c>
      <c r="AF128" s="1168">
        <f t="shared" si="436"/>
        <v>1.0800000000000001E-2</v>
      </c>
      <c r="AG128" s="1146">
        <f t="shared" si="448"/>
        <v>243064.74</v>
      </c>
      <c r="AH128" s="1168">
        <f t="shared" si="437"/>
        <v>2.7300000000000001E-2</v>
      </c>
      <c r="AI128" s="1168"/>
      <c r="AJ128" s="1168"/>
      <c r="AK128" s="1151">
        <f t="shared" si="448"/>
        <v>311250</v>
      </c>
      <c r="AL128" s="1168">
        <f t="shared" si="438"/>
        <v>0.1075</v>
      </c>
      <c r="AM128" s="1146">
        <f t="shared" si="448"/>
        <v>49616.95</v>
      </c>
      <c r="AN128" s="1168">
        <f t="shared" si="439"/>
        <v>-0.79590000000000005</v>
      </c>
      <c r="AO128" s="1168"/>
      <c r="AP128" s="1168"/>
      <c r="AQ128" s="1151">
        <f t="shared" si="448"/>
        <v>321250</v>
      </c>
      <c r="AR128" s="1168">
        <f t="shared" si="440"/>
        <v>3.2099999999999997E-2</v>
      </c>
      <c r="AS128" s="1168">
        <f t="shared" si="441"/>
        <v>5.5E-2</v>
      </c>
      <c r="AT128" s="1168">
        <f t="shared" si="442"/>
        <v>5.1499999999999997E-2</v>
      </c>
      <c r="AV128" s="1151">
        <f t="shared" ref="AV128:AZ128" si="449">SUM(AV125:AV127)</f>
        <v>340799</v>
      </c>
      <c r="AW128" s="1151">
        <f t="shared" si="449"/>
        <v>361929</v>
      </c>
      <c r="AX128" s="1151">
        <f t="shared" si="449"/>
        <v>384771</v>
      </c>
      <c r="AY128" s="1151">
        <f t="shared" si="449"/>
        <v>409468</v>
      </c>
      <c r="AZ128" s="1151">
        <f t="shared" si="449"/>
        <v>436176</v>
      </c>
    </row>
    <row r="129" spans="1:54" x14ac:dyDescent="0.3">
      <c r="AL129" s="1151"/>
      <c r="AQ129" s="1151"/>
      <c r="AR129" s="1151"/>
    </row>
    <row r="130" spans="1:54" x14ac:dyDescent="0.3">
      <c r="A130" s="954" t="s">
        <v>545</v>
      </c>
      <c r="AL130" s="1151"/>
      <c r="AQ130" s="1151"/>
      <c r="AR130" s="1151"/>
    </row>
    <row r="131" spans="1:54" x14ac:dyDescent="0.3">
      <c r="B131" s="947" t="s">
        <v>2218</v>
      </c>
      <c r="C131" s="1146">
        <f>+'433 Solid Waste'!C13</f>
        <v>17221.2</v>
      </c>
      <c r="D131" s="1146">
        <f>+'433 Solid Waste'!D13</f>
        <v>16516.849999999999</v>
      </c>
      <c r="E131" s="1168">
        <f t="shared" ref="E131:E133" si="450">ROUND(((+D131-C131)/C131),4)</f>
        <v>-4.0899999999999999E-2</v>
      </c>
      <c r="F131" s="1151">
        <v>21500</v>
      </c>
      <c r="G131" s="1146">
        <f>+'433 Solid Waste'!E13</f>
        <v>17402</v>
      </c>
      <c r="H131" s="1168">
        <f t="shared" ref="H131:H133" si="451">ROUND(((+G131-D131)/D131),4)</f>
        <v>5.3600000000000002E-2</v>
      </c>
      <c r="I131" s="1151">
        <v>21500</v>
      </c>
      <c r="J131" s="1146">
        <f>+'433 Solid Waste'!F13</f>
        <v>18127.28</v>
      </c>
      <c r="K131" s="1168">
        <f>ROUND(((+J131-G131)/G131),4)</f>
        <v>4.1700000000000001E-2</v>
      </c>
      <c r="L131" s="1151">
        <v>18500</v>
      </c>
      <c r="M131" s="1146">
        <f>+'433 Solid Waste'!G13</f>
        <v>12905.7</v>
      </c>
      <c r="N131" s="1168">
        <f>ROUND(((+M131-J131)/J131),4)</f>
        <v>-0.28810000000000002</v>
      </c>
      <c r="O131" s="1151">
        <v>11326</v>
      </c>
      <c r="P131" s="1146">
        <f>+'433 Solid Waste'!H13</f>
        <v>10628.58</v>
      </c>
      <c r="Q131" s="1168">
        <f>ROUND(((+P131-M131)/M131),4)</f>
        <v>-0.1764</v>
      </c>
      <c r="R131" s="1151">
        <v>11816</v>
      </c>
      <c r="S131" s="1146">
        <f>+'433 Solid Waste'!I13</f>
        <v>11599.830000000002</v>
      </c>
      <c r="T131" s="1168">
        <f>ROUND(((+S131-P131)/P131),4)</f>
        <v>9.1399999999999995E-2</v>
      </c>
      <c r="U131" s="1151">
        <v>12112</v>
      </c>
      <c r="V131" s="1146">
        <f>+'433 Solid Waste'!J13</f>
        <v>13821.39</v>
      </c>
      <c r="W131" s="1168">
        <f>ROUND(((+V131-S131)/S131),4)</f>
        <v>0.1915</v>
      </c>
      <c r="X131" s="1151">
        <f>+'433 Solid Waste'!K13</f>
        <v>13486</v>
      </c>
      <c r="Y131" s="1146">
        <f>+'433 Solid Waste'!L13</f>
        <v>10749.16</v>
      </c>
      <c r="Z131" s="1168">
        <f t="shared" ref="Z131:Z133" si="452">ROUND(((+Y131-V131)/V131),4)</f>
        <v>-0.2223</v>
      </c>
      <c r="AA131" s="1151">
        <f>+'433 Solid Waste'!M13</f>
        <v>12796</v>
      </c>
      <c r="AB131" s="1168">
        <f t="shared" ref="AB131:AB133" si="453">ROUND(((+AA131-X131)/X131),4)</f>
        <v>-5.1200000000000002E-2</v>
      </c>
      <c r="AC131" s="1146">
        <f>+'433 Solid Waste'!N13</f>
        <v>11245.99</v>
      </c>
      <c r="AD131" s="1168">
        <f t="shared" ref="AD131:AD133" si="454">ROUND(((+AC131-Y131)/Y131),4)</f>
        <v>4.6199999999999998E-2</v>
      </c>
      <c r="AE131" s="1151">
        <f>+'433 Solid Waste'!O13</f>
        <v>13438</v>
      </c>
      <c r="AF131" s="1168">
        <f t="shared" ref="AF131:AF133" si="455">ROUND(((+AE131-AA131)/AA131),4)</f>
        <v>5.0200000000000002E-2</v>
      </c>
      <c r="AG131" s="1146">
        <f>+'433 Solid Waste'!P13</f>
        <v>12720.93</v>
      </c>
      <c r="AH131" s="1168">
        <f t="shared" ref="AH131:AH133" si="456">ROUND(((+AG131-AC131)/AC131),4)</f>
        <v>0.13120000000000001</v>
      </c>
      <c r="AI131" s="1168"/>
      <c r="AJ131" s="1168"/>
      <c r="AK131" s="1151">
        <f>+'433 Solid Waste'!Q13</f>
        <v>14721</v>
      </c>
      <c r="AL131" s="1168">
        <f t="shared" ref="AL131:AL133" si="457">ROUND(((+AK131-AE131)/AE131),4)</f>
        <v>9.5500000000000002E-2</v>
      </c>
      <c r="AM131" s="1146">
        <f>+'433 Solid Waste'!R13</f>
        <v>7100.7300000000005</v>
      </c>
      <c r="AN131" s="1168">
        <f t="shared" ref="AN131:AN133" si="458">ROUND(((+AM131-AG131)/AG131),4)</f>
        <v>-0.44180000000000003</v>
      </c>
      <c r="AO131" s="1168"/>
      <c r="AP131" s="1168"/>
      <c r="AQ131" s="1151">
        <f>+'433 Solid Waste'!S13</f>
        <v>15376</v>
      </c>
      <c r="AR131" s="1168">
        <f t="shared" ref="AR131:AR133" si="459">ROUND(((+AQ131-AK131)/AK131),4)</f>
        <v>4.4499999999999998E-2</v>
      </c>
      <c r="AS131" s="1168">
        <f t="shared" ref="AS131:AS133" si="460">ROUND((((+AQ131-U131)/U131)/5),4)</f>
        <v>5.3900000000000003E-2</v>
      </c>
      <c r="AT131" s="1168">
        <f t="shared" ref="AT131:AT133" si="461">ROUND((((+AQ131-F131)/F131)/10),4)</f>
        <v>-2.8500000000000001E-2</v>
      </c>
      <c r="AV131" s="1151">
        <f>ROUND((+AQ131*(1.02)),0)</f>
        <v>15684</v>
      </c>
      <c r="AW131" s="1151">
        <f>ROUND((+AV131*(1.02)),0)</f>
        <v>15998</v>
      </c>
      <c r="AX131" s="1151">
        <f>ROUND((+AW131*(1.02)),0)</f>
        <v>16318</v>
      </c>
      <c r="AY131" s="1151">
        <f>ROUND((+AX131*(1.02)),0)</f>
        <v>16644</v>
      </c>
      <c r="AZ131" s="1151">
        <f>ROUND((+AY131*(1.02)),0)</f>
        <v>16977</v>
      </c>
      <c r="BA131" s="1214">
        <v>0.02</v>
      </c>
    </row>
    <row r="132" spans="1:54" x14ac:dyDescent="0.3">
      <c r="B132" s="947" t="s">
        <v>1869</v>
      </c>
      <c r="C132" s="1148">
        <f>+'433 Solid Waste'!C25</f>
        <v>412217.73999999993</v>
      </c>
      <c r="D132" s="1148">
        <f>+'433 Solid Waste'!D25</f>
        <v>414590.25</v>
      </c>
      <c r="E132" s="1172">
        <f t="shared" si="450"/>
        <v>5.7999999999999996E-3</v>
      </c>
      <c r="F132" s="1152">
        <v>412300</v>
      </c>
      <c r="G132" s="1148">
        <f>+'433 Solid Waste'!E25</f>
        <v>391429.09</v>
      </c>
      <c r="H132" s="1172">
        <f t="shared" si="451"/>
        <v>-5.5899999999999998E-2</v>
      </c>
      <c r="I132" s="1152">
        <v>425500</v>
      </c>
      <c r="J132" s="1148">
        <f>+'433 Solid Waste'!F25</f>
        <v>414957.63999999996</v>
      </c>
      <c r="K132" s="1172">
        <f>ROUND(((+J132-G132)/G132),4)</f>
        <v>6.0100000000000001E-2</v>
      </c>
      <c r="L132" s="1152">
        <v>429000</v>
      </c>
      <c r="M132" s="1148">
        <f>+'433 Solid Waste'!G25</f>
        <v>411174.17999999993</v>
      </c>
      <c r="N132" s="1172">
        <f>ROUND(((+M132-J132)/J132),4)</f>
        <v>-9.1000000000000004E-3</v>
      </c>
      <c r="O132" s="1152">
        <v>446000</v>
      </c>
      <c r="P132" s="1148">
        <f>+'433 Solid Waste'!H25</f>
        <v>430674.22</v>
      </c>
      <c r="Q132" s="1172">
        <f>ROUND(((+P132-M132)/M132),4)</f>
        <v>4.7399999999999998E-2</v>
      </c>
      <c r="R132" s="1152">
        <v>467240</v>
      </c>
      <c r="S132" s="1148">
        <f>+'433 Solid Waste'!I25</f>
        <v>446547.69</v>
      </c>
      <c r="T132" s="1172">
        <f>ROUND(((+S132-P132)/P132),4)</f>
        <v>3.6900000000000002E-2</v>
      </c>
      <c r="U132" s="1152">
        <v>507700</v>
      </c>
      <c r="V132" s="1148">
        <f>+'433 Solid Waste'!J25</f>
        <v>504076.90000000008</v>
      </c>
      <c r="W132" s="1172">
        <f>ROUND(((+V132-S132)/S132),4)</f>
        <v>0.1288</v>
      </c>
      <c r="X132" s="1152">
        <f>+'433 Solid Waste'!K25</f>
        <v>585400</v>
      </c>
      <c r="Y132" s="1148">
        <f>+'433 Solid Waste'!L25</f>
        <v>553543.25999999989</v>
      </c>
      <c r="Z132" s="1172">
        <f t="shared" si="452"/>
        <v>9.8100000000000007E-2</v>
      </c>
      <c r="AA132" s="1152">
        <f>+'433 Solid Waste'!M25</f>
        <v>612000</v>
      </c>
      <c r="AB132" s="1172">
        <f t="shared" si="453"/>
        <v>4.5400000000000003E-2</v>
      </c>
      <c r="AC132" s="1148">
        <f>+'433 Solid Waste'!N25</f>
        <v>554099.16</v>
      </c>
      <c r="AD132" s="1172">
        <f t="shared" si="454"/>
        <v>1E-3</v>
      </c>
      <c r="AE132" s="1152">
        <f>+'433 Solid Waste'!O25</f>
        <v>642900</v>
      </c>
      <c r="AF132" s="1172">
        <f t="shared" si="455"/>
        <v>5.0500000000000003E-2</v>
      </c>
      <c r="AG132" s="1148">
        <f>+'433 Solid Waste'!P25</f>
        <v>604377.16</v>
      </c>
      <c r="AH132" s="1172">
        <f t="shared" si="456"/>
        <v>9.0700000000000003E-2</v>
      </c>
      <c r="AI132" s="1172"/>
      <c r="AJ132" s="1172"/>
      <c r="AK132" s="1152">
        <f>+'433 Solid Waste'!Q25</f>
        <v>664500</v>
      </c>
      <c r="AL132" s="1172">
        <f t="shared" si="457"/>
        <v>3.3599999999999998E-2</v>
      </c>
      <c r="AM132" s="1148">
        <f>+'433 Solid Waste'!R25</f>
        <v>267920.84999999998</v>
      </c>
      <c r="AN132" s="1172">
        <f t="shared" si="458"/>
        <v>-0.55669999999999997</v>
      </c>
      <c r="AO132" s="1172"/>
      <c r="AP132" s="1172"/>
      <c r="AQ132" s="1152">
        <f>+'433 Solid Waste'!S25</f>
        <v>787400</v>
      </c>
      <c r="AR132" s="1172">
        <f t="shared" si="459"/>
        <v>0.185</v>
      </c>
      <c r="AS132" s="1172">
        <f t="shared" si="460"/>
        <v>0.11020000000000001</v>
      </c>
      <c r="AT132" s="1172">
        <f t="shared" si="461"/>
        <v>9.0999999999999998E-2</v>
      </c>
      <c r="AV132" s="1152">
        <f t="shared" ref="AV132" si="462">ROUND((+AQ132*(1+AT132)),0)</f>
        <v>859053</v>
      </c>
      <c r="AW132" s="1152">
        <f t="shared" ref="AW132" si="463">ROUND((+AV132*(1+AT132)),0)</f>
        <v>937227</v>
      </c>
      <c r="AX132" s="1152">
        <f t="shared" ref="AX132" si="464">ROUND((+AW132*(1+AT132)),0)</f>
        <v>1022515</v>
      </c>
      <c r="AY132" s="1152">
        <f t="shared" ref="AY132" si="465">ROUND((+AX132*(1+AT132)),0)</f>
        <v>1115564</v>
      </c>
      <c r="AZ132" s="1152">
        <f t="shared" ref="AZ132" si="466">ROUND((+AY132*(1+AT132)),0)</f>
        <v>1217080</v>
      </c>
    </row>
    <row r="133" spans="1:54" x14ac:dyDescent="0.3">
      <c r="B133" s="947" t="s">
        <v>887</v>
      </c>
      <c r="C133" s="1146">
        <f>SUM(C130:C132)</f>
        <v>429438.93999999994</v>
      </c>
      <c r="D133" s="1146">
        <f t="shared" ref="D133:AQ133" si="467">SUM(D130:D132)</f>
        <v>431107.1</v>
      </c>
      <c r="E133" s="1168">
        <f t="shared" si="450"/>
        <v>3.8999999999999998E-3</v>
      </c>
      <c r="F133" s="1151">
        <f t="shared" si="467"/>
        <v>433800</v>
      </c>
      <c r="G133" s="1146">
        <f t="shared" si="467"/>
        <v>408831.09</v>
      </c>
      <c r="H133" s="1168">
        <f t="shared" si="451"/>
        <v>-5.1700000000000003E-2</v>
      </c>
      <c r="I133" s="1151">
        <f t="shared" si="467"/>
        <v>447000</v>
      </c>
      <c r="J133" s="1146">
        <f t="shared" si="467"/>
        <v>433084.91999999993</v>
      </c>
      <c r="K133" s="1168">
        <f>ROUND(((+J133-G133)/G133),4)</f>
        <v>5.9299999999999999E-2</v>
      </c>
      <c r="L133" s="1151">
        <f t="shared" si="467"/>
        <v>447500</v>
      </c>
      <c r="M133" s="1146">
        <f t="shared" si="467"/>
        <v>424079.87999999995</v>
      </c>
      <c r="N133" s="1168">
        <f>ROUND(((+M133-J133)/J133),4)</f>
        <v>-2.0799999999999999E-2</v>
      </c>
      <c r="O133" s="1151">
        <f t="shared" si="467"/>
        <v>457326</v>
      </c>
      <c r="P133" s="1146">
        <f t="shared" si="467"/>
        <v>441302.8</v>
      </c>
      <c r="Q133" s="1168">
        <f>ROUND(((+P133-M133)/M133),4)</f>
        <v>4.0599999999999997E-2</v>
      </c>
      <c r="R133" s="1151">
        <f t="shared" si="467"/>
        <v>479056</v>
      </c>
      <c r="S133" s="1146">
        <f t="shared" si="467"/>
        <v>458147.52</v>
      </c>
      <c r="T133" s="1168">
        <f>ROUND(((+S133-P133)/P133),4)</f>
        <v>3.8199999999999998E-2</v>
      </c>
      <c r="U133" s="1151">
        <f t="shared" si="467"/>
        <v>519812</v>
      </c>
      <c r="V133" s="1146">
        <f t="shared" si="467"/>
        <v>517898.2900000001</v>
      </c>
      <c r="W133" s="1168">
        <f>ROUND(((+V133-S133)/S133),4)</f>
        <v>0.13039999999999999</v>
      </c>
      <c r="X133" s="1151">
        <f t="shared" si="467"/>
        <v>598886</v>
      </c>
      <c r="Y133" s="1146">
        <f t="shared" si="467"/>
        <v>564292.41999999993</v>
      </c>
      <c r="Z133" s="1168">
        <f t="shared" si="452"/>
        <v>8.9599999999999999E-2</v>
      </c>
      <c r="AA133" s="1151">
        <f t="shared" si="467"/>
        <v>624796</v>
      </c>
      <c r="AB133" s="1168">
        <f t="shared" si="453"/>
        <v>4.3299999999999998E-2</v>
      </c>
      <c r="AC133" s="1146">
        <f t="shared" si="467"/>
        <v>565345.15</v>
      </c>
      <c r="AD133" s="1168">
        <f t="shared" si="454"/>
        <v>1.9E-3</v>
      </c>
      <c r="AE133" s="1151">
        <f t="shared" si="467"/>
        <v>656338</v>
      </c>
      <c r="AF133" s="1168">
        <f t="shared" si="455"/>
        <v>5.0500000000000003E-2</v>
      </c>
      <c r="AG133" s="1146">
        <f t="shared" si="467"/>
        <v>617098.09000000008</v>
      </c>
      <c r="AH133" s="1168">
        <f t="shared" si="456"/>
        <v>9.1499999999999998E-2</v>
      </c>
      <c r="AI133" s="1168"/>
      <c r="AJ133" s="1168"/>
      <c r="AK133" s="1151">
        <f t="shared" si="467"/>
        <v>679221</v>
      </c>
      <c r="AL133" s="1168">
        <f t="shared" si="457"/>
        <v>3.49E-2</v>
      </c>
      <c r="AM133" s="1146">
        <f t="shared" si="467"/>
        <v>275021.57999999996</v>
      </c>
      <c r="AN133" s="1168">
        <f t="shared" si="458"/>
        <v>-0.55430000000000001</v>
      </c>
      <c r="AO133" s="1168"/>
      <c r="AP133" s="1168"/>
      <c r="AQ133" s="1151">
        <f t="shared" si="467"/>
        <v>802776</v>
      </c>
      <c r="AR133" s="1168">
        <f t="shared" si="459"/>
        <v>0.18190000000000001</v>
      </c>
      <c r="AS133" s="1168">
        <f t="shared" si="460"/>
        <v>0.1089</v>
      </c>
      <c r="AT133" s="1168">
        <f t="shared" si="461"/>
        <v>8.5099999999999995E-2</v>
      </c>
      <c r="AV133" s="1151">
        <f t="shared" ref="AV133:AZ133" si="468">SUM(AV130:AV132)</f>
        <v>874737</v>
      </c>
      <c r="AW133" s="1151">
        <f t="shared" si="468"/>
        <v>953225</v>
      </c>
      <c r="AX133" s="1151">
        <f t="shared" si="468"/>
        <v>1038833</v>
      </c>
      <c r="AY133" s="1151">
        <f t="shared" si="468"/>
        <v>1132208</v>
      </c>
      <c r="AZ133" s="1151">
        <f t="shared" si="468"/>
        <v>1234057</v>
      </c>
    </row>
    <row r="134" spans="1:54" x14ac:dyDescent="0.3">
      <c r="AL134" s="1151"/>
      <c r="AQ134" s="1151"/>
      <c r="AR134" s="1151"/>
    </row>
    <row r="135" spans="1:54" x14ac:dyDescent="0.3">
      <c r="A135" s="954" t="s">
        <v>2215</v>
      </c>
      <c r="E135" s="1168"/>
      <c r="H135" s="1168"/>
      <c r="K135" s="1168"/>
      <c r="N135" s="1168"/>
      <c r="Q135" s="1168"/>
      <c r="T135" s="1168"/>
      <c r="W135" s="1168"/>
      <c r="Z135" s="1168"/>
      <c r="AB135" s="1168"/>
      <c r="AD135" s="1168"/>
      <c r="AH135" s="1168"/>
      <c r="AI135" s="1168"/>
      <c r="AJ135" s="1168"/>
      <c r="AL135" s="1151"/>
      <c r="AN135" s="1168"/>
      <c r="AO135" s="1168"/>
      <c r="AP135" s="1168"/>
      <c r="AQ135" s="1151"/>
      <c r="AR135" s="1151"/>
    </row>
    <row r="136" spans="1:54" x14ac:dyDescent="0.3">
      <c r="B136" s="947" t="s">
        <v>1869</v>
      </c>
      <c r="C136" s="1148">
        <f>+'480 Charging Stations'!C13</f>
        <v>0</v>
      </c>
      <c r="D136" s="1148">
        <f>+'480 Charging Stations'!D13</f>
        <v>0</v>
      </c>
      <c r="E136" s="1172" t="e">
        <f t="shared" ref="E136:E137" si="469">ROUND(((+D136-C136)/C136),4)</f>
        <v>#DIV/0!</v>
      </c>
      <c r="F136" s="1152"/>
      <c r="G136" s="1148">
        <f>+'480 Charging Stations'!E13</f>
        <v>0</v>
      </c>
      <c r="H136" s="1172" t="e">
        <f t="shared" ref="H136:H137" si="470">ROUND(((+G136-D136)/D136),4)</f>
        <v>#DIV/0!</v>
      </c>
      <c r="I136" s="1152"/>
      <c r="J136" s="1148">
        <f>+'480 Charging Stations'!F13</f>
        <v>0</v>
      </c>
      <c r="K136" s="1172" t="e">
        <f>ROUND(((+J136-G136)/G136),4)</f>
        <v>#DIV/0!</v>
      </c>
      <c r="L136" s="1152"/>
      <c r="M136" s="1148">
        <f>+'480 Charging Stations'!G13</f>
        <v>0</v>
      </c>
      <c r="N136" s="1172" t="e">
        <f>ROUND(((+M136-J136)/J136),4)</f>
        <v>#DIV/0!</v>
      </c>
      <c r="O136" s="1152"/>
      <c r="P136" s="1148">
        <f>+'480 Charging Stations'!H13</f>
        <v>0</v>
      </c>
      <c r="Q136" s="1172" t="e">
        <f>ROUND(((+P136-M136)/M136),4)</f>
        <v>#DIV/0!</v>
      </c>
      <c r="R136" s="1152"/>
      <c r="S136" s="1148">
        <f>+'480 Charging Stations'!I13</f>
        <v>0</v>
      </c>
      <c r="T136" s="1172" t="e">
        <f>ROUND(((+S136-P136)/P136),4)</f>
        <v>#DIV/0!</v>
      </c>
      <c r="U136" s="1152"/>
      <c r="V136" s="1148">
        <f>+'480 Charging Stations'!J13</f>
        <v>7939.82</v>
      </c>
      <c r="W136" s="1172" t="e">
        <f>ROUND(((+V136-S136)/S136),4)</f>
        <v>#DIV/0!</v>
      </c>
      <c r="X136" s="1152">
        <f>+'480 Charging Stations'!K13</f>
        <v>7000</v>
      </c>
      <c r="Y136" s="1148">
        <f>+'480 Charging Stations'!L13</f>
        <v>3227.64</v>
      </c>
      <c r="Z136" s="1172">
        <f t="shared" ref="Z136:Z137" si="471">ROUND(((+Y136-V136)/V136),4)</f>
        <v>-0.59350000000000003</v>
      </c>
      <c r="AA136" s="1152">
        <f>+'480 Charging Stations'!M13</f>
        <v>6000</v>
      </c>
      <c r="AB136" s="1172">
        <f t="shared" ref="AB136:AB137" si="472">ROUND(((+AA136-X136)/X136),4)</f>
        <v>-0.1429</v>
      </c>
      <c r="AC136" s="1148">
        <f>+'480 Charging Stations'!N13</f>
        <v>4250.4799999999996</v>
      </c>
      <c r="AD136" s="1172">
        <f t="shared" ref="AD136:AD137" si="473">ROUND(((+AC136-Y136)/Y136),4)</f>
        <v>0.31690000000000002</v>
      </c>
      <c r="AE136" s="1152">
        <f>+'480 Charging Stations'!O13</f>
        <v>6000</v>
      </c>
      <c r="AF136" s="1172">
        <f t="shared" ref="AF136:AF137" si="474">ROUND(((+AE136-AA136)/AA136),4)</f>
        <v>0</v>
      </c>
      <c r="AG136" s="1148">
        <f>+'480 Charging Stations'!P13</f>
        <v>6575.48</v>
      </c>
      <c r="AH136" s="1172">
        <f t="shared" ref="AH136:AH137" si="475">ROUND(((+AG136-AC136)/AC136),4)</f>
        <v>0.54700000000000004</v>
      </c>
      <c r="AI136" s="1172"/>
      <c r="AJ136" s="1172"/>
      <c r="AK136" s="1152">
        <f>+'480 Charging Stations'!Q13</f>
        <v>7380</v>
      </c>
      <c r="AL136" s="1172">
        <f t="shared" ref="AL136:AL137" si="476">ROUND(((+AK136-AE136)/AE136),4)</f>
        <v>0.23</v>
      </c>
      <c r="AM136" s="1148">
        <f>+'480 Charging Stations'!R13</f>
        <v>3599.12</v>
      </c>
      <c r="AN136" s="1172">
        <f t="shared" ref="AN136:AN137" si="477">ROUND(((+AM136-AG136)/AG136),4)</f>
        <v>-0.4526</v>
      </c>
      <c r="AO136" s="1172"/>
      <c r="AP136" s="1172"/>
      <c r="AQ136" s="1152">
        <f>+'480 Charging Stations'!S13</f>
        <v>11980</v>
      </c>
      <c r="AR136" s="1172">
        <f t="shared" ref="AR136:AR137" si="478">ROUND(((+AQ136-AK136)/AK136),4)</f>
        <v>0.62329999999999997</v>
      </c>
      <c r="AS136" s="1172" t="e">
        <f t="shared" ref="AS136:AS137" si="479">ROUND((((+AQ136-U136)/U136)/5),4)</f>
        <v>#DIV/0!</v>
      </c>
      <c r="AT136" s="1172" t="e">
        <f t="shared" ref="AT136:AT137" si="480">ROUND((((+AQ136-F136)/F136)/10),4)</f>
        <v>#DIV/0!</v>
      </c>
      <c r="AV136" s="1151">
        <f>ROUND((+AQ136*(1.038)),0)</f>
        <v>12435</v>
      </c>
      <c r="AW136" s="1151">
        <f>ROUND((+AV136*(1.038)),0)</f>
        <v>12908</v>
      </c>
      <c r="AX136" s="1151">
        <f>ROUND((+AW136*(1.038)),0)</f>
        <v>13399</v>
      </c>
      <c r="AY136" s="1151">
        <f>ROUND((+AX136*(1.038)),0)</f>
        <v>13908</v>
      </c>
      <c r="AZ136" s="1151">
        <f>ROUND((+AY136*(1.038)),0)</f>
        <v>14437</v>
      </c>
      <c r="BA136" s="1214">
        <v>3.7999999999999999E-2</v>
      </c>
      <c r="BB136" s="947" t="s">
        <v>2266</v>
      </c>
    </row>
    <row r="137" spans="1:54" x14ac:dyDescent="0.3">
      <c r="B137" s="947" t="s">
        <v>887</v>
      </c>
      <c r="C137" s="1146">
        <f>SUM(C135:C136)</f>
        <v>0</v>
      </c>
      <c r="D137" s="1146">
        <f t="shared" ref="D137:AQ137" si="481">SUM(D135:D136)</f>
        <v>0</v>
      </c>
      <c r="E137" s="1168" t="e">
        <f t="shared" si="469"/>
        <v>#DIV/0!</v>
      </c>
      <c r="F137" s="1151">
        <f t="shared" si="481"/>
        <v>0</v>
      </c>
      <c r="G137" s="1146">
        <f t="shared" si="481"/>
        <v>0</v>
      </c>
      <c r="H137" s="1168" t="e">
        <f t="shared" si="470"/>
        <v>#DIV/0!</v>
      </c>
      <c r="I137" s="1151">
        <f t="shared" si="481"/>
        <v>0</v>
      </c>
      <c r="J137" s="1146">
        <f t="shared" si="481"/>
        <v>0</v>
      </c>
      <c r="K137" s="1168" t="e">
        <f>ROUND(((+J137-G137)/G137),4)</f>
        <v>#DIV/0!</v>
      </c>
      <c r="L137" s="1151">
        <f t="shared" si="481"/>
        <v>0</v>
      </c>
      <c r="M137" s="1146">
        <f t="shared" si="481"/>
        <v>0</v>
      </c>
      <c r="N137" s="1168" t="e">
        <f>ROUND(((+M137-J137)/J137),4)</f>
        <v>#DIV/0!</v>
      </c>
      <c r="O137" s="1151">
        <f t="shared" si="481"/>
        <v>0</v>
      </c>
      <c r="P137" s="1146">
        <f t="shared" si="481"/>
        <v>0</v>
      </c>
      <c r="Q137" s="1168" t="e">
        <f>ROUND(((+P137-M137)/M137),4)</f>
        <v>#DIV/0!</v>
      </c>
      <c r="R137" s="1151">
        <f t="shared" si="481"/>
        <v>0</v>
      </c>
      <c r="S137" s="1146">
        <f t="shared" si="481"/>
        <v>0</v>
      </c>
      <c r="T137" s="1168" t="e">
        <f>ROUND(((+S137-P137)/P137),4)</f>
        <v>#DIV/0!</v>
      </c>
      <c r="U137" s="1151">
        <f t="shared" si="481"/>
        <v>0</v>
      </c>
      <c r="V137" s="1146">
        <f t="shared" si="481"/>
        <v>7939.82</v>
      </c>
      <c r="W137" s="1168" t="e">
        <f>ROUND(((+V137-S137)/S137),4)</f>
        <v>#DIV/0!</v>
      </c>
      <c r="X137" s="1151">
        <f t="shared" si="481"/>
        <v>7000</v>
      </c>
      <c r="Y137" s="1146">
        <f t="shared" si="481"/>
        <v>3227.64</v>
      </c>
      <c r="Z137" s="1168">
        <f t="shared" si="471"/>
        <v>-0.59350000000000003</v>
      </c>
      <c r="AA137" s="1151">
        <f t="shared" si="481"/>
        <v>6000</v>
      </c>
      <c r="AB137" s="1168">
        <f t="shared" si="472"/>
        <v>-0.1429</v>
      </c>
      <c r="AC137" s="1146">
        <f t="shared" si="481"/>
        <v>4250.4799999999996</v>
      </c>
      <c r="AD137" s="1168">
        <f t="shared" si="473"/>
        <v>0.31690000000000002</v>
      </c>
      <c r="AE137" s="1151">
        <f t="shared" si="481"/>
        <v>6000</v>
      </c>
      <c r="AF137" s="1168">
        <f t="shared" si="474"/>
        <v>0</v>
      </c>
      <c r="AG137" s="1146">
        <f t="shared" si="481"/>
        <v>6575.48</v>
      </c>
      <c r="AH137" s="1168">
        <f t="shared" si="475"/>
        <v>0.54700000000000004</v>
      </c>
      <c r="AI137" s="1168"/>
      <c r="AJ137" s="1168"/>
      <c r="AK137" s="1151">
        <f t="shared" si="481"/>
        <v>7380</v>
      </c>
      <c r="AL137" s="1168">
        <f t="shared" si="476"/>
        <v>0.23</v>
      </c>
      <c r="AM137" s="1146">
        <f t="shared" si="481"/>
        <v>3599.12</v>
      </c>
      <c r="AN137" s="1168">
        <f t="shared" si="477"/>
        <v>-0.4526</v>
      </c>
      <c r="AO137" s="1168"/>
      <c r="AP137" s="1168"/>
      <c r="AQ137" s="1151">
        <f t="shared" si="481"/>
        <v>11980</v>
      </c>
      <c r="AR137" s="1168">
        <f t="shared" si="478"/>
        <v>0.62329999999999997</v>
      </c>
      <c r="AS137" s="1168" t="e">
        <f t="shared" si="479"/>
        <v>#DIV/0!</v>
      </c>
      <c r="AT137" s="1168" t="e">
        <f t="shared" si="480"/>
        <v>#DIV/0!</v>
      </c>
      <c r="AV137" s="1151">
        <f t="shared" ref="AV137:AZ137" si="482">SUM(AV135:AV136)</f>
        <v>12435</v>
      </c>
      <c r="AW137" s="1151">
        <f t="shared" si="482"/>
        <v>12908</v>
      </c>
      <c r="AX137" s="1151">
        <f t="shared" si="482"/>
        <v>13399</v>
      </c>
      <c r="AY137" s="1151">
        <f t="shared" si="482"/>
        <v>13908</v>
      </c>
      <c r="AZ137" s="1151">
        <f t="shared" si="482"/>
        <v>14437</v>
      </c>
    </row>
    <row r="138" spans="1:54" x14ac:dyDescent="0.3">
      <c r="E138" s="1168"/>
      <c r="H138" s="1168"/>
      <c r="K138" s="1168"/>
      <c r="N138" s="1168"/>
      <c r="Q138" s="1168"/>
      <c r="T138" s="1168"/>
      <c r="W138" s="1168"/>
      <c r="Z138" s="1168"/>
      <c r="AB138" s="1168"/>
      <c r="AD138" s="1168"/>
      <c r="AF138" s="1168"/>
      <c r="AH138" s="1168"/>
      <c r="AI138" s="1168"/>
      <c r="AJ138" s="1168"/>
      <c r="AL138" s="1168"/>
      <c r="AN138" s="1168"/>
      <c r="AO138" s="1168"/>
      <c r="AP138" s="1168"/>
      <c r="AQ138" s="1151"/>
      <c r="AR138" s="1168"/>
    </row>
    <row r="139" spans="1:54" x14ac:dyDescent="0.3">
      <c r="A139" s="954" t="s">
        <v>547</v>
      </c>
      <c r="AL139" s="1151"/>
      <c r="AQ139" s="1151"/>
      <c r="AR139" s="1151"/>
    </row>
    <row r="140" spans="1:54" x14ac:dyDescent="0.3">
      <c r="B140" s="947" t="s">
        <v>2218</v>
      </c>
      <c r="E140" s="1168"/>
      <c r="H140" s="1168"/>
      <c r="K140" s="1168"/>
      <c r="N140" s="1168"/>
      <c r="Q140" s="1168"/>
      <c r="T140" s="1168"/>
      <c r="W140" s="1168"/>
      <c r="Z140" s="1168"/>
      <c r="AB140" s="1168"/>
      <c r="AD140" s="1168"/>
      <c r="AF140" s="1168"/>
      <c r="AH140" s="1168"/>
      <c r="AI140" s="1168"/>
      <c r="AJ140" s="1168"/>
      <c r="AL140" s="1168"/>
      <c r="AN140" s="1168"/>
      <c r="AO140" s="1168"/>
      <c r="AP140" s="1168"/>
      <c r="AQ140" s="1151"/>
      <c r="AR140" s="1168"/>
    </row>
    <row r="141" spans="1:54" x14ac:dyDescent="0.3">
      <c r="B141" s="947" t="s">
        <v>1869</v>
      </c>
      <c r="C141" s="1149">
        <f>+'491 Cemetery'!C17</f>
        <v>4741</v>
      </c>
      <c r="D141" s="1149">
        <f>+'491 Cemetery'!D17</f>
        <v>2715</v>
      </c>
      <c r="E141" s="1168">
        <f t="shared" ref="E141:E143" si="483">ROUND(((+D141-C141)/C141),4)</f>
        <v>-0.42730000000000001</v>
      </c>
      <c r="F141" s="1151">
        <v>6000</v>
      </c>
      <c r="G141" s="1149">
        <f>+'491 Cemetery'!E17</f>
        <v>5850</v>
      </c>
      <c r="H141" s="1168">
        <f t="shared" ref="H141:H143" si="484">ROUND(((+G141-D141)/D141),4)</f>
        <v>1.1547000000000001</v>
      </c>
      <c r="I141" s="1151">
        <v>6000</v>
      </c>
      <c r="J141" s="1149">
        <f>+'491 Cemetery'!F17</f>
        <v>6360</v>
      </c>
      <c r="K141" s="1168">
        <f>ROUND(((+J141-G141)/G141),4)</f>
        <v>8.72E-2</v>
      </c>
      <c r="L141" s="1151">
        <v>7000</v>
      </c>
      <c r="M141" s="1149">
        <f>+'491 Cemetery'!G17</f>
        <v>6040</v>
      </c>
      <c r="N141" s="1168">
        <f>ROUND(((+M141-J141)/J141),4)</f>
        <v>-5.0299999999999997E-2</v>
      </c>
      <c r="O141" s="1151">
        <v>10000</v>
      </c>
      <c r="P141" s="1149">
        <f>+'491 Cemetery'!H17</f>
        <v>5440</v>
      </c>
      <c r="Q141" s="1168">
        <f>ROUND(((+P141-M141)/M141),4)</f>
        <v>-9.9299999999999999E-2</v>
      </c>
      <c r="R141" s="1151">
        <v>7000</v>
      </c>
      <c r="S141" s="1149">
        <f>+'491 Cemetery'!I17</f>
        <v>6955</v>
      </c>
      <c r="T141" s="1168">
        <f>ROUND(((+S141-P141)/P141),4)</f>
        <v>0.27850000000000003</v>
      </c>
      <c r="U141" s="1151">
        <v>7000</v>
      </c>
      <c r="V141" s="1149">
        <f>+'491 Cemetery'!J17</f>
        <v>6845</v>
      </c>
      <c r="W141" s="1168">
        <f>ROUND(((+V141-S141)/S141),4)</f>
        <v>-1.5800000000000002E-2</v>
      </c>
      <c r="X141" s="1153">
        <f>+'491 Cemetery'!K17</f>
        <v>7000</v>
      </c>
      <c r="Y141" s="1149">
        <f>+'491 Cemetery'!L17</f>
        <v>3227.64</v>
      </c>
      <c r="Z141" s="1168">
        <f t="shared" ref="Z141:Z143" si="485">ROUND(((+Y141-V141)/V141),4)</f>
        <v>-0.52849999999999997</v>
      </c>
      <c r="AA141" s="1153">
        <f>+'491 Cemetery'!M17</f>
        <v>13440</v>
      </c>
      <c r="AB141" s="1168">
        <f t="shared" ref="AB141:AB143" si="486">ROUND(((+AA141-X141)/X141),4)</f>
        <v>0.92</v>
      </c>
      <c r="AC141" s="1149">
        <f>+'491 Cemetery'!N17</f>
        <v>13366.84</v>
      </c>
      <c r="AD141" s="1168">
        <f t="shared" ref="AD141:AD143" si="487">ROUND(((+AC141-Y141)/Y141),4)</f>
        <v>3.1414</v>
      </c>
      <c r="AE141" s="1153">
        <f>+'491 Cemetery'!O17</f>
        <v>14165</v>
      </c>
      <c r="AF141" s="1168">
        <f t="shared" ref="AF141:AF143" si="488">ROUND(((+AE141-AA141)/AA141),4)</f>
        <v>5.3900000000000003E-2</v>
      </c>
      <c r="AG141" s="1149">
        <f>+'491 Cemetery'!P17</f>
        <v>14165</v>
      </c>
      <c r="AH141" s="1168">
        <f t="shared" ref="AH141:AH143" si="489">ROUND(((+AG141-AC141)/AC141),4)</f>
        <v>5.9700000000000003E-2</v>
      </c>
      <c r="AI141" s="1168"/>
      <c r="AJ141" s="1168"/>
      <c r="AK141" s="1153">
        <f>+'491 Cemetery'!Q17</f>
        <v>30150</v>
      </c>
      <c r="AL141" s="1168">
        <f t="shared" ref="AL141:AL143" si="490">ROUND(((+AK141-AE141)/AE141),4)</f>
        <v>1.1285000000000001</v>
      </c>
      <c r="AM141" s="1149">
        <f>+'491 Cemetery'!R17</f>
        <v>17908.330000000002</v>
      </c>
      <c r="AN141" s="1168">
        <f t="shared" ref="AN141:AN143" si="491">ROUND(((+AM141-AG141)/AG141),4)</f>
        <v>0.26429999999999998</v>
      </c>
      <c r="AO141" s="1168"/>
      <c r="AP141" s="1168"/>
      <c r="AQ141" s="1153">
        <f>+'491 Cemetery'!S17</f>
        <v>30150</v>
      </c>
      <c r="AR141" s="1168">
        <f t="shared" ref="AR141:AR143" si="492">ROUND(((+AQ141-AK141)/AK141),4)</f>
        <v>0</v>
      </c>
      <c r="AS141" s="1168">
        <f t="shared" ref="AS141:AS143" si="493">ROUND((((+AQ141-U141)/U141)/5),4)</f>
        <v>0.66139999999999999</v>
      </c>
      <c r="AT141" s="1168">
        <f t="shared" ref="AT141:AT143" si="494">ROUND((((+AQ141-F141)/F141)/10),4)</f>
        <v>0.40250000000000002</v>
      </c>
      <c r="AV141" s="1151">
        <f t="shared" ref="AV141" si="495">ROUND((+AQ141*(1+AT141)),0)</f>
        <v>42285</v>
      </c>
      <c r="AW141" s="1151">
        <f t="shared" ref="AW141" si="496">ROUND((+AV141*(1+AT141)),0)</f>
        <v>59305</v>
      </c>
      <c r="AX141" s="1151">
        <f t="shared" ref="AX141" si="497">ROUND((+AW141*(1+AT141)),0)</f>
        <v>83175</v>
      </c>
      <c r="AY141" s="1151">
        <f t="shared" ref="AY141" si="498">ROUND((+AX141*(1+AT141)),0)</f>
        <v>116653</v>
      </c>
      <c r="AZ141" s="1151">
        <f t="shared" ref="AZ141" si="499">ROUND((+AY141*(1+AT141)),0)</f>
        <v>163606</v>
      </c>
    </row>
    <row r="142" spans="1:54" x14ac:dyDescent="0.3">
      <c r="B142" s="947" t="s">
        <v>2221</v>
      </c>
      <c r="C142" s="1148">
        <f>+'491 Cemetery'!C20</f>
        <v>0</v>
      </c>
      <c r="D142" s="1148">
        <f>+'491 Cemetery'!D20</f>
        <v>0</v>
      </c>
      <c r="E142" s="1172" t="e">
        <f t="shared" si="483"/>
        <v>#DIV/0!</v>
      </c>
      <c r="F142" s="1152"/>
      <c r="G142" s="1148">
        <f>+'491 Cemetery'!E20</f>
        <v>0</v>
      </c>
      <c r="H142" s="1172" t="e">
        <f t="shared" si="484"/>
        <v>#DIV/0!</v>
      </c>
      <c r="I142" s="1152"/>
      <c r="J142" s="1148">
        <f>+'491 Cemetery'!F20</f>
        <v>0</v>
      </c>
      <c r="K142" s="1172" t="e">
        <f>ROUND(((+J142-G142)/G142),4)</f>
        <v>#DIV/0!</v>
      </c>
      <c r="L142" s="1152"/>
      <c r="M142" s="1148">
        <f>+'491 Cemetery'!G20</f>
        <v>0</v>
      </c>
      <c r="N142" s="1172" t="e">
        <f>ROUND(((+M142-J142)/J142),4)</f>
        <v>#DIV/0!</v>
      </c>
      <c r="O142" s="1152"/>
      <c r="P142" s="1148">
        <f>+'491 Cemetery'!H20</f>
        <v>0</v>
      </c>
      <c r="Q142" s="1172" t="e">
        <f>ROUND(((+P142-M142)/M142),4)</f>
        <v>#DIV/0!</v>
      </c>
      <c r="R142" s="1152"/>
      <c r="S142" s="1148">
        <f>+'491 Cemetery'!I20</f>
        <v>0</v>
      </c>
      <c r="T142" s="1172" t="e">
        <f>ROUND(((+S142-P142)/P142),4)</f>
        <v>#DIV/0!</v>
      </c>
      <c r="U142" s="1152"/>
      <c r="V142" s="1148">
        <f>+'491 Cemetery'!J20</f>
        <v>0</v>
      </c>
      <c r="W142" s="1172" t="e">
        <f>ROUND(((+V142-S142)/S142),4)</f>
        <v>#DIV/0!</v>
      </c>
      <c r="X142" s="1152">
        <f>+'491 Cemetery'!K20</f>
        <v>0</v>
      </c>
      <c r="Y142" s="1148">
        <f>+'491 Cemetery'!L20</f>
        <v>0</v>
      </c>
      <c r="Z142" s="1172" t="e">
        <f t="shared" si="485"/>
        <v>#DIV/0!</v>
      </c>
      <c r="AA142" s="1152">
        <f>+'491 Cemetery'!M20</f>
        <v>0</v>
      </c>
      <c r="AB142" s="1172" t="e">
        <f t="shared" si="486"/>
        <v>#DIV/0!</v>
      </c>
      <c r="AC142" s="1148">
        <f>+'491 Cemetery'!N20</f>
        <v>0</v>
      </c>
      <c r="AD142" s="1172" t="e">
        <f t="shared" si="487"/>
        <v>#DIV/0!</v>
      </c>
      <c r="AE142" s="1152">
        <f>+'491 Cemetery'!O20</f>
        <v>0</v>
      </c>
      <c r="AF142" s="1172" t="e">
        <f t="shared" si="488"/>
        <v>#DIV/0!</v>
      </c>
      <c r="AG142" s="1148">
        <f>+'491 Cemetery'!P20</f>
        <v>0</v>
      </c>
      <c r="AH142" s="1172" t="e">
        <f t="shared" si="489"/>
        <v>#DIV/0!</v>
      </c>
      <c r="AI142" s="1172"/>
      <c r="AJ142" s="1172"/>
      <c r="AK142" s="1152">
        <f>+'491 Cemetery'!Q20</f>
        <v>0</v>
      </c>
      <c r="AL142" s="1172" t="e">
        <f t="shared" si="490"/>
        <v>#DIV/0!</v>
      </c>
      <c r="AM142" s="1148">
        <f>+'491 Cemetery'!R20</f>
        <v>0</v>
      </c>
      <c r="AN142" s="1172" t="e">
        <f t="shared" si="491"/>
        <v>#DIV/0!</v>
      </c>
      <c r="AO142" s="1172"/>
      <c r="AP142" s="1172"/>
      <c r="AQ142" s="1152">
        <f>+'491 Cemetery'!S20</f>
        <v>0</v>
      </c>
      <c r="AR142" s="1172" t="e">
        <f t="shared" si="492"/>
        <v>#DIV/0!</v>
      </c>
      <c r="AS142" s="1172" t="e">
        <f t="shared" si="493"/>
        <v>#DIV/0!</v>
      </c>
      <c r="AT142" s="1172" t="e">
        <f t="shared" si="494"/>
        <v>#DIV/0!</v>
      </c>
      <c r="AV142" s="1152"/>
      <c r="AW142" s="1152"/>
      <c r="AX142" s="1152"/>
      <c r="AY142" s="1152"/>
      <c r="AZ142" s="1152"/>
      <c r="BB142" s="947" t="s">
        <v>2265</v>
      </c>
    </row>
    <row r="143" spans="1:54" x14ac:dyDescent="0.3">
      <c r="B143" s="947" t="s">
        <v>887</v>
      </c>
      <c r="C143" s="1146">
        <f>SUM(C139:C142)</f>
        <v>4741</v>
      </c>
      <c r="D143" s="1146">
        <f t="shared" ref="D143:AQ143" si="500">SUM(D139:D142)</f>
        <v>2715</v>
      </c>
      <c r="E143" s="1168">
        <f t="shared" si="483"/>
        <v>-0.42730000000000001</v>
      </c>
      <c r="F143" s="1151">
        <f t="shared" si="500"/>
        <v>6000</v>
      </c>
      <c r="G143" s="1146">
        <f t="shared" si="500"/>
        <v>5850</v>
      </c>
      <c r="H143" s="1168">
        <f t="shared" si="484"/>
        <v>1.1547000000000001</v>
      </c>
      <c r="I143" s="1151">
        <f t="shared" si="500"/>
        <v>6000</v>
      </c>
      <c r="J143" s="1146">
        <f t="shared" si="500"/>
        <v>6360</v>
      </c>
      <c r="K143" s="1168">
        <f>ROUND(((+J143-G143)/G143),4)</f>
        <v>8.72E-2</v>
      </c>
      <c r="L143" s="1151">
        <f t="shared" si="500"/>
        <v>7000</v>
      </c>
      <c r="M143" s="1146">
        <f t="shared" si="500"/>
        <v>6040</v>
      </c>
      <c r="N143" s="1168">
        <f>ROUND(((+M143-J143)/J143),4)</f>
        <v>-5.0299999999999997E-2</v>
      </c>
      <c r="O143" s="1151">
        <f t="shared" si="500"/>
        <v>10000</v>
      </c>
      <c r="P143" s="1146">
        <f t="shared" si="500"/>
        <v>5440</v>
      </c>
      <c r="Q143" s="1168">
        <f>ROUND(((+P143-M143)/M143),4)</f>
        <v>-9.9299999999999999E-2</v>
      </c>
      <c r="R143" s="1151">
        <f t="shared" si="500"/>
        <v>7000</v>
      </c>
      <c r="S143" s="1146">
        <f t="shared" si="500"/>
        <v>6955</v>
      </c>
      <c r="T143" s="1168">
        <f>ROUND(((+S143-P143)/P143),4)</f>
        <v>0.27850000000000003</v>
      </c>
      <c r="U143" s="1151">
        <f t="shared" si="500"/>
        <v>7000</v>
      </c>
      <c r="V143" s="1146">
        <f t="shared" si="500"/>
        <v>6845</v>
      </c>
      <c r="W143" s="1168">
        <f>ROUND(((+V143-S143)/S143),4)</f>
        <v>-1.5800000000000002E-2</v>
      </c>
      <c r="X143" s="1151">
        <f t="shared" si="500"/>
        <v>7000</v>
      </c>
      <c r="Y143" s="1146">
        <f t="shared" si="500"/>
        <v>3227.64</v>
      </c>
      <c r="Z143" s="1168">
        <f t="shared" si="485"/>
        <v>-0.52849999999999997</v>
      </c>
      <c r="AA143" s="1151">
        <f t="shared" si="500"/>
        <v>13440</v>
      </c>
      <c r="AB143" s="1168">
        <f t="shared" si="486"/>
        <v>0.92</v>
      </c>
      <c r="AC143" s="1146">
        <f t="shared" si="500"/>
        <v>13366.84</v>
      </c>
      <c r="AD143" s="1168">
        <f t="shared" si="487"/>
        <v>3.1414</v>
      </c>
      <c r="AE143" s="1151">
        <f t="shared" si="500"/>
        <v>14165</v>
      </c>
      <c r="AF143" s="1168">
        <f t="shared" si="488"/>
        <v>5.3900000000000003E-2</v>
      </c>
      <c r="AG143" s="1146">
        <f t="shared" si="500"/>
        <v>14165</v>
      </c>
      <c r="AH143" s="1168">
        <f t="shared" si="489"/>
        <v>5.9700000000000003E-2</v>
      </c>
      <c r="AI143" s="1168"/>
      <c r="AJ143" s="1168"/>
      <c r="AK143" s="1151">
        <f t="shared" si="500"/>
        <v>30150</v>
      </c>
      <c r="AL143" s="1168">
        <f t="shared" si="490"/>
        <v>1.1285000000000001</v>
      </c>
      <c r="AM143" s="1146">
        <f t="shared" si="500"/>
        <v>17908.330000000002</v>
      </c>
      <c r="AN143" s="1168">
        <f t="shared" si="491"/>
        <v>0.26429999999999998</v>
      </c>
      <c r="AO143" s="1168"/>
      <c r="AP143" s="1168"/>
      <c r="AQ143" s="1151">
        <f t="shared" si="500"/>
        <v>30150</v>
      </c>
      <c r="AR143" s="1168">
        <f t="shared" si="492"/>
        <v>0</v>
      </c>
      <c r="AS143" s="1168">
        <f t="shared" si="493"/>
        <v>0.66139999999999999</v>
      </c>
      <c r="AT143" s="1168">
        <f t="shared" si="494"/>
        <v>0.40250000000000002</v>
      </c>
      <c r="AV143" s="1151">
        <f t="shared" ref="AV143:AZ143" si="501">SUM(AV139:AV142)</f>
        <v>42285</v>
      </c>
      <c r="AW143" s="1151">
        <f t="shared" si="501"/>
        <v>59305</v>
      </c>
      <c r="AX143" s="1151">
        <f t="shared" si="501"/>
        <v>83175</v>
      </c>
      <c r="AY143" s="1151">
        <f t="shared" si="501"/>
        <v>116653</v>
      </c>
      <c r="AZ143" s="1151">
        <f t="shared" si="501"/>
        <v>163606</v>
      </c>
    </row>
    <row r="144" spans="1:54" x14ac:dyDescent="0.3">
      <c r="AL144" s="1151"/>
      <c r="AQ144" s="1151"/>
      <c r="AR144" s="1151"/>
    </row>
    <row r="145" spans="1:54" x14ac:dyDescent="0.3">
      <c r="A145" s="954" t="s">
        <v>550</v>
      </c>
      <c r="AL145" s="1151"/>
      <c r="AQ145" s="1151"/>
      <c r="AR145" s="1151"/>
    </row>
    <row r="146" spans="1:54" x14ac:dyDescent="0.3">
      <c r="B146" s="947" t="s">
        <v>2218</v>
      </c>
      <c r="C146" s="1146">
        <f>+'511 BOH'!C21</f>
        <v>81341.62999999999</v>
      </c>
      <c r="D146" s="1146">
        <f>+'511 BOH'!D21</f>
        <v>84567.459999999992</v>
      </c>
      <c r="E146" s="1168">
        <f t="shared" ref="E146:E148" si="502">ROUND(((+D146-C146)/C146),4)</f>
        <v>3.9699999999999999E-2</v>
      </c>
      <c r="F146" s="1151">
        <v>110698</v>
      </c>
      <c r="G146" s="1146">
        <f>+'511 BOH'!E21</f>
        <v>87476.499999999985</v>
      </c>
      <c r="H146" s="1168">
        <f t="shared" ref="H146:H148" si="503">ROUND(((+G146-D146)/D146),4)</f>
        <v>3.44E-2</v>
      </c>
      <c r="I146" s="1151">
        <v>119531</v>
      </c>
      <c r="J146" s="1146">
        <f>+'511 BOH'!F21</f>
        <v>90045.61</v>
      </c>
      <c r="K146" s="1168">
        <f>ROUND(((+J146-G146)/G146),4)</f>
        <v>2.9399999999999999E-2</v>
      </c>
      <c r="L146" s="1151">
        <v>121618</v>
      </c>
      <c r="M146" s="1146">
        <f>+'511 BOH'!G21</f>
        <v>91517.329999999987</v>
      </c>
      <c r="N146" s="1168">
        <f>ROUND(((+M146-J146)/J146),4)</f>
        <v>1.6299999999999999E-2</v>
      </c>
      <c r="O146" s="1151">
        <v>124476</v>
      </c>
      <c r="P146" s="1146">
        <f>+'511 BOH'!H21</f>
        <v>93912.49</v>
      </c>
      <c r="Q146" s="1168">
        <f>ROUND(((+P146-M146)/M146),4)</f>
        <v>2.6200000000000001E-2</v>
      </c>
      <c r="R146" s="1151">
        <v>128328</v>
      </c>
      <c r="S146" s="1146">
        <f>+'511 BOH'!I21</f>
        <v>105703.61000000002</v>
      </c>
      <c r="T146" s="1168">
        <f>ROUND(((+S146-P146)/P146),4)</f>
        <v>0.12559999999999999</v>
      </c>
      <c r="U146" s="1151">
        <v>129035</v>
      </c>
      <c r="V146" s="1146">
        <f>+'511 BOH'!J21</f>
        <v>104915.61</v>
      </c>
      <c r="W146" s="1168">
        <f>ROUND(((+V146-S146)/S146),4)</f>
        <v>-7.4999999999999997E-3</v>
      </c>
      <c r="X146" s="1151">
        <f>+'511 BOH'!K21</f>
        <v>113951</v>
      </c>
      <c r="Y146" s="1146">
        <f>+'511 BOH'!L21</f>
        <v>113977.94</v>
      </c>
      <c r="Z146" s="1168">
        <f t="shared" ref="Z146:Z148" si="504">ROUND(((+Y146-V146)/V146),4)</f>
        <v>8.6400000000000005E-2</v>
      </c>
      <c r="AA146" s="1151">
        <f>+'511 BOH'!M21</f>
        <v>117527</v>
      </c>
      <c r="AB146" s="1168">
        <f t="shared" ref="AB146:AB148" si="505">ROUND(((+AA146-X146)/X146),4)</f>
        <v>3.1399999999999997E-2</v>
      </c>
      <c r="AC146" s="1146">
        <f>+'511 BOH'!N21</f>
        <v>117709.87999999999</v>
      </c>
      <c r="AD146" s="1168">
        <f t="shared" ref="AD146:AD148" si="506">ROUND(((+AC146-Y146)/Y146),4)</f>
        <v>3.27E-2</v>
      </c>
      <c r="AE146" s="1151">
        <f>+'511 BOH'!O21</f>
        <v>120896</v>
      </c>
      <c r="AF146" s="1168">
        <f t="shared" ref="AF146:AF148" si="507">ROUND(((+AE146-AA146)/AA146),4)</f>
        <v>2.87E-2</v>
      </c>
      <c r="AG146" s="1146">
        <f>+'511 BOH'!P21</f>
        <v>105394.26</v>
      </c>
      <c r="AH146" s="1168">
        <f t="shared" ref="AH146:AH148" si="508">ROUND(((+AG146-AC146)/AC146),4)</f>
        <v>-0.1046</v>
      </c>
      <c r="AI146" s="1168"/>
      <c r="AJ146" s="1168"/>
      <c r="AK146" s="1151">
        <f>+'511 BOH'!Q21</f>
        <v>128454</v>
      </c>
      <c r="AL146" s="1168">
        <f t="shared" ref="AL146:AL148" si="509">ROUND(((+AK146-AE146)/AE146),4)</f>
        <v>6.25E-2</v>
      </c>
      <c r="AM146" s="1146">
        <f>+'511 BOH'!R21</f>
        <v>50826.509999999995</v>
      </c>
      <c r="AN146" s="1168">
        <f t="shared" ref="AN146:AN148" si="510">ROUND(((+AM146-AG146)/AG146),4)</f>
        <v>-0.51770000000000005</v>
      </c>
      <c r="AO146" s="1168"/>
      <c r="AP146" s="1168"/>
      <c r="AQ146" s="1151">
        <f>+'511 BOH'!S21</f>
        <v>120314</v>
      </c>
      <c r="AR146" s="1168">
        <f t="shared" ref="AR146:AR148" si="511">ROUND(((+AQ146-AK146)/AK146),4)</f>
        <v>-6.3399999999999998E-2</v>
      </c>
      <c r="AS146" s="1168">
        <f t="shared" ref="AS146:AS148" si="512">ROUND((((+AQ146-U146)/U146)/5),4)</f>
        <v>-1.35E-2</v>
      </c>
      <c r="AT146" s="1168">
        <f t="shared" ref="AT146:AT148" si="513">ROUND((((+AQ146-F146)/F146)/10),4)</f>
        <v>8.6999999999999994E-3</v>
      </c>
      <c r="AV146" s="1151">
        <f>ROUND((+AQ146*(1.023)),0)</f>
        <v>123081</v>
      </c>
      <c r="AW146" s="1151">
        <f>ROUND((+AV146*(1.023)),0)</f>
        <v>125912</v>
      </c>
      <c r="AX146" s="1151">
        <f>ROUND((+AW146*(1.023)),0)</f>
        <v>128808</v>
      </c>
      <c r="AY146" s="1151">
        <f>ROUND((+AX146*(1.023)),0)</f>
        <v>131771</v>
      </c>
      <c r="AZ146" s="1151">
        <f>ROUND((+AY146*(1.023)),0)</f>
        <v>134802</v>
      </c>
      <c r="BA146" s="1214">
        <v>2.3E-2</v>
      </c>
    </row>
    <row r="147" spans="1:54" x14ac:dyDescent="0.3">
      <c r="B147" s="947" t="s">
        <v>1869</v>
      </c>
      <c r="C147" s="1148">
        <f>+'511 BOH'!C39</f>
        <v>15951.410000000002</v>
      </c>
      <c r="D147" s="1148">
        <f>+'511 BOH'!D39</f>
        <v>14118.229999999998</v>
      </c>
      <c r="E147" s="1172">
        <f t="shared" si="502"/>
        <v>-0.1149</v>
      </c>
      <c r="F147" s="1152">
        <v>17207</v>
      </c>
      <c r="G147" s="1148">
        <f>+'511 BOH'!E39</f>
        <v>15527.18</v>
      </c>
      <c r="H147" s="1172">
        <f t="shared" si="503"/>
        <v>9.98E-2</v>
      </c>
      <c r="I147" s="1152">
        <v>17377</v>
      </c>
      <c r="J147" s="1148">
        <f>+'511 BOH'!F39</f>
        <v>12563.309999999998</v>
      </c>
      <c r="K147" s="1172">
        <f>ROUND(((+J147-G147)/G147),4)</f>
        <v>-0.19089999999999999</v>
      </c>
      <c r="L147" s="1152">
        <v>16377</v>
      </c>
      <c r="M147" s="1148">
        <f>+'511 BOH'!G39</f>
        <v>8008.9</v>
      </c>
      <c r="N147" s="1172">
        <f>ROUND(((+M147-J147)/J147),4)</f>
        <v>-0.36249999999999999</v>
      </c>
      <c r="O147" s="1152">
        <v>15457</v>
      </c>
      <c r="P147" s="1148">
        <f>+'511 BOH'!H39</f>
        <v>7792.41</v>
      </c>
      <c r="Q147" s="1172">
        <f>ROUND(((+P147-M147)/M147),4)</f>
        <v>-2.7E-2</v>
      </c>
      <c r="R147" s="1152">
        <v>13197</v>
      </c>
      <c r="S147" s="1148">
        <f>+'511 BOH'!I39</f>
        <v>12824.119999999999</v>
      </c>
      <c r="T147" s="1172">
        <f>ROUND(((+S147-P147)/P147),4)</f>
        <v>0.64570000000000005</v>
      </c>
      <c r="U147" s="1152">
        <v>17697</v>
      </c>
      <c r="V147" s="1148">
        <f>+'511 BOH'!J39</f>
        <v>17596.510000000002</v>
      </c>
      <c r="W147" s="1172">
        <f>ROUND(((+V147-S147)/S147),4)</f>
        <v>0.37209999999999999</v>
      </c>
      <c r="X147" s="1152">
        <f>+'511 BOH'!K39</f>
        <v>21997</v>
      </c>
      <c r="Y147" s="1148">
        <f>+'511 BOH'!L39</f>
        <v>21843.31</v>
      </c>
      <c r="Z147" s="1172">
        <f t="shared" si="504"/>
        <v>0.24129999999999999</v>
      </c>
      <c r="AA147" s="1152">
        <f>+'511 BOH'!M39</f>
        <v>42797</v>
      </c>
      <c r="AB147" s="1172">
        <f t="shared" si="505"/>
        <v>0.9456</v>
      </c>
      <c r="AC147" s="1148">
        <f>+'511 BOH'!N39</f>
        <v>43119.359999999993</v>
      </c>
      <c r="AD147" s="1172">
        <f t="shared" si="506"/>
        <v>0.97399999999999998</v>
      </c>
      <c r="AE147" s="1152">
        <f>+'511 BOH'!O39</f>
        <v>44297</v>
      </c>
      <c r="AF147" s="1172">
        <f t="shared" si="507"/>
        <v>3.5000000000000003E-2</v>
      </c>
      <c r="AG147" s="1148">
        <f>+'511 BOH'!P39</f>
        <v>28367.969999999998</v>
      </c>
      <c r="AH147" s="1172">
        <f t="shared" si="508"/>
        <v>-0.34210000000000002</v>
      </c>
      <c r="AI147" s="1172"/>
      <c r="AJ147" s="1172"/>
      <c r="AK147" s="1152">
        <f>+'511 BOH'!Q39</f>
        <v>46990</v>
      </c>
      <c r="AL147" s="1172">
        <f t="shared" si="509"/>
        <v>6.08E-2</v>
      </c>
      <c r="AM147" s="1148">
        <f>+'511 BOH'!R39</f>
        <v>9579.59</v>
      </c>
      <c r="AN147" s="1172">
        <f t="shared" si="510"/>
        <v>-0.6623</v>
      </c>
      <c r="AO147" s="1172"/>
      <c r="AP147" s="1172"/>
      <c r="AQ147" s="1152">
        <f>+'511 BOH'!S39</f>
        <v>47690</v>
      </c>
      <c r="AR147" s="1172">
        <f t="shared" si="511"/>
        <v>1.49E-2</v>
      </c>
      <c r="AS147" s="1172">
        <f t="shared" si="512"/>
        <v>0.33900000000000002</v>
      </c>
      <c r="AT147" s="1172">
        <f t="shared" si="513"/>
        <v>0.1772</v>
      </c>
      <c r="AV147" s="1152">
        <f t="shared" ref="AV147" si="514">ROUND((+AQ147*(1+AT147)),0)</f>
        <v>56141</v>
      </c>
      <c r="AW147" s="1152">
        <f t="shared" ref="AW147" si="515">ROUND((+AV147*(1+AT147)),0)</f>
        <v>66089</v>
      </c>
      <c r="AX147" s="1152">
        <f t="shared" ref="AX147" si="516">ROUND((+AW147*(1+AT147)),0)</f>
        <v>77800</v>
      </c>
      <c r="AY147" s="1152">
        <f t="shared" ref="AY147" si="517">ROUND((+AX147*(1+AT147)),0)</f>
        <v>91586</v>
      </c>
      <c r="AZ147" s="1152">
        <f t="shared" ref="AZ147" si="518">ROUND((+AY147*(1+AT147)),0)</f>
        <v>107815</v>
      </c>
    </row>
    <row r="148" spans="1:54" x14ac:dyDescent="0.3">
      <c r="B148" s="947" t="s">
        <v>887</v>
      </c>
      <c r="C148" s="1146">
        <f>SUM(C145:C147)</f>
        <v>97293.04</v>
      </c>
      <c r="D148" s="1146">
        <f t="shared" ref="D148:AQ148" si="519">SUM(D145:D147)</f>
        <v>98685.689999999988</v>
      </c>
      <c r="E148" s="1168">
        <f t="shared" si="502"/>
        <v>1.43E-2</v>
      </c>
      <c r="F148" s="1151">
        <f t="shared" si="519"/>
        <v>127905</v>
      </c>
      <c r="G148" s="1146">
        <f t="shared" si="519"/>
        <v>103003.68</v>
      </c>
      <c r="H148" s="1168">
        <f t="shared" si="503"/>
        <v>4.3799999999999999E-2</v>
      </c>
      <c r="I148" s="1151">
        <f t="shared" si="519"/>
        <v>136908</v>
      </c>
      <c r="J148" s="1146">
        <f t="shared" si="519"/>
        <v>102608.92</v>
      </c>
      <c r="K148" s="1168">
        <f>ROUND(((+J148-G148)/G148),4)</f>
        <v>-3.8E-3</v>
      </c>
      <c r="L148" s="1151">
        <f t="shared" si="519"/>
        <v>137995</v>
      </c>
      <c r="M148" s="1146">
        <f t="shared" si="519"/>
        <v>99526.229999999981</v>
      </c>
      <c r="N148" s="1168">
        <f>ROUND(((+M148-J148)/J148),4)</f>
        <v>-0.03</v>
      </c>
      <c r="O148" s="1151">
        <v>15457</v>
      </c>
      <c r="P148" s="1146">
        <f t="shared" si="519"/>
        <v>101704.90000000001</v>
      </c>
      <c r="Q148" s="1168">
        <f>ROUND(((+P148-M148)/M148),4)</f>
        <v>2.1899999999999999E-2</v>
      </c>
      <c r="R148" s="1151">
        <f t="shared" si="519"/>
        <v>141525</v>
      </c>
      <c r="S148" s="1146">
        <f t="shared" si="519"/>
        <v>118527.73000000001</v>
      </c>
      <c r="T148" s="1168">
        <f>ROUND(((+S148-P148)/P148),4)</f>
        <v>0.16539999999999999</v>
      </c>
      <c r="U148" s="1151">
        <f t="shared" si="519"/>
        <v>146732</v>
      </c>
      <c r="V148" s="1146">
        <f t="shared" si="519"/>
        <v>122512.12</v>
      </c>
      <c r="W148" s="1168">
        <f>ROUND(((+V148-S148)/S148),4)</f>
        <v>3.3599999999999998E-2</v>
      </c>
      <c r="X148" s="1151">
        <f t="shared" si="519"/>
        <v>135948</v>
      </c>
      <c r="Y148" s="1146">
        <f t="shared" si="519"/>
        <v>135821.25</v>
      </c>
      <c r="Z148" s="1168">
        <f t="shared" si="504"/>
        <v>0.1086</v>
      </c>
      <c r="AA148" s="1151">
        <f t="shared" si="519"/>
        <v>160324</v>
      </c>
      <c r="AB148" s="1168">
        <f t="shared" si="505"/>
        <v>0.17929999999999999</v>
      </c>
      <c r="AC148" s="1146">
        <f t="shared" si="519"/>
        <v>160829.24</v>
      </c>
      <c r="AD148" s="1168">
        <f t="shared" si="506"/>
        <v>0.18410000000000001</v>
      </c>
      <c r="AE148" s="1151">
        <f t="shared" si="519"/>
        <v>165193</v>
      </c>
      <c r="AF148" s="1168">
        <f t="shared" si="507"/>
        <v>3.04E-2</v>
      </c>
      <c r="AG148" s="1146">
        <f t="shared" si="519"/>
        <v>133762.22999999998</v>
      </c>
      <c r="AH148" s="1168">
        <f t="shared" si="508"/>
        <v>-0.16830000000000001</v>
      </c>
      <c r="AI148" s="1168"/>
      <c r="AJ148" s="1168"/>
      <c r="AK148" s="1151">
        <f t="shared" si="519"/>
        <v>175444</v>
      </c>
      <c r="AL148" s="1168">
        <f t="shared" si="509"/>
        <v>6.2100000000000002E-2</v>
      </c>
      <c r="AM148" s="1146">
        <f t="shared" si="519"/>
        <v>60406.099999999991</v>
      </c>
      <c r="AN148" s="1168">
        <f t="shared" si="510"/>
        <v>-0.5484</v>
      </c>
      <c r="AO148" s="1168"/>
      <c r="AP148" s="1168"/>
      <c r="AQ148" s="1151">
        <f t="shared" si="519"/>
        <v>168004</v>
      </c>
      <c r="AR148" s="1168">
        <f t="shared" si="511"/>
        <v>-4.24E-2</v>
      </c>
      <c r="AS148" s="1168">
        <f t="shared" si="512"/>
        <v>2.9000000000000001E-2</v>
      </c>
      <c r="AT148" s="1168">
        <f t="shared" si="513"/>
        <v>3.1399999999999997E-2</v>
      </c>
      <c r="AV148" s="1151">
        <f t="shared" ref="AV148:AZ148" si="520">SUM(AV145:AV147)</f>
        <v>179222</v>
      </c>
      <c r="AW148" s="1151">
        <f t="shared" si="520"/>
        <v>192001</v>
      </c>
      <c r="AX148" s="1151">
        <f t="shared" si="520"/>
        <v>206608</v>
      </c>
      <c r="AY148" s="1151">
        <f t="shared" si="520"/>
        <v>223357</v>
      </c>
      <c r="AZ148" s="1151">
        <f t="shared" si="520"/>
        <v>242617</v>
      </c>
    </row>
    <row r="149" spans="1:54" x14ac:dyDescent="0.3">
      <c r="AL149" s="1151"/>
      <c r="AQ149" s="1151"/>
      <c r="AR149" s="1151"/>
    </row>
    <row r="150" spans="1:54" x14ac:dyDescent="0.3">
      <c r="A150" s="954" t="s">
        <v>551</v>
      </c>
      <c r="AL150" s="1151"/>
      <c r="AQ150" s="1151"/>
      <c r="AR150" s="1151"/>
    </row>
    <row r="151" spans="1:54" x14ac:dyDescent="0.3">
      <c r="B151" s="947" t="s">
        <v>2218</v>
      </c>
      <c r="C151" s="1146">
        <f>+'541 COA'!C11</f>
        <v>16942.54</v>
      </c>
      <c r="D151" s="1146">
        <f>+'541 COA'!D11</f>
        <v>25004.240000000002</v>
      </c>
      <c r="E151" s="1168">
        <f t="shared" ref="E151:E153" si="521">ROUND(((+D151-C151)/C151),4)</f>
        <v>0.4758</v>
      </c>
      <c r="F151" s="1151">
        <v>25760</v>
      </c>
      <c r="G151" s="1146">
        <f>+'541 COA'!E11</f>
        <v>25781.62</v>
      </c>
      <c r="H151" s="1168">
        <f t="shared" ref="H151:H153" si="522">ROUND(((+G151-D151)/D151),4)</f>
        <v>3.1099999999999999E-2</v>
      </c>
      <c r="I151" s="1151">
        <v>26851</v>
      </c>
      <c r="J151" s="1146">
        <f>+'541 COA'!F11</f>
        <v>26924.799999999999</v>
      </c>
      <c r="K151" s="1168">
        <f>ROUND(((+J151-G151)/G151),4)</f>
        <v>4.4299999999999999E-2</v>
      </c>
      <c r="L151" s="1151">
        <v>28095</v>
      </c>
      <c r="M151" s="1146">
        <f>+'541 COA'!G11</f>
        <v>27887.43</v>
      </c>
      <c r="N151" s="1168">
        <f>ROUND(((+M151-J151)/J151),4)</f>
        <v>3.5799999999999998E-2</v>
      </c>
      <c r="O151" s="1151">
        <v>29032</v>
      </c>
      <c r="P151" s="1146">
        <f>+'541 COA'!H11</f>
        <v>29136.080000000002</v>
      </c>
      <c r="Q151" s="1168">
        <f>ROUND(((+P151-M151)/M151),4)</f>
        <v>4.48E-2</v>
      </c>
      <c r="R151" s="1151">
        <v>30649</v>
      </c>
      <c r="S151" s="1146">
        <f>+'541 COA'!I11</f>
        <v>30444.400000000001</v>
      </c>
      <c r="T151" s="1168">
        <f>ROUND(((+S151-P151)/P151),4)</f>
        <v>4.4900000000000002E-2</v>
      </c>
      <c r="U151" s="1151">
        <v>31541</v>
      </c>
      <c r="V151" s="1146">
        <f>+'541 COA'!J11</f>
        <v>31612.55</v>
      </c>
      <c r="W151" s="1168">
        <f>ROUND(((+V151-S151)/S151),4)</f>
        <v>3.8399999999999997E-2</v>
      </c>
      <c r="X151" s="1151">
        <f>+'541 COA'!K11</f>
        <v>32835</v>
      </c>
      <c r="Y151" s="1146">
        <f>+'541 COA'!L11</f>
        <v>32681.3</v>
      </c>
      <c r="Z151" s="1168">
        <f t="shared" ref="Z151:Z153" si="523">ROUND(((+Y151-V151)/V151),4)</f>
        <v>3.3799999999999997E-2</v>
      </c>
      <c r="AA151" s="1151">
        <f>+'541 COA'!M11</f>
        <v>33996</v>
      </c>
      <c r="AB151" s="1168">
        <f t="shared" ref="AB151:AB153" si="524">ROUND(((+AA151-X151)/X151),4)</f>
        <v>3.5400000000000001E-2</v>
      </c>
      <c r="AC151" s="1146">
        <f>+'541 COA'!N11</f>
        <v>33818.26</v>
      </c>
      <c r="AD151" s="1168">
        <f t="shared" ref="AD151:AD153" si="525">ROUND(((+AC151-Y151)/Y151),4)</f>
        <v>3.4799999999999998E-2</v>
      </c>
      <c r="AE151" s="1151">
        <f>+'541 COA'!O11</f>
        <v>43534</v>
      </c>
      <c r="AF151" s="1168">
        <f t="shared" ref="AF151:AF153" si="526">ROUND(((+AE151-AA151)/AA151),4)</f>
        <v>0.28060000000000002</v>
      </c>
      <c r="AG151" s="1146">
        <f>+'541 COA'!P11</f>
        <v>43742.92</v>
      </c>
      <c r="AH151" s="1168">
        <f t="shared" ref="AH151:AH153" si="527">ROUND(((+AG151-AC151)/AC151),4)</f>
        <v>0.29349999999999998</v>
      </c>
      <c r="AI151" s="1168"/>
      <c r="AJ151" s="1168"/>
      <c r="AK151" s="1151">
        <f>+'541 COA'!Q11</f>
        <v>45884</v>
      </c>
      <c r="AL151" s="1168">
        <f t="shared" ref="AL151:AL153" si="528">ROUND(((+AK151-AE151)/AE151),4)</f>
        <v>5.3999999999999999E-2</v>
      </c>
      <c r="AM151" s="1146">
        <f>+'541 COA'!R11</f>
        <v>22319</v>
      </c>
      <c r="AN151" s="1168">
        <f t="shared" ref="AN151:AN153" si="529">ROUND(((+AM151-AG151)/AG151),4)</f>
        <v>-0.48980000000000001</v>
      </c>
      <c r="AO151" s="1168"/>
      <c r="AP151" s="1168"/>
      <c r="AQ151" s="1151">
        <f>+'541 COA'!S11</f>
        <v>47057</v>
      </c>
      <c r="AR151" s="1168">
        <f t="shared" ref="AR151:AR153" si="530">ROUND(((+AQ151-AK151)/AK151),4)</f>
        <v>2.5600000000000001E-2</v>
      </c>
      <c r="AS151" s="1168">
        <f t="shared" ref="AS151:AS153" si="531">ROUND((((+AQ151-U151)/U151)/5),4)</f>
        <v>9.8400000000000001E-2</v>
      </c>
      <c r="AT151" s="1168">
        <f t="shared" ref="AT151:AT153" si="532">ROUND((((+AQ151-F151)/F151)/10),4)</f>
        <v>8.2699999999999996E-2</v>
      </c>
      <c r="AV151" s="1151">
        <f>ROUND((+AQ151*(1.023)),0)</f>
        <v>48139</v>
      </c>
      <c r="AW151" s="1151">
        <f>ROUND((+AV151*(1.023)),0)</f>
        <v>49246</v>
      </c>
      <c r="AX151" s="1151">
        <f>ROUND((+AW151*(1.023)),0)</f>
        <v>50379</v>
      </c>
      <c r="AY151" s="1151">
        <f>ROUND((+AX151*(1.023)),0)</f>
        <v>51538</v>
      </c>
      <c r="AZ151" s="1151">
        <f>ROUND((+AY151*(1.023)),0)</f>
        <v>52723</v>
      </c>
      <c r="BA151" s="1214">
        <v>2.3E-2</v>
      </c>
      <c r="BB151" s="947" t="s">
        <v>2267</v>
      </c>
    </row>
    <row r="152" spans="1:54" x14ac:dyDescent="0.3">
      <c r="B152" s="947" t="s">
        <v>1869</v>
      </c>
      <c r="C152" s="1148">
        <f>+'541 COA'!C24</f>
        <v>10270.25</v>
      </c>
      <c r="D152" s="1148">
        <f>+'541 COA'!D24</f>
        <v>11740.759999999998</v>
      </c>
      <c r="E152" s="1172">
        <f t="shared" si="521"/>
        <v>0.14319999999999999</v>
      </c>
      <c r="F152" s="1152">
        <v>12528</v>
      </c>
      <c r="G152" s="1148">
        <f>+'541 COA'!E24</f>
        <v>12061.9</v>
      </c>
      <c r="H152" s="1172">
        <f t="shared" si="522"/>
        <v>2.7400000000000001E-2</v>
      </c>
      <c r="I152" s="1152">
        <v>12818</v>
      </c>
      <c r="J152" s="1148">
        <f>+'541 COA'!F24</f>
        <v>11320.869999999999</v>
      </c>
      <c r="K152" s="1172">
        <f>ROUND(((+J152-G152)/G152),4)</f>
        <v>-6.1400000000000003E-2</v>
      </c>
      <c r="L152" s="1152">
        <v>16157</v>
      </c>
      <c r="M152" s="1148">
        <f>+'541 COA'!G24</f>
        <v>14569.88</v>
      </c>
      <c r="N152" s="1172">
        <f>ROUND(((+M152-J152)/J152),4)</f>
        <v>0.28699999999999998</v>
      </c>
      <c r="O152" s="1152">
        <v>16157</v>
      </c>
      <c r="P152" s="1148">
        <f>+'541 COA'!H24</f>
        <v>13742.739999999998</v>
      </c>
      <c r="Q152" s="1172">
        <f>ROUND(((+P152-M152)/M152),4)</f>
        <v>-5.6800000000000003E-2</v>
      </c>
      <c r="R152" s="1152">
        <v>13240</v>
      </c>
      <c r="S152" s="1148">
        <f>+'541 COA'!I24</f>
        <v>13444.600000000002</v>
      </c>
      <c r="T152" s="1172">
        <f>ROUND(((+S152-P152)/P152),4)</f>
        <v>-2.1700000000000001E-2</v>
      </c>
      <c r="U152" s="1152">
        <v>14144</v>
      </c>
      <c r="V152" s="1148">
        <f>+'541 COA'!J24</f>
        <v>10518.65</v>
      </c>
      <c r="W152" s="1172">
        <f>ROUND(((+V152-S152)/S152),4)</f>
        <v>-0.21759999999999999</v>
      </c>
      <c r="X152" s="1152">
        <f>+'541 COA'!K24</f>
        <v>14145</v>
      </c>
      <c r="Y152" s="1148">
        <f>+'541 COA'!L24</f>
        <v>6092.7199999999993</v>
      </c>
      <c r="Z152" s="1172">
        <f t="shared" si="523"/>
        <v>-0.42080000000000001</v>
      </c>
      <c r="AA152" s="1152">
        <f>+'541 COA'!M24</f>
        <v>12525</v>
      </c>
      <c r="AB152" s="1172">
        <f t="shared" si="524"/>
        <v>-0.1145</v>
      </c>
      <c r="AC152" s="1148">
        <f>+'541 COA'!N24</f>
        <v>4961.78</v>
      </c>
      <c r="AD152" s="1172">
        <f t="shared" si="525"/>
        <v>-0.18559999999999999</v>
      </c>
      <c r="AE152" s="1152">
        <f>+'541 COA'!O24</f>
        <v>13060</v>
      </c>
      <c r="AF152" s="1172">
        <f t="shared" si="526"/>
        <v>4.2700000000000002E-2</v>
      </c>
      <c r="AG152" s="1148">
        <f>+'541 COA'!P24</f>
        <v>8928.2799999999988</v>
      </c>
      <c r="AH152" s="1172">
        <f t="shared" si="527"/>
        <v>0.7994</v>
      </c>
      <c r="AI152" s="1172"/>
      <c r="AJ152" s="1172"/>
      <c r="AK152" s="1152">
        <f>+'541 COA'!Q24</f>
        <v>12709</v>
      </c>
      <c r="AL152" s="1172">
        <f t="shared" si="528"/>
        <v>-2.69E-2</v>
      </c>
      <c r="AM152" s="1148">
        <f>+'541 COA'!R24</f>
        <v>3372.29</v>
      </c>
      <c r="AN152" s="1172">
        <f t="shared" si="529"/>
        <v>-0.62229999999999996</v>
      </c>
      <c r="AO152" s="1172"/>
      <c r="AP152" s="1172"/>
      <c r="AQ152" s="1152">
        <f>+'541 COA'!S24</f>
        <v>12215</v>
      </c>
      <c r="AR152" s="1172">
        <f t="shared" si="530"/>
        <v>-3.8899999999999997E-2</v>
      </c>
      <c r="AS152" s="1172">
        <f t="shared" si="531"/>
        <v>-2.7300000000000001E-2</v>
      </c>
      <c r="AT152" s="1172">
        <f t="shared" si="532"/>
        <v>-2.5000000000000001E-3</v>
      </c>
      <c r="AV152" s="1152">
        <f t="shared" ref="AV152" si="533">ROUND((+AQ152*(1+AT152)),0)</f>
        <v>12184</v>
      </c>
      <c r="AW152" s="1152">
        <f t="shared" ref="AW152" si="534">ROUND((+AV152*(1+AT152)),0)</f>
        <v>12154</v>
      </c>
      <c r="AX152" s="1152">
        <f t="shared" ref="AX152" si="535">ROUND((+AW152*(1+AT152)),0)</f>
        <v>12124</v>
      </c>
      <c r="AY152" s="1152">
        <f t="shared" ref="AY152" si="536">ROUND((+AX152*(1+AT152)),0)</f>
        <v>12094</v>
      </c>
      <c r="AZ152" s="1152">
        <f t="shared" ref="AZ152" si="537">ROUND((+AY152*(1+AT152)),0)</f>
        <v>12064</v>
      </c>
    </row>
    <row r="153" spans="1:54" x14ac:dyDescent="0.3">
      <c r="B153" s="947" t="s">
        <v>887</v>
      </c>
      <c r="C153" s="1146">
        <f>SUM(C150:C152)</f>
        <v>27212.79</v>
      </c>
      <c r="D153" s="1146">
        <f t="shared" ref="D153:AQ153" si="538">SUM(D150:D152)</f>
        <v>36745</v>
      </c>
      <c r="E153" s="1168">
        <f t="shared" si="521"/>
        <v>0.3503</v>
      </c>
      <c r="F153" s="1151">
        <f t="shared" si="538"/>
        <v>38288</v>
      </c>
      <c r="G153" s="1146">
        <f t="shared" si="538"/>
        <v>37843.519999999997</v>
      </c>
      <c r="H153" s="1168">
        <f t="shared" si="522"/>
        <v>2.9899999999999999E-2</v>
      </c>
      <c r="I153" s="1151">
        <f t="shared" si="538"/>
        <v>39669</v>
      </c>
      <c r="J153" s="1146">
        <f t="shared" si="538"/>
        <v>38245.67</v>
      </c>
      <c r="K153" s="1168">
        <f>ROUND(((+J153-G153)/G153),4)</f>
        <v>1.06E-2</v>
      </c>
      <c r="L153" s="1151">
        <f t="shared" si="538"/>
        <v>44252</v>
      </c>
      <c r="M153" s="1146">
        <f t="shared" si="538"/>
        <v>42457.31</v>
      </c>
      <c r="N153" s="1168">
        <f>ROUND(((+M153-J153)/J153),4)</f>
        <v>0.1101</v>
      </c>
      <c r="O153" s="1151">
        <f t="shared" si="538"/>
        <v>45189</v>
      </c>
      <c r="P153" s="1146">
        <f t="shared" si="538"/>
        <v>42878.82</v>
      </c>
      <c r="Q153" s="1168">
        <f>ROUND(((+P153-M153)/M153),4)</f>
        <v>9.9000000000000008E-3</v>
      </c>
      <c r="R153" s="1151">
        <f t="shared" si="538"/>
        <v>43889</v>
      </c>
      <c r="S153" s="1146">
        <f t="shared" si="538"/>
        <v>43889</v>
      </c>
      <c r="T153" s="1168">
        <f>ROUND(((+S153-P153)/P153),4)</f>
        <v>2.3599999999999999E-2</v>
      </c>
      <c r="U153" s="1151">
        <f t="shared" si="538"/>
        <v>45685</v>
      </c>
      <c r="V153" s="1146">
        <f t="shared" si="538"/>
        <v>42131.199999999997</v>
      </c>
      <c r="W153" s="1168">
        <f>ROUND(((+V153-S153)/S153),4)</f>
        <v>-4.0099999999999997E-2</v>
      </c>
      <c r="X153" s="1151">
        <f t="shared" si="538"/>
        <v>46980</v>
      </c>
      <c r="Y153" s="1146">
        <f t="shared" si="538"/>
        <v>38774.019999999997</v>
      </c>
      <c r="Z153" s="1168">
        <f t="shared" si="523"/>
        <v>-7.9699999999999993E-2</v>
      </c>
      <c r="AA153" s="1151">
        <f t="shared" si="538"/>
        <v>46521</v>
      </c>
      <c r="AB153" s="1168">
        <f t="shared" si="524"/>
        <v>-9.7999999999999997E-3</v>
      </c>
      <c r="AC153" s="1146">
        <f t="shared" si="538"/>
        <v>38780.04</v>
      </c>
      <c r="AD153" s="1168">
        <f t="shared" si="525"/>
        <v>2.0000000000000001E-4</v>
      </c>
      <c r="AE153" s="1151">
        <f t="shared" si="538"/>
        <v>56594</v>
      </c>
      <c r="AF153" s="1168">
        <f t="shared" si="526"/>
        <v>0.2165</v>
      </c>
      <c r="AG153" s="1146">
        <f t="shared" si="538"/>
        <v>52671.199999999997</v>
      </c>
      <c r="AH153" s="1168">
        <f t="shared" si="527"/>
        <v>0.35820000000000002</v>
      </c>
      <c r="AI153" s="1168"/>
      <c r="AJ153" s="1168"/>
      <c r="AK153" s="1151">
        <f t="shared" si="538"/>
        <v>58593</v>
      </c>
      <c r="AL153" s="1168">
        <f t="shared" si="528"/>
        <v>3.5299999999999998E-2</v>
      </c>
      <c r="AM153" s="1146">
        <f t="shared" si="538"/>
        <v>25691.29</v>
      </c>
      <c r="AN153" s="1168">
        <f t="shared" si="529"/>
        <v>-0.51219999999999999</v>
      </c>
      <c r="AO153" s="1168"/>
      <c r="AP153" s="1168"/>
      <c r="AQ153" s="1151">
        <f t="shared" si="538"/>
        <v>59272</v>
      </c>
      <c r="AR153" s="1168">
        <f t="shared" si="530"/>
        <v>1.1599999999999999E-2</v>
      </c>
      <c r="AS153" s="1168">
        <f t="shared" si="531"/>
        <v>5.9499999999999997E-2</v>
      </c>
      <c r="AT153" s="1168">
        <f t="shared" si="532"/>
        <v>5.4800000000000001E-2</v>
      </c>
      <c r="AV153" s="1151">
        <f t="shared" ref="AV153:AZ153" si="539">SUM(AV150:AV152)</f>
        <v>60323</v>
      </c>
      <c r="AW153" s="1151">
        <f t="shared" si="539"/>
        <v>61400</v>
      </c>
      <c r="AX153" s="1151">
        <f t="shared" si="539"/>
        <v>62503</v>
      </c>
      <c r="AY153" s="1151">
        <f t="shared" si="539"/>
        <v>63632</v>
      </c>
      <c r="AZ153" s="1151">
        <f t="shared" si="539"/>
        <v>64787</v>
      </c>
    </row>
    <row r="154" spans="1:54" x14ac:dyDescent="0.3">
      <c r="AL154" s="1151"/>
      <c r="AQ154" s="1151"/>
      <c r="AR154" s="1151"/>
    </row>
    <row r="155" spans="1:54" x14ac:dyDescent="0.3">
      <c r="A155" s="954" t="s">
        <v>552</v>
      </c>
      <c r="AL155" s="1151"/>
      <c r="AQ155" s="1151"/>
      <c r="AR155" s="1151"/>
    </row>
    <row r="156" spans="1:54" x14ac:dyDescent="0.3">
      <c r="B156" s="947" t="s">
        <v>1869</v>
      </c>
      <c r="C156" s="1148">
        <f>+'543 Vets'!C12</f>
        <v>143993.04</v>
      </c>
      <c r="D156" s="1148">
        <f>+'543 Vets'!D12</f>
        <v>154826.14000000001</v>
      </c>
      <c r="E156" s="1172">
        <f t="shared" ref="E156:E157" si="540">ROUND(((+D156-C156)/C156),4)</f>
        <v>7.5200000000000003E-2</v>
      </c>
      <c r="F156" s="1152">
        <v>172500</v>
      </c>
      <c r="G156" s="1148">
        <f>+'543 Vets'!E12</f>
        <v>161951.34</v>
      </c>
      <c r="H156" s="1172">
        <f t="shared" ref="H156:H157" si="541">ROUND(((+G156-D156)/D156),4)</f>
        <v>4.5999999999999999E-2</v>
      </c>
      <c r="I156" s="1152">
        <v>157500</v>
      </c>
      <c r="J156" s="1148">
        <f>+'543 Vets'!F12</f>
        <v>144534.15</v>
      </c>
      <c r="K156" s="1172">
        <f>ROUND(((+J156-G156)/G156),4)</f>
        <v>-0.1075</v>
      </c>
      <c r="L156" s="1152">
        <v>164000</v>
      </c>
      <c r="M156" s="1148">
        <f>+'543 Vets'!G12</f>
        <v>113174.07</v>
      </c>
      <c r="N156" s="1172">
        <f>ROUND(((+M156-J156)/J156),4)</f>
        <v>-0.217</v>
      </c>
      <c r="O156" s="1152">
        <v>133500</v>
      </c>
      <c r="P156" s="1148">
        <f>+'543 Vets'!H12</f>
        <v>84869.32</v>
      </c>
      <c r="Q156" s="1172">
        <f>ROUND(((+P156-M156)/M156),4)</f>
        <v>-0.25009999999999999</v>
      </c>
      <c r="R156" s="1152">
        <v>106000</v>
      </c>
      <c r="S156" s="1148">
        <f>+'543 Vets'!I12</f>
        <v>74175.16</v>
      </c>
      <c r="T156" s="1172">
        <f>ROUND(((+S156-P156)/P156),4)</f>
        <v>-0.126</v>
      </c>
      <c r="U156" s="1152">
        <v>96600</v>
      </c>
      <c r="V156" s="1148">
        <f>+'543 Vets'!J12</f>
        <v>74474.489999999991</v>
      </c>
      <c r="W156" s="1172">
        <f>ROUND(((+V156-S156)/S156),4)</f>
        <v>4.0000000000000001E-3</v>
      </c>
      <c r="X156" s="1152">
        <f>+'543 Vets'!K12</f>
        <v>88400</v>
      </c>
      <c r="Y156" s="1148">
        <f>+'543 Vets'!L12</f>
        <v>73756.39</v>
      </c>
      <c r="Z156" s="1172">
        <f t="shared" ref="Z156:Z157" si="542">ROUND(((+Y156-V156)/V156),4)</f>
        <v>-9.5999999999999992E-3</v>
      </c>
      <c r="AA156" s="1152">
        <f>+'543 Vets'!M12</f>
        <v>87800</v>
      </c>
      <c r="AB156" s="1172">
        <f t="shared" ref="AB156:AB157" si="543">ROUND(((+AA156-X156)/X156),4)</f>
        <v>-6.7999999999999996E-3</v>
      </c>
      <c r="AC156" s="1148">
        <f>+'543 Vets'!N12</f>
        <v>58767.73</v>
      </c>
      <c r="AD156" s="1172">
        <f t="shared" ref="AD156:AD157" si="544">ROUND(((+AC156-Y156)/Y156),4)</f>
        <v>-0.20319999999999999</v>
      </c>
      <c r="AE156" s="1152">
        <f>+'543 Vets'!O12</f>
        <v>76500</v>
      </c>
      <c r="AF156" s="1172">
        <f t="shared" ref="AF156:AF157" si="545">ROUND(((+AE156-AA156)/AA156),4)</f>
        <v>-0.12870000000000001</v>
      </c>
      <c r="AG156" s="1148">
        <f>+'543 Vets'!P12</f>
        <v>52147.09</v>
      </c>
      <c r="AH156" s="1172">
        <f t="shared" ref="AH156:AH157" si="546">ROUND(((+AG156-AC156)/AC156),4)</f>
        <v>-0.11269999999999999</v>
      </c>
      <c r="AI156" s="1172"/>
      <c r="AJ156" s="1172"/>
      <c r="AK156" s="1152">
        <f>+'543 Vets'!Q12</f>
        <v>76500</v>
      </c>
      <c r="AL156" s="1172">
        <f t="shared" ref="AL156:AL157" si="547">ROUND(((+AK156-AE156)/AE156),4)</f>
        <v>0</v>
      </c>
      <c r="AM156" s="1148">
        <f>+'543 Vets'!R12</f>
        <v>29152.9</v>
      </c>
      <c r="AN156" s="1172">
        <f t="shared" ref="AN156:AN157" si="548">ROUND(((+AM156-AG156)/AG156),4)</f>
        <v>-0.44090000000000001</v>
      </c>
      <c r="AO156" s="1172"/>
      <c r="AP156" s="1172"/>
      <c r="AQ156" s="1152">
        <f>+'543 Vets'!S12</f>
        <v>77897</v>
      </c>
      <c r="AR156" s="1172">
        <f t="shared" ref="AR156:AR157" si="549">ROUND(((+AQ156-AK156)/AK156),4)</f>
        <v>1.83E-2</v>
      </c>
      <c r="AS156" s="1172">
        <f t="shared" ref="AS156:AS157" si="550">ROUND((((+AQ156-U156)/U156)/5),4)</f>
        <v>-3.8699999999999998E-2</v>
      </c>
      <c r="AT156" s="1172">
        <f t="shared" ref="AT156:AT157" si="551">ROUND((((+AQ156-F156)/F156)/10),4)</f>
        <v>-5.4800000000000001E-2</v>
      </c>
      <c r="AV156" s="1152">
        <f>+AQ156</f>
        <v>77897</v>
      </c>
      <c r="AW156" s="1152">
        <f>+AQ156</f>
        <v>77897</v>
      </c>
      <c r="AX156" s="1152">
        <f>+AQ156</f>
        <v>77897</v>
      </c>
      <c r="AY156" s="1152">
        <f>+AQ156</f>
        <v>77897</v>
      </c>
      <c r="AZ156" s="1152">
        <f>+AQ156</f>
        <v>77897</v>
      </c>
      <c r="BA156" s="947" t="s">
        <v>2268</v>
      </c>
    </row>
    <row r="157" spans="1:54" x14ac:dyDescent="0.3">
      <c r="B157" s="947" t="s">
        <v>887</v>
      </c>
      <c r="C157" s="1146">
        <f>SUM(C155:C156)</f>
        <v>143993.04</v>
      </c>
      <c r="D157" s="1146">
        <f t="shared" ref="D157:AQ157" si="552">SUM(D155:D156)</f>
        <v>154826.14000000001</v>
      </c>
      <c r="E157" s="1168">
        <f t="shared" si="540"/>
        <v>7.5200000000000003E-2</v>
      </c>
      <c r="F157" s="1151">
        <f t="shared" si="552"/>
        <v>172500</v>
      </c>
      <c r="G157" s="1146">
        <f t="shared" si="552"/>
        <v>161951.34</v>
      </c>
      <c r="H157" s="1168">
        <f t="shared" si="541"/>
        <v>4.5999999999999999E-2</v>
      </c>
      <c r="I157" s="1151">
        <f t="shared" si="552"/>
        <v>157500</v>
      </c>
      <c r="J157" s="1146">
        <f t="shared" si="552"/>
        <v>144534.15</v>
      </c>
      <c r="K157" s="1168">
        <f>ROUND(((+J157-G157)/G157),4)</f>
        <v>-0.1075</v>
      </c>
      <c r="L157" s="1151">
        <f t="shared" si="552"/>
        <v>164000</v>
      </c>
      <c r="M157" s="1146">
        <f t="shared" si="552"/>
        <v>113174.07</v>
      </c>
      <c r="N157" s="1168">
        <f>ROUND(((+M157-J157)/J157),4)</f>
        <v>-0.217</v>
      </c>
      <c r="O157" s="1151">
        <f t="shared" si="552"/>
        <v>133500</v>
      </c>
      <c r="P157" s="1146">
        <f t="shared" si="552"/>
        <v>84869.32</v>
      </c>
      <c r="Q157" s="1168">
        <f>ROUND(((+P157-M157)/M157),4)</f>
        <v>-0.25009999999999999</v>
      </c>
      <c r="R157" s="1151">
        <f t="shared" si="552"/>
        <v>106000</v>
      </c>
      <c r="S157" s="1146">
        <f t="shared" si="552"/>
        <v>74175.16</v>
      </c>
      <c r="T157" s="1168">
        <f>ROUND(((+S157-P157)/P157),4)</f>
        <v>-0.126</v>
      </c>
      <c r="U157" s="1151">
        <f t="shared" si="552"/>
        <v>96600</v>
      </c>
      <c r="V157" s="1146">
        <f t="shared" si="552"/>
        <v>74474.489999999991</v>
      </c>
      <c r="W157" s="1168">
        <f>ROUND(((+V157-S157)/S157),4)</f>
        <v>4.0000000000000001E-3</v>
      </c>
      <c r="X157" s="1151">
        <f t="shared" si="552"/>
        <v>88400</v>
      </c>
      <c r="Y157" s="1146">
        <f t="shared" si="552"/>
        <v>73756.39</v>
      </c>
      <c r="Z157" s="1168">
        <f t="shared" si="542"/>
        <v>-9.5999999999999992E-3</v>
      </c>
      <c r="AA157" s="1151">
        <f t="shared" si="552"/>
        <v>87800</v>
      </c>
      <c r="AB157" s="1168">
        <f t="shared" si="543"/>
        <v>-6.7999999999999996E-3</v>
      </c>
      <c r="AC157" s="1146">
        <f t="shared" si="552"/>
        <v>58767.73</v>
      </c>
      <c r="AD157" s="1168">
        <f t="shared" si="544"/>
        <v>-0.20319999999999999</v>
      </c>
      <c r="AE157" s="1151">
        <f t="shared" si="552"/>
        <v>76500</v>
      </c>
      <c r="AF157" s="1168">
        <f t="shared" si="545"/>
        <v>-0.12870000000000001</v>
      </c>
      <c r="AG157" s="1146">
        <f t="shared" si="552"/>
        <v>52147.09</v>
      </c>
      <c r="AH157" s="1168">
        <f t="shared" si="546"/>
        <v>-0.11269999999999999</v>
      </c>
      <c r="AI157" s="1168"/>
      <c r="AJ157" s="1168"/>
      <c r="AK157" s="1151">
        <f t="shared" si="552"/>
        <v>76500</v>
      </c>
      <c r="AL157" s="1168">
        <f t="shared" si="547"/>
        <v>0</v>
      </c>
      <c r="AM157" s="1146">
        <f t="shared" si="552"/>
        <v>29152.9</v>
      </c>
      <c r="AN157" s="1168">
        <f t="shared" si="548"/>
        <v>-0.44090000000000001</v>
      </c>
      <c r="AO157" s="1168"/>
      <c r="AP157" s="1168"/>
      <c r="AQ157" s="1151">
        <f t="shared" si="552"/>
        <v>77897</v>
      </c>
      <c r="AR157" s="1168">
        <f t="shared" si="549"/>
        <v>1.83E-2</v>
      </c>
      <c r="AS157" s="1168">
        <f t="shared" si="550"/>
        <v>-3.8699999999999998E-2</v>
      </c>
      <c r="AT157" s="1168">
        <f t="shared" si="551"/>
        <v>-5.4800000000000001E-2</v>
      </c>
      <c r="AV157" s="1151">
        <f t="shared" ref="AV157:AZ157" si="553">SUM(AV155:AV156)</f>
        <v>77897</v>
      </c>
      <c r="AW157" s="1151">
        <f t="shared" si="553"/>
        <v>77897</v>
      </c>
      <c r="AX157" s="1151">
        <f t="shared" si="553"/>
        <v>77897</v>
      </c>
      <c r="AY157" s="1151">
        <f t="shared" si="553"/>
        <v>77897</v>
      </c>
      <c r="AZ157" s="1151">
        <f t="shared" si="553"/>
        <v>77897</v>
      </c>
    </row>
    <row r="158" spans="1:54" x14ac:dyDescent="0.3">
      <c r="AL158" s="1151"/>
      <c r="AQ158" s="1151"/>
      <c r="AR158" s="1151"/>
    </row>
    <row r="159" spans="1:54" x14ac:dyDescent="0.3">
      <c r="A159" s="954" t="s">
        <v>555</v>
      </c>
      <c r="AL159" s="1151"/>
      <c r="AQ159" s="1151"/>
      <c r="AR159" s="1151"/>
    </row>
    <row r="160" spans="1:54" x14ac:dyDescent="0.3">
      <c r="B160" s="947" t="s">
        <v>2218</v>
      </c>
      <c r="C160" s="1146">
        <f>+'610 Library'!C16</f>
        <v>208690.99000000002</v>
      </c>
      <c r="D160" s="1146">
        <f>+'610 Library'!D16</f>
        <v>212850.29</v>
      </c>
      <c r="E160" s="1168">
        <f t="shared" ref="E160:E162" si="554">ROUND(((+D160-C160)/C160),4)</f>
        <v>1.9900000000000001E-2</v>
      </c>
      <c r="F160" s="1151">
        <v>228962</v>
      </c>
      <c r="G160" s="1146">
        <f>+'610 Library'!E16</f>
        <v>228233.17</v>
      </c>
      <c r="H160" s="1168">
        <f t="shared" ref="H160:H162" si="555">ROUND(((+G160-D160)/D160),4)</f>
        <v>7.2300000000000003E-2</v>
      </c>
      <c r="I160" s="1151">
        <v>238359</v>
      </c>
      <c r="J160" s="1146">
        <f>+'610 Library'!F16</f>
        <v>234489.54000000004</v>
      </c>
      <c r="K160" s="1168">
        <f>ROUND(((+J160-G160)/G160),4)</f>
        <v>2.7400000000000001E-2</v>
      </c>
      <c r="L160" s="1151">
        <v>247430</v>
      </c>
      <c r="M160" s="1146">
        <f>+'610 Library'!G16</f>
        <v>245784.12</v>
      </c>
      <c r="N160" s="1168">
        <f>ROUND(((+M160-J160)/J160),4)</f>
        <v>4.82E-2</v>
      </c>
      <c r="O160" s="1151">
        <v>257063</v>
      </c>
      <c r="P160" s="1146">
        <f>+'610 Library'!H16</f>
        <v>257315.19000000003</v>
      </c>
      <c r="Q160" s="1168">
        <f>ROUND(((+P160-M160)/M160),4)</f>
        <v>4.6899999999999997E-2</v>
      </c>
      <c r="R160" s="1151">
        <v>269571</v>
      </c>
      <c r="S160" s="1146">
        <f>+'610 Library'!I16</f>
        <v>253607.29</v>
      </c>
      <c r="T160" s="1168">
        <f>ROUND(((+S160-P160)/P160),4)</f>
        <v>-1.44E-2</v>
      </c>
      <c r="U160" s="1151">
        <v>268018</v>
      </c>
      <c r="V160" s="1146">
        <f>+'610 Library'!J16</f>
        <v>272466.65999999997</v>
      </c>
      <c r="W160" s="1168">
        <f>ROUND(((+V160-S160)/S160),4)</f>
        <v>7.4399999999999994E-2</v>
      </c>
      <c r="X160" s="1151">
        <f>+'610 Library'!K16</f>
        <v>285844</v>
      </c>
      <c r="Y160" s="1146">
        <f>+'610 Library'!L16</f>
        <v>281567.19999999995</v>
      </c>
      <c r="Z160" s="1168">
        <f t="shared" ref="Z160:Z162" si="556">ROUND(((+Y160-V160)/V160),4)</f>
        <v>3.3399999999999999E-2</v>
      </c>
      <c r="AA160" s="1151">
        <f>+'610 Library'!M16</f>
        <v>294178</v>
      </c>
      <c r="AB160" s="1168">
        <f t="shared" ref="AB160:AB162" si="557">ROUND(((+AA160-X160)/X160),4)</f>
        <v>2.92E-2</v>
      </c>
      <c r="AC160" s="1146">
        <f>+'610 Library'!N16</f>
        <v>310274.21999999997</v>
      </c>
      <c r="AD160" s="1168">
        <f t="shared" ref="AD160:AD162" si="558">ROUND(((+AC160-Y160)/Y160),4)</f>
        <v>0.10199999999999999</v>
      </c>
      <c r="AE160" s="1151">
        <f>+'610 Library'!O16</f>
        <v>307641</v>
      </c>
      <c r="AF160" s="1168">
        <f t="shared" ref="AF160:AF162" si="559">ROUND(((+AE160-AA160)/AA160),4)</f>
        <v>4.58E-2</v>
      </c>
      <c r="AG160" s="1146">
        <f>+'610 Library'!P16</f>
        <v>308974.69</v>
      </c>
      <c r="AH160" s="1168">
        <f t="shared" ref="AH160:AH162" si="560">ROUND(((+AG160-AC160)/AC160),4)</f>
        <v>-4.1999999999999997E-3</v>
      </c>
      <c r="AI160" s="1168"/>
      <c r="AJ160" s="1168"/>
      <c r="AK160" s="1151">
        <f>+'610 Library'!Q16</f>
        <v>339736</v>
      </c>
      <c r="AL160" s="1168">
        <f t="shared" ref="AL160:AL162" si="561">ROUND(((+AK160-AE160)/AE160),4)</f>
        <v>0.1043</v>
      </c>
      <c r="AM160" s="1146">
        <f>+'610 Library'!R16</f>
        <v>160380.62</v>
      </c>
      <c r="AN160" s="1168">
        <f t="shared" ref="AN160:AN162" si="562">ROUND(((+AM160-AG160)/AG160),4)</f>
        <v>-0.48089999999999999</v>
      </c>
      <c r="AO160" s="1168"/>
      <c r="AP160" s="1168"/>
      <c r="AQ160" s="1151">
        <f>+'610 Library'!S16</f>
        <v>348733</v>
      </c>
      <c r="AR160" s="1168">
        <f t="shared" ref="AR160:AR162" si="563">ROUND(((+AQ160-AK160)/AK160),4)</f>
        <v>2.6499999999999999E-2</v>
      </c>
      <c r="AS160" s="1168">
        <f t="shared" ref="AS160:AS162" si="564">ROUND((((+AQ160-U160)/U160)/5),4)</f>
        <v>6.0199999999999997E-2</v>
      </c>
      <c r="AT160" s="1168">
        <f t="shared" ref="AT160:AT162" si="565">ROUND((((+AQ160-F160)/F160)/10),4)</f>
        <v>5.2299999999999999E-2</v>
      </c>
      <c r="AV160" s="1151">
        <f>ROUND((+AQ160*(1.025)),0)</f>
        <v>357451</v>
      </c>
      <c r="AW160" s="1151">
        <f>ROUND((+AV160*(1.025)),0)</f>
        <v>366387</v>
      </c>
      <c r="AX160" s="1151">
        <f>ROUND((+AW160*(1.025)),0)</f>
        <v>375547</v>
      </c>
      <c r="AY160" s="1151">
        <f>ROUND((+AX160*(1.025)),0)</f>
        <v>384936</v>
      </c>
      <c r="AZ160" s="1151">
        <f>ROUND((+AY160*(1.025)),0)</f>
        <v>394559</v>
      </c>
      <c r="BA160" s="1214">
        <v>2.5000000000000001E-2</v>
      </c>
    </row>
    <row r="161" spans="1:53" x14ac:dyDescent="0.3">
      <c r="B161" s="947" t="s">
        <v>1869</v>
      </c>
      <c r="C161" s="1148">
        <f>+'610 Library'!C41</f>
        <v>95210.00999999998</v>
      </c>
      <c r="D161" s="1148">
        <f>+'610 Library'!D41</f>
        <v>112382.71000000002</v>
      </c>
      <c r="E161" s="1172">
        <f t="shared" si="554"/>
        <v>0.1804</v>
      </c>
      <c r="F161" s="1152">
        <v>108681</v>
      </c>
      <c r="G161" s="1148">
        <f>+'610 Library'!E41</f>
        <v>109409.83000000002</v>
      </c>
      <c r="H161" s="1172">
        <f t="shared" si="555"/>
        <v>-2.6499999999999999E-2</v>
      </c>
      <c r="I161" s="1152">
        <v>118737</v>
      </c>
      <c r="J161" s="1148">
        <f>+'610 Library'!F41</f>
        <v>116659.46</v>
      </c>
      <c r="K161" s="1172">
        <f>ROUND(((+J161-G161)/G161),4)</f>
        <v>6.6299999999999998E-2</v>
      </c>
      <c r="L161" s="1152">
        <v>117540</v>
      </c>
      <c r="M161" s="1148">
        <f>+'610 Library'!G41</f>
        <v>119185.88</v>
      </c>
      <c r="N161" s="1172">
        <f>ROUND(((+M161-J161)/J161),4)</f>
        <v>2.1700000000000001E-2</v>
      </c>
      <c r="O161" s="1152">
        <v>123365</v>
      </c>
      <c r="P161" s="1148">
        <f>+'610 Library'!H41</f>
        <v>129012.81000000001</v>
      </c>
      <c r="Q161" s="1172">
        <f>ROUND(((+P161-M161)/M161),4)</f>
        <v>8.2500000000000004E-2</v>
      </c>
      <c r="R161" s="1152">
        <v>132391</v>
      </c>
      <c r="S161" s="1148">
        <f>+'610 Library'!I41</f>
        <v>148354.71000000002</v>
      </c>
      <c r="T161" s="1172">
        <f>ROUND(((+S161-P161)/P161),4)</f>
        <v>0.14990000000000001</v>
      </c>
      <c r="U161" s="1152">
        <v>136256</v>
      </c>
      <c r="V161" s="1148">
        <f>+'610 Library'!J41</f>
        <v>138604.34</v>
      </c>
      <c r="W161" s="1172">
        <f>ROUND(((+V161-S161)/S161),4)</f>
        <v>-6.5699999999999995E-2</v>
      </c>
      <c r="X161" s="1152">
        <f>+'610 Library'!K41</f>
        <v>141106</v>
      </c>
      <c r="Y161" s="1148">
        <f>+'610 Library'!L41</f>
        <v>144886.73000000001</v>
      </c>
      <c r="Z161" s="1172">
        <f t="shared" si="556"/>
        <v>4.53E-2</v>
      </c>
      <c r="AA161" s="1152">
        <f>+'610 Library'!M41</f>
        <v>143566</v>
      </c>
      <c r="AB161" s="1172">
        <f t="shared" si="557"/>
        <v>1.7399999999999999E-2</v>
      </c>
      <c r="AC161" s="1148">
        <f>+'610 Library'!N41</f>
        <v>136116.04999999999</v>
      </c>
      <c r="AD161" s="1172">
        <f t="shared" si="558"/>
        <v>-6.0499999999999998E-2</v>
      </c>
      <c r="AE161" s="1152">
        <f>+'610 Library'!O41</f>
        <v>157966</v>
      </c>
      <c r="AF161" s="1172">
        <f t="shared" si="559"/>
        <v>0.1003</v>
      </c>
      <c r="AG161" s="1148">
        <f>+'610 Library'!P41</f>
        <v>150412.54999999999</v>
      </c>
      <c r="AH161" s="1172">
        <f t="shared" si="560"/>
        <v>0.105</v>
      </c>
      <c r="AI161" s="1172"/>
      <c r="AJ161" s="1172"/>
      <c r="AK161" s="1152">
        <f>+'610 Library'!Q41</f>
        <v>163600</v>
      </c>
      <c r="AL161" s="1172">
        <f t="shared" si="561"/>
        <v>3.5700000000000003E-2</v>
      </c>
      <c r="AM161" s="1148">
        <f>+'610 Library'!R41</f>
        <v>65441.96</v>
      </c>
      <c r="AN161" s="1172">
        <f t="shared" si="562"/>
        <v>-0.56489999999999996</v>
      </c>
      <c r="AO161" s="1172"/>
      <c r="AP161" s="1172"/>
      <c r="AQ161" s="1152">
        <f>+'610 Library'!S41</f>
        <v>169500</v>
      </c>
      <c r="AR161" s="1172">
        <f t="shared" si="563"/>
        <v>3.61E-2</v>
      </c>
      <c r="AS161" s="1172">
        <f t="shared" si="564"/>
        <v>4.8800000000000003E-2</v>
      </c>
      <c r="AT161" s="1172">
        <f t="shared" si="565"/>
        <v>5.6000000000000001E-2</v>
      </c>
      <c r="AV161" s="1152">
        <f t="shared" ref="AV161" si="566">ROUND((+AQ161*(1+AT161)),0)</f>
        <v>178992</v>
      </c>
      <c r="AW161" s="1152">
        <f t="shared" ref="AW161" si="567">ROUND((+AV161*(1+AT161)),0)</f>
        <v>189016</v>
      </c>
      <c r="AX161" s="1152">
        <f t="shared" ref="AX161" si="568">ROUND((+AW161*(1+AT161)),0)</f>
        <v>199601</v>
      </c>
      <c r="AY161" s="1152">
        <f t="shared" ref="AY161" si="569">ROUND((+AX161*(1+AT161)),0)</f>
        <v>210779</v>
      </c>
      <c r="AZ161" s="1152">
        <f t="shared" ref="AZ161" si="570">ROUND((+AY161*(1+AT161)),0)</f>
        <v>222583</v>
      </c>
    </row>
    <row r="162" spans="1:53" x14ac:dyDescent="0.3">
      <c r="B162" s="947" t="s">
        <v>887</v>
      </c>
      <c r="C162" s="1146">
        <f>SUM(C159:C161)</f>
        <v>303901</v>
      </c>
      <c r="D162" s="1146">
        <f t="shared" ref="D162:AQ162" si="571">SUM(D159:D161)</f>
        <v>325233</v>
      </c>
      <c r="E162" s="1168">
        <f t="shared" si="554"/>
        <v>7.0199999999999999E-2</v>
      </c>
      <c r="F162" s="1151">
        <f t="shared" si="571"/>
        <v>337643</v>
      </c>
      <c r="G162" s="1146">
        <f t="shared" si="571"/>
        <v>337643</v>
      </c>
      <c r="H162" s="1168">
        <f t="shared" si="555"/>
        <v>3.8199999999999998E-2</v>
      </c>
      <c r="I162" s="1151">
        <f t="shared" si="571"/>
        <v>357096</v>
      </c>
      <c r="J162" s="1146">
        <f t="shared" si="571"/>
        <v>351149.00000000006</v>
      </c>
      <c r="K162" s="1168">
        <f>ROUND(((+J162-G162)/G162),4)</f>
        <v>0.04</v>
      </c>
      <c r="L162" s="1151">
        <f t="shared" si="571"/>
        <v>364970</v>
      </c>
      <c r="M162" s="1146">
        <f t="shared" si="571"/>
        <v>364970</v>
      </c>
      <c r="N162" s="1168">
        <f>ROUND(((+M162-J162)/J162),4)</f>
        <v>3.9399999999999998E-2</v>
      </c>
      <c r="O162" s="1151">
        <f t="shared" si="571"/>
        <v>380428</v>
      </c>
      <c r="P162" s="1146">
        <f t="shared" si="571"/>
        <v>386328.00000000006</v>
      </c>
      <c r="Q162" s="1168">
        <f>ROUND(((+P162-M162)/M162),4)</f>
        <v>5.8500000000000003E-2</v>
      </c>
      <c r="R162" s="1151">
        <f t="shared" si="571"/>
        <v>401962</v>
      </c>
      <c r="S162" s="1146">
        <f t="shared" si="571"/>
        <v>401962</v>
      </c>
      <c r="T162" s="1168">
        <f>ROUND(((+S162-P162)/P162),4)</f>
        <v>4.0500000000000001E-2</v>
      </c>
      <c r="U162" s="1151">
        <f t="shared" si="571"/>
        <v>404274</v>
      </c>
      <c r="V162" s="1146">
        <f t="shared" si="571"/>
        <v>411071</v>
      </c>
      <c r="W162" s="1168">
        <f>ROUND(((+V162-S162)/S162),4)</f>
        <v>2.2700000000000001E-2</v>
      </c>
      <c r="X162" s="1151">
        <f t="shared" si="571"/>
        <v>426950</v>
      </c>
      <c r="Y162" s="1146">
        <f t="shared" si="571"/>
        <v>426453.92999999993</v>
      </c>
      <c r="Z162" s="1168">
        <f t="shared" si="556"/>
        <v>3.7400000000000003E-2</v>
      </c>
      <c r="AA162" s="1151">
        <f t="shared" si="571"/>
        <v>437744</v>
      </c>
      <c r="AB162" s="1168">
        <f t="shared" si="557"/>
        <v>2.53E-2</v>
      </c>
      <c r="AC162" s="1146">
        <f t="shared" si="571"/>
        <v>446390.26999999996</v>
      </c>
      <c r="AD162" s="1168">
        <f t="shared" si="558"/>
        <v>4.6699999999999998E-2</v>
      </c>
      <c r="AE162" s="1151">
        <f t="shared" si="571"/>
        <v>465607</v>
      </c>
      <c r="AF162" s="1168">
        <f t="shared" si="559"/>
        <v>6.3700000000000007E-2</v>
      </c>
      <c r="AG162" s="1146">
        <f t="shared" si="571"/>
        <v>459387.24</v>
      </c>
      <c r="AH162" s="1168">
        <f t="shared" si="560"/>
        <v>2.9100000000000001E-2</v>
      </c>
      <c r="AI162" s="1168"/>
      <c r="AJ162" s="1168"/>
      <c r="AK162" s="1151">
        <f t="shared" si="571"/>
        <v>503336</v>
      </c>
      <c r="AL162" s="1168">
        <f t="shared" si="561"/>
        <v>8.1000000000000003E-2</v>
      </c>
      <c r="AM162" s="1146">
        <f t="shared" si="571"/>
        <v>225822.58</v>
      </c>
      <c r="AN162" s="1168">
        <f t="shared" si="562"/>
        <v>-0.50839999999999996</v>
      </c>
      <c r="AO162" s="1168"/>
      <c r="AP162" s="1168"/>
      <c r="AQ162" s="1151">
        <f t="shared" si="571"/>
        <v>518233</v>
      </c>
      <c r="AR162" s="1168">
        <f t="shared" si="563"/>
        <v>2.9600000000000001E-2</v>
      </c>
      <c r="AS162" s="1168">
        <f t="shared" si="564"/>
        <v>5.6399999999999999E-2</v>
      </c>
      <c r="AT162" s="1168">
        <f t="shared" si="565"/>
        <v>5.3499999999999999E-2</v>
      </c>
      <c r="AV162" s="1151">
        <f t="shared" ref="AV162:AZ162" si="572">SUM(AV159:AV161)</f>
        <v>536443</v>
      </c>
      <c r="AW162" s="1151">
        <f t="shared" si="572"/>
        <v>555403</v>
      </c>
      <c r="AX162" s="1151">
        <f t="shared" si="572"/>
        <v>575148</v>
      </c>
      <c r="AY162" s="1151">
        <f t="shared" si="572"/>
        <v>595715</v>
      </c>
      <c r="AZ162" s="1151">
        <f t="shared" si="572"/>
        <v>617142</v>
      </c>
    </row>
    <row r="163" spans="1:53" x14ac:dyDescent="0.3">
      <c r="AL163" s="1151"/>
      <c r="AQ163" s="1151"/>
      <c r="AR163" s="1151"/>
    </row>
    <row r="164" spans="1:53" x14ac:dyDescent="0.3">
      <c r="A164" s="954" t="s">
        <v>556</v>
      </c>
      <c r="AL164" s="1151"/>
      <c r="AQ164" s="1151"/>
      <c r="AR164" s="1151"/>
    </row>
    <row r="165" spans="1:53" x14ac:dyDescent="0.3">
      <c r="B165" s="947" t="s">
        <v>2218</v>
      </c>
      <c r="C165" s="1146">
        <f>+'630 Recreation'!C13</f>
        <v>90008.6</v>
      </c>
      <c r="D165" s="1146">
        <f>+'630 Recreation'!D13</f>
        <v>97604.319999999992</v>
      </c>
      <c r="E165" s="1168">
        <f t="shared" ref="E165:E167" si="573">ROUND(((+D165-C165)/C165),4)</f>
        <v>8.4400000000000003E-2</v>
      </c>
      <c r="F165" s="1151">
        <v>100541</v>
      </c>
      <c r="G165" s="1146">
        <f>+'630 Recreation'!E13</f>
        <v>100405.91999999998</v>
      </c>
      <c r="H165" s="1187">
        <f t="shared" ref="H165:H167" si="574">ROUND(((+G165-D165)/D165),4)</f>
        <v>2.87E-2</v>
      </c>
      <c r="I165" s="1153">
        <v>104304</v>
      </c>
      <c r="J165" s="1146">
        <f>+'630 Recreation'!F13</f>
        <v>104302.75</v>
      </c>
      <c r="K165" s="1187">
        <f>ROUND(((+J165-G165)/G165),4)</f>
        <v>3.8800000000000001E-2</v>
      </c>
      <c r="L165" s="1153">
        <v>109610</v>
      </c>
      <c r="M165" s="1146">
        <f>+'630 Recreation'!G13</f>
        <v>109602.34</v>
      </c>
      <c r="N165" s="1187">
        <f>ROUND(((+M165-J165)/J165),4)</f>
        <v>5.0799999999999998E-2</v>
      </c>
      <c r="O165" s="1153">
        <v>114998</v>
      </c>
      <c r="P165" s="1146">
        <f>+'630 Recreation'!H13</f>
        <v>114922.95000000001</v>
      </c>
      <c r="Q165" s="1187">
        <f>ROUND(((+P165-M165)/M165),4)</f>
        <v>4.8500000000000001E-2</v>
      </c>
      <c r="R165" s="1153">
        <v>117785</v>
      </c>
      <c r="S165" s="1146">
        <f>+'630 Recreation'!I13</f>
        <v>117693.67</v>
      </c>
      <c r="T165" s="1187">
        <f>ROUND(((+S165-P165)/P165),4)</f>
        <v>2.41E-2</v>
      </c>
      <c r="U165" s="1153">
        <v>120526</v>
      </c>
      <c r="V165" s="1146">
        <f>+'630 Recreation'!J13</f>
        <v>123760.37000000001</v>
      </c>
      <c r="W165" s="1187">
        <f>ROUND(((+V165-S165)/S165),4)</f>
        <v>5.1499999999999997E-2</v>
      </c>
      <c r="X165" s="1151">
        <f>+'630 Recreation'!K13</f>
        <v>127344</v>
      </c>
      <c r="Y165" s="1146">
        <f>+'630 Recreation'!L13</f>
        <v>106958.42</v>
      </c>
      <c r="Z165" s="1168">
        <f t="shared" ref="Z165:Z167" si="575">ROUND(((+Y165-V165)/V165),4)</f>
        <v>-0.1358</v>
      </c>
      <c r="AA165" s="1151">
        <f>+'630 Recreation'!M13</f>
        <v>131149</v>
      </c>
      <c r="AB165" s="1168">
        <f t="shared" ref="AB165:AB167" si="576">ROUND(((+AA165-X165)/X165),4)</f>
        <v>2.9899999999999999E-2</v>
      </c>
      <c r="AC165" s="1146">
        <f>+'630 Recreation'!N13</f>
        <v>129342.94</v>
      </c>
      <c r="AD165" s="1168">
        <f t="shared" ref="AD165:AD167" si="577">ROUND(((+AC165-Y165)/Y165),4)</f>
        <v>0.20930000000000001</v>
      </c>
      <c r="AE165" s="1151">
        <f>+'630 Recreation'!O13</f>
        <v>136362</v>
      </c>
      <c r="AF165" s="1168">
        <f t="shared" ref="AF165:AF167" si="578">ROUND(((+AE165-AA165)/AA165),4)</f>
        <v>3.9699999999999999E-2</v>
      </c>
      <c r="AG165" s="1146">
        <f>+'630 Recreation'!P13</f>
        <v>136446.26</v>
      </c>
      <c r="AH165" s="1168">
        <f t="shared" ref="AH165:AH167" si="579">ROUND(((+AG165-AC165)/AC165),4)</f>
        <v>5.4899999999999997E-2</v>
      </c>
      <c r="AI165" s="1168"/>
      <c r="AJ165" s="1168"/>
      <c r="AK165" s="1151">
        <f>+'630 Recreation'!Q13</f>
        <v>141003</v>
      </c>
      <c r="AL165" s="1168">
        <f t="shared" ref="AL165:AL167" si="580">ROUND(((+AK165-AE165)/AE165),4)</f>
        <v>3.4000000000000002E-2</v>
      </c>
      <c r="AM165" s="1146">
        <f>+'630 Recreation'!R13</f>
        <v>86558.74</v>
      </c>
      <c r="AN165" s="1168">
        <f t="shared" ref="AN165:AN167" si="581">ROUND(((+AM165-AG165)/AG165),4)</f>
        <v>-0.36559999999999998</v>
      </c>
      <c r="AO165" s="1168"/>
      <c r="AP165" s="1168"/>
      <c r="AQ165" s="1151">
        <f>+'630 Recreation'!S13</f>
        <v>145126</v>
      </c>
      <c r="AR165" s="1168">
        <f t="shared" ref="AR165:AR167" si="582">ROUND(((+AQ165-AK165)/AK165),4)</f>
        <v>2.92E-2</v>
      </c>
      <c r="AS165" s="1168">
        <f t="shared" ref="AS165:AS167" si="583">ROUND((((+AQ165-U165)/U165)/5),4)</f>
        <v>4.0800000000000003E-2</v>
      </c>
      <c r="AT165" s="1168">
        <f t="shared" ref="AT165:AT167" si="584">ROUND((((+AQ165-F165)/F165)/10),4)</f>
        <v>4.4299999999999999E-2</v>
      </c>
      <c r="AV165" s="1151">
        <f t="shared" ref="AV165" si="585">ROUND((+AQ165*(1+AT165)),0)</f>
        <v>151555</v>
      </c>
      <c r="AW165" s="1151">
        <f t="shared" ref="AW165" si="586">ROUND((+AV165*(1+AT165)),0)</f>
        <v>158269</v>
      </c>
      <c r="AX165" s="1151">
        <f t="shared" ref="AX165" si="587">ROUND((+AW165*(1+AT165)),0)</f>
        <v>165280</v>
      </c>
      <c r="AY165" s="1151">
        <f t="shared" ref="AY165" si="588">ROUND((+AX165*(1+AT165)),0)</f>
        <v>172602</v>
      </c>
      <c r="AZ165" s="1151">
        <f t="shared" ref="AZ165" si="589">ROUND((+AY165*(1+AT165)),0)</f>
        <v>180248</v>
      </c>
    </row>
    <row r="166" spans="1:53" x14ac:dyDescent="0.3">
      <c r="B166" s="947" t="s">
        <v>1869</v>
      </c>
      <c r="C166" s="1148">
        <f>+'630 Recreation'!C27</f>
        <v>3531.26</v>
      </c>
      <c r="D166" s="1148">
        <f>+'630 Recreation'!D27</f>
        <v>3631.42</v>
      </c>
      <c r="E166" s="1172">
        <f t="shared" si="573"/>
        <v>2.8400000000000002E-2</v>
      </c>
      <c r="F166" s="1152">
        <v>4243</v>
      </c>
      <c r="G166" s="1148">
        <f>+'630 Recreation'!E27</f>
        <v>3636.49</v>
      </c>
      <c r="H166" s="1172">
        <f t="shared" si="574"/>
        <v>1.4E-3</v>
      </c>
      <c r="I166" s="1152">
        <v>11875</v>
      </c>
      <c r="J166" s="1148">
        <f>+'630 Recreation'!F27</f>
        <v>11808.890000000001</v>
      </c>
      <c r="K166" s="1172">
        <f>ROUND(((+J166-G166)/G166),4)</f>
        <v>2.2473000000000001</v>
      </c>
      <c r="L166" s="1152">
        <v>11310</v>
      </c>
      <c r="M166" s="1148">
        <f>+'630 Recreation'!G27</f>
        <v>11308.91</v>
      </c>
      <c r="N166" s="1172">
        <f>ROUND(((+M166-J166)/J166),4)</f>
        <v>-4.2299999999999997E-2</v>
      </c>
      <c r="O166" s="1152">
        <v>11260</v>
      </c>
      <c r="P166" s="1148">
        <f>+'630 Recreation'!H27</f>
        <v>13270.05</v>
      </c>
      <c r="Q166" s="1172">
        <f>ROUND(((+P166-M166)/M166),4)</f>
        <v>0.1734</v>
      </c>
      <c r="R166" s="1152">
        <v>13195</v>
      </c>
      <c r="S166" s="1148">
        <f>+'630 Recreation'!I27</f>
        <v>12845.699999999999</v>
      </c>
      <c r="T166" s="1172">
        <f>ROUND(((+S166-P166)/P166),4)</f>
        <v>-3.2000000000000001E-2</v>
      </c>
      <c r="U166" s="1152">
        <v>16195</v>
      </c>
      <c r="V166" s="1148">
        <f>+'630 Recreation'!J27</f>
        <v>17565.539999999997</v>
      </c>
      <c r="W166" s="1172">
        <f>ROUND(((+V166-S166)/S166),4)</f>
        <v>0.3674</v>
      </c>
      <c r="X166" s="1152">
        <f>+'630 Recreation'!K27</f>
        <v>16195</v>
      </c>
      <c r="Y166" s="1148">
        <f>+'630 Recreation'!L27</f>
        <v>36336.25</v>
      </c>
      <c r="Z166" s="1172">
        <f t="shared" si="575"/>
        <v>1.0686</v>
      </c>
      <c r="AA166" s="1152">
        <f>+'630 Recreation'!M27</f>
        <v>16795</v>
      </c>
      <c r="AB166" s="1172">
        <f t="shared" si="576"/>
        <v>3.6999999999999998E-2</v>
      </c>
      <c r="AC166" s="1148">
        <f>+'630 Recreation'!N27</f>
        <v>21342.030000000002</v>
      </c>
      <c r="AD166" s="1172">
        <f t="shared" si="577"/>
        <v>-0.41270000000000001</v>
      </c>
      <c r="AE166" s="1152">
        <f>+'630 Recreation'!O27</f>
        <v>19295</v>
      </c>
      <c r="AF166" s="1172">
        <f t="shared" si="578"/>
        <v>0.1489</v>
      </c>
      <c r="AG166" s="1148">
        <f>+'630 Recreation'!P27</f>
        <v>19056.379999999997</v>
      </c>
      <c r="AH166" s="1172">
        <f t="shared" si="579"/>
        <v>-0.1071</v>
      </c>
      <c r="AI166" s="1172"/>
      <c r="AJ166" s="1172"/>
      <c r="AK166" s="1152">
        <f>+'630 Recreation'!Q27</f>
        <v>19700</v>
      </c>
      <c r="AL166" s="1172">
        <f t="shared" si="580"/>
        <v>2.1000000000000001E-2</v>
      </c>
      <c r="AM166" s="1148">
        <f>+'630 Recreation'!R27</f>
        <v>13849.490000000002</v>
      </c>
      <c r="AN166" s="1172">
        <f t="shared" si="581"/>
        <v>-0.2732</v>
      </c>
      <c r="AO166" s="1172"/>
      <c r="AP166" s="1172"/>
      <c r="AQ166" s="1152">
        <f>+'630 Recreation'!S27</f>
        <v>19700</v>
      </c>
      <c r="AR166" s="1172">
        <f t="shared" si="582"/>
        <v>0</v>
      </c>
      <c r="AS166" s="1172">
        <f t="shared" si="583"/>
        <v>4.3299999999999998E-2</v>
      </c>
      <c r="AT166" s="1172">
        <f t="shared" si="584"/>
        <v>0.36430000000000001</v>
      </c>
      <c r="AV166" s="1152">
        <f>ROUND((+AQ166*(1.05)),0)</f>
        <v>20685</v>
      </c>
      <c r="AW166" s="1152">
        <f>ROUND((+AV166*(1.05)),0)</f>
        <v>21719</v>
      </c>
      <c r="AX166" s="1152">
        <f>ROUND((+AW166*(1.05)),0)</f>
        <v>22805</v>
      </c>
      <c r="AY166" s="1152">
        <f>ROUND((+AX166*(1.05)),0)</f>
        <v>23945</v>
      </c>
      <c r="AZ166" s="1152">
        <f>ROUND((+AY166*(1.054)),0)</f>
        <v>25238</v>
      </c>
      <c r="BA166" s="1214">
        <v>0.05</v>
      </c>
    </row>
    <row r="167" spans="1:53" x14ac:dyDescent="0.3">
      <c r="B167" s="947" t="s">
        <v>887</v>
      </c>
      <c r="C167" s="1146">
        <f>SUM(C164:C166)</f>
        <v>93539.86</v>
      </c>
      <c r="D167" s="1146">
        <f t="shared" ref="D167:AQ167" si="590">SUM(D164:D166)</f>
        <v>101235.73999999999</v>
      </c>
      <c r="E167" s="1168">
        <f t="shared" si="573"/>
        <v>8.2299999999999998E-2</v>
      </c>
      <c r="F167" s="1151">
        <f t="shared" si="590"/>
        <v>104784</v>
      </c>
      <c r="G167" s="1146">
        <f t="shared" si="590"/>
        <v>104042.40999999999</v>
      </c>
      <c r="H167" s="1168">
        <f t="shared" si="574"/>
        <v>2.7699999999999999E-2</v>
      </c>
      <c r="I167" s="1151">
        <f t="shared" si="590"/>
        <v>116179</v>
      </c>
      <c r="J167" s="1146">
        <f t="shared" si="590"/>
        <v>116111.64</v>
      </c>
      <c r="K167" s="1168">
        <f>ROUND(((+J167-G167)/G167),4)</f>
        <v>0.11600000000000001</v>
      </c>
      <c r="L167" s="1151">
        <f t="shared" si="590"/>
        <v>120920</v>
      </c>
      <c r="M167" s="1146">
        <f t="shared" si="590"/>
        <v>120911.25</v>
      </c>
      <c r="N167" s="1168">
        <f>ROUND(((+M167-J167)/J167),4)</f>
        <v>4.1300000000000003E-2</v>
      </c>
      <c r="O167" s="1151">
        <f t="shared" si="590"/>
        <v>126258</v>
      </c>
      <c r="P167" s="1146">
        <f t="shared" si="590"/>
        <v>128193.00000000001</v>
      </c>
      <c r="Q167" s="1168">
        <f>ROUND(((+P167-M167)/M167),4)</f>
        <v>6.0199999999999997E-2</v>
      </c>
      <c r="R167" s="1151">
        <f t="shared" si="590"/>
        <v>130980</v>
      </c>
      <c r="S167" s="1146">
        <f t="shared" si="590"/>
        <v>130539.37</v>
      </c>
      <c r="T167" s="1168">
        <f>ROUND(((+S167-P167)/P167),4)</f>
        <v>1.83E-2</v>
      </c>
      <c r="U167" s="1151">
        <f t="shared" si="590"/>
        <v>136721</v>
      </c>
      <c r="V167" s="1146">
        <f t="shared" si="590"/>
        <v>141325.91</v>
      </c>
      <c r="W167" s="1168">
        <f>ROUND(((+V167-S167)/S167),4)</f>
        <v>8.2600000000000007E-2</v>
      </c>
      <c r="X167" s="1151">
        <f t="shared" si="590"/>
        <v>143539</v>
      </c>
      <c r="Y167" s="1146">
        <f t="shared" si="590"/>
        <v>143294.66999999998</v>
      </c>
      <c r="Z167" s="1168">
        <f t="shared" si="575"/>
        <v>1.3899999999999999E-2</v>
      </c>
      <c r="AA167" s="1151">
        <f t="shared" si="590"/>
        <v>147944</v>
      </c>
      <c r="AB167" s="1168">
        <f t="shared" si="576"/>
        <v>3.0700000000000002E-2</v>
      </c>
      <c r="AC167" s="1146">
        <f t="shared" si="590"/>
        <v>150684.97</v>
      </c>
      <c r="AD167" s="1168">
        <f t="shared" si="577"/>
        <v>5.16E-2</v>
      </c>
      <c r="AE167" s="1151">
        <f t="shared" si="590"/>
        <v>155657</v>
      </c>
      <c r="AF167" s="1168">
        <f t="shared" si="578"/>
        <v>5.21E-2</v>
      </c>
      <c r="AG167" s="1146">
        <f t="shared" si="590"/>
        <v>155502.64000000001</v>
      </c>
      <c r="AH167" s="1168">
        <f t="shared" si="579"/>
        <v>3.2000000000000001E-2</v>
      </c>
      <c r="AI167" s="1168"/>
      <c r="AJ167" s="1168"/>
      <c r="AK167" s="1151">
        <f t="shared" si="590"/>
        <v>160703</v>
      </c>
      <c r="AL167" s="1168">
        <f t="shared" si="580"/>
        <v>3.2399999999999998E-2</v>
      </c>
      <c r="AM167" s="1146">
        <f t="shared" si="590"/>
        <v>100408.23000000001</v>
      </c>
      <c r="AN167" s="1168">
        <f t="shared" si="581"/>
        <v>-0.3543</v>
      </c>
      <c r="AO167" s="1168"/>
      <c r="AP167" s="1168"/>
      <c r="AQ167" s="1151">
        <f t="shared" si="590"/>
        <v>164826</v>
      </c>
      <c r="AR167" s="1168">
        <f t="shared" si="582"/>
        <v>2.5700000000000001E-2</v>
      </c>
      <c r="AS167" s="1168">
        <f t="shared" si="583"/>
        <v>4.1099999999999998E-2</v>
      </c>
      <c r="AT167" s="1168">
        <f t="shared" si="584"/>
        <v>5.7299999999999997E-2</v>
      </c>
      <c r="AV167" s="1151">
        <f t="shared" ref="AV167:AZ167" si="591">SUM(AV164:AV166)</f>
        <v>172240</v>
      </c>
      <c r="AW167" s="1151">
        <f t="shared" si="591"/>
        <v>179988</v>
      </c>
      <c r="AX167" s="1151">
        <f t="shared" si="591"/>
        <v>188085</v>
      </c>
      <c r="AY167" s="1151">
        <f t="shared" si="591"/>
        <v>196547</v>
      </c>
      <c r="AZ167" s="1151">
        <f t="shared" si="591"/>
        <v>205486</v>
      </c>
    </row>
    <row r="168" spans="1:53" x14ac:dyDescent="0.3">
      <c r="AL168" s="1151"/>
      <c r="AQ168" s="1151"/>
      <c r="AR168" s="1151"/>
    </row>
    <row r="169" spans="1:53" x14ac:dyDescent="0.3">
      <c r="A169" s="954" t="s">
        <v>557</v>
      </c>
      <c r="AL169" s="1151"/>
      <c r="AQ169" s="1151"/>
      <c r="AR169" s="1151"/>
    </row>
    <row r="170" spans="1:53" x14ac:dyDescent="0.3">
      <c r="B170" s="947" t="s">
        <v>1869</v>
      </c>
      <c r="C170" s="1148">
        <f>+'691 Historical Comm'!C12</f>
        <v>253.28</v>
      </c>
      <c r="D170" s="1148">
        <f>+'691 Historical Comm'!D12</f>
        <v>0</v>
      </c>
      <c r="E170" s="1172">
        <f t="shared" ref="E170:E171" si="592">ROUND(((+D170-C170)/C170),4)</f>
        <v>-1</v>
      </c>
      <c r="F170" s="1152">
        <v>500</v>
      </c>
      <c r="G170" s="1148">
        <f>+'691 Historical Comm'!E12</f>
        <v>434.33</v>
      </c>
      <c r="H170" s="1172" t="e">
        <f t="shared" ref="H170:H171" si="593">ROUND(((+G170-D170)/D170),4)</f>
        <v>#DIV/0!</v>
      </c>
      <c r="I170" s="1152">
        <v>500</v>
      </c>
      <c r="J170" s="1148">
        <f>+'691 Historical Comm'!F12</f>
        <v>0</v>
      </c>
      <c r="K170" s="1172">
        <f>ROUND(((+J170-G170)/G170),4)</f>
        <v>-1</v>
      </c>
      <c r="L170" s="1152">
        <v>500</v>
      </c>
      <c r="M170" s="1148">
        <f>+'691 Historical Comm'!G12</f>
        <v>0</v>
      </c>
      <c r="N170" s="1172" t="e">
        <f>ROUND(((+M170-J170)/J170),4)</f>
        <v>#DIV/0!</v>
      </c>
      <c r="O170" s="1152">
        <v>500</v>
      </c>
      <c r="P170" s="1148">
        <f>+'691 Historical Comm'!H12</f>
        <v>253.19</v>
      </c>
      <c r="Q170" s="1172" t="e">
        <f>ROUND(((+P170-M170)/M170),4)</f>
        <v>#DIV/0!</v>
      </c>
      <c r="R170" s="1152">
        <v>500</v>
      </c>
      <c r="S170" s="1148">
        <f>+'691 Historical Comm'!I12</f>
        <v>0</v>
      </c>
      <c r="T170" s="1172">
        <f>ROUND(((+S170-P170)/P170),4)</f>
        <v>-1</v>
      </c>
      <c r="U170" s="1152">
        <v>500</v>
      </c>
      <c r="V170" s="1148">
        <f>+'691 Historical Comm'!J12</f>
        <v>0</v>
      </c>
      <c r="W170" s="1172" t="e">
        <f>ROUND(((+V170-S170)/S170),4)</f>
        <v>#DIV/0!</v>
      </c>
      <c r="X170" s="1152">
        <f>+'691 Historical Comm'!K12</f>
        <v>500</v>
      </c>
      <c r="Y170" s="1148">
        <f>+'691 Historical Comm'!L12</f>
        <v>500</v>
      </c>
      <c r="Z170" s="1172" t="e">
        <f t="shared" ref="Z170:Z171" si="594">ROUND(((+Y170-V170)/V170),4)</f>
        <v>#DIV/0!</v>
      </c>
      <c r="AA170" s="1152">
        <f>+'691 Historical Comm'!M12</f>
        <v>500</v>
      </c>
      <c r="AB170" s="1172">
        <f t="shared" ref="AB170:AB171" si="595">ROUND(((+AA170-X170)/X170),4)</f>
        <v>0</v>
      </c>
      <c r="AC170" s="1148">
        <f>+'691 Historical Comm'!N12</f>
        <v>0</v>
      </c>
      <c r="AD170" s="1172">
        <f t="shared" ref="AD170:AD171" si="596">ROUND(((+AC170-Y170)/Y170),4)</f>
        <v>-1</v>
      </c>
      <c r="AE170" s="1152">
        <f>+'691 Historical Comm'!O12</f>
        <v>500</v>
      </c>
      <c r="AF170" s="1172">
        <f t="shared" ref="AF170:AF171" si="597">ROUND(((+AE170-AA170)/AA170),4)</f>
        <v>0</v>
      </c>
      <c r="AG170" s="1148">
        <f>+'691 Historical Comm'!P12</f>
        <v>0</v>
      </c>
      <c r="AH170" s="1172" t="e">
        <f t="shared" ref="AH170:AH171" si="598">ROUND(((+AG170-AC170)/AC170),4)</f>
        <v>#DIV/0!</v>
      </c>
      <c r="AI170" s="1172"/>
      <c r="AJ170" s="1172"/>
      <c r="AK170" s="1152">
        <f>+'691 Historical Comm'!Q12</f>
        <v>500</v>
      </c>
      <c r="AL170" s="1172">
        <f t="shared" ref="AL170:AL171" si="599">ROUND(((+AK170-AE170)/AE170),4)</f>
        <v>0</v>
      </c>
      <c r="AM170" s="1148">
        <f>+'691 Historical Comm'!R12</f>
        <v>0</v>
      </c>
      <c r="AN170" s="1172" t="e">
        <f t="shared" ref="AN170:AN171" si="600">ROUND(((+AM170-AG170)/AG170),4)</f>
        <v>#DIV/0!</v>
      </c>
      <c r="AO170" s="1172"/>
      <c r="AP170" s="1172"/>
      <c r="AQ170" s="1152">
        <f>+'691 Historical Comm'!S12</f>
        <v>500</v>
      </c>
      <c r="AR170" s="1172">
        <f t="shared" ref="AR170:AR171" si="601">ROUND(((+AQ170-AK170)/AK170),4)</f>
        <v>0</v>
      </c>
      <c r="AS170" s="1172">
        <f t="shared" ref="AS170:AS171" si="602">ROUND((((+AQ170-U170)/U170)/5),4)</f>
        <v>0</v>
      </c>
      <c r="AT170" s="1172">
        <f t="shared" ref="AT170:AT171" si="603">ROUND((((+AQ170-F170)/F170)/10),4)</f>
        <v>0</v>
      </c>
      <c r="AV170" s="1152">
        <f t="shared" ref="AV170" si="604">ROUND((+AQ170*(1+AT170)),0)</f>
        <v>500</v>
      </c>
      <c r="AW170" s="1152">
        <f t="shared" ref="AW170" si="605">ROUND((+AV170*(1+AT170)),0)</f>
        <v>500</v>
      </c>
      <c r="AX170" s="1152">
        <f t="shared" ref="AX170" si="606">ROUND((+AW170*(1+AT170)),0)</f>
        <v>500</v>
      </c>
      <c r="AY170" s="1152">
        <f t="shared" ref="AY170" si="607">ROUND((+AX170*(1+AT170)),0)</f>
        <v>500</v>
      </c>
      <c r="AZ170" s="1152">
        <f t="shared" ref="AZ170" si="608">ROUND((+AY170*(1+AT170)),0)</f>
        <v>500</v>
      </c>
    </row>
    <row r="171" spans="1:53" x14ac:dyDescent="0.3">
      <c r="B171" s="947" t="s">
        <v>887</v>
      </c>
      <c r="C171" s="1146">
        <f>SUM(C169:C170)</f>
        <v>253.28</v>
      </c>
      <c r="D171" s="1146">
        <f t="shared" ref="D171:AQ171" si="609">SUM(D169:D170)</f>
        <v>0</v>
      </c>
      <c r="E171" s="1168">
        <f t="shared" si="592"/>
        <v>-1</v>
      </c>
      <c r="F171" s="1151">
        <f t="shared" si="609"/>
        <v>500</v>
      </c>
      <c r="G171" s="1146">
        <f t="shared" si="609"/>
        <v>434.33</v>
      </c>
      <c r="H171" s="1168" t="e">
        <f t="shared" si="593"/>
        <v>#DIV/0!</v>
      </c>
      <c r="I171" s="1151">
        <f t="shared" si="609"/>
        <v>500</v>
      </c>
      <c r="J171" s="1146">
        <f t="shared" si="609"/>
        <v>0</v>
      </c>
      <c r="K171" s="1168">
        <f>ROUND(((+J171-G171)/G171),4)</f>
        <v>-1</v>
      </c>
      <c r="L171" s="1151">
        <f t="shared" si="609"/>
        <v>500</v>
      </c>
      <c r="M171" s="1146">
        <f t="shared" si="609"/>
        <v>0</v>
      </c>
      <c r="N171" s="1168" t="e">
        <f>ROUND(((+M171-J171)/J171),4)</f>
        <v>#DIV/0!</v>
      </c>
      <c r="O171" s="1151">
        <f t="shared" si="609"/>
        <v>500</v>
      </c>
      <c r="P171" s="1146">
        <f t="shared" si="609"/>
        <v>253.19</v>
      </c>
      <c r="Q171" s="1168" t="e">
        <f>ROUND(((+P171-M171)/M171),4)</f>
        <v>#DIV/0!</v>
      </c>
      <c r="R171" s="1151">
        <f t="shared" si="609"/>
        <v>500</v>
      </c>
      <c r="S171" s="1146">
        <f t="shared" si="609"/>
        <v>0</v>
      </c>
      <c r="T171" s="1168">
        <f>ROUND(((+S171-P171)/P171),4)</f>
        <v>-1</v>
      </c>
      <c r="U171" s="1151">
        <f t="shared" si="609"/>
        <v>500</v>
      </c>
      <c r="V171" s="1146">
        <f t="shared" si="609"/>
        <v>0</v>
      </c>
      <c r="W171" s="1168" t="e">
        <f>ROUND(((+V171-S171)/S171),4)</f>
        <v>#DIV/0!</v>
      </c>
      <c r="X171" s="1151">
        <f t="shared" si="609"/>
        <v>500</v>
      </c>
      <c r="Y171" s="1146">
        <f t="shared" si="609"/>
        <v>500</v>
      </c>
      <c r="Z171" s="1168" t="e">
        <f t="shared" si="594"/>
        <v>#DIV/0!</v>
      </c>
      <c r="AA171" s="1151">
        <f t="shared" si="609"/>
        <v>500</v>
      </c>
      <c r="AB171" s="1168">
        <f t="shared" si="595"/>
        <v>0</v>
      </c>
      <c r="AC171" s="1146">
        <f t="shared" si="609"/>
        <v>0</v>
      </c>
      <c r="AD171" s="1168">
        <f t="shared" si="596"/>
        <v>-1</v>
      </c>
      <c r="AE171" s="1151">
        <f t="shared" si="609"/>
        <v>500</v>
      </c>
      <c r="AF171" s="1168">
        <f t="shared" si="597"/>
        <v>0</v>
      </c>
      <c r="AG171" s="1146">
        <f t="shared" si="609"/>
        <v>0</v>
      </c>
      <c r="AH171" s="1168" t="e">
        <f t="shared" si="598"/>
        <v>#DIV/0!</v>
      </c>
      <c r="AI171" s="1168"/>
      <c r="AJ171" s="1168"/>
      <c r="AK171" s="1151">
        <f t="shared" si="609"/>
        <v>500</v>
      </c>
      <c r="AL171" s="1168">
        <f t="shared" si="599"/>
        <v>0</v>
      </c>
      <c r="AM171" s="1146">
        <f t="shared" si="609"/>
        <v>0</v>
      </c>
      <c r="AN171" s="1168" t="e">
        <f t="shared" si="600"/>
        <v>#DIV/0!</v>
      </c>
      <c r="AO171" s="1168"/>
      <c r="AP171" s="1168"/>
      <c r="AQ171" s="1151">
        <f t="shared" si="609"/>
        <v>500</v>
      </c>
      <c r="AR171" s="1168">
        <f t="shared" si="601"/>
        <v>0</v>
      </c>
      <c r="AS171" s="1168">
        <f t="shared" si="602"/>
        <v>0</v>
      </c>
      <c r="AT171" s="1168">
        <f t="shared" si="603"/>
        <v>0</v>
      </c>
      <c r="AV171" s="1151">
        <f t="shared" ref="AV171:AZ171" si="610">SUM(AV169:AV170)</f>
        <v>500</v>
      </c>
      <c r="AW171" s="1151">
        <f t="shared" si="610"/>
        <v>500</v>
      </c>
      <c r="AX171" s="1151">
        <f t="shared" si="610"/>
        <v>500</v>
      </c>
      <c r="AY171" s="1151">
        <f t="shared" si="610"/>
        <v>500</v>
      </c>
      <c r="AZ171" s="1151">
        <f t="shared" si="610"/>
        <v>500</v>
      </c>
    </row>
    <row r="172" spans="1:53" x14ac:dyDescent="0.3">
      <c r="AL172" s="1151"/>
      <c r="AQ172" s="1151"/>
      <c r="AR172" s="1151"/>
    </row>
    <row r="173" spans="1:53" x14ac:dyDescent="0.3">
      <c r="A173" s="954" t="s">
        <v>558</v>
      </c>
      <c r="AL173" s="1151"/>
      <c r="AQ173" s="1151"/>
      <c r="AR173" s="1151"/>
    </row>
    <row r="174" spans="1:53" x14ac:dyDescent="0.3">
      <c r="B174" s="947" t="s">
        <v>1869</v>
      </c>
      <c r="C174" s="1148">
        <f>+'693 Memorials'!C11</f>
        <v>1230.25</v>
      </c>
      <c r="D174" s="1148">
        <f>+'693 Memorials'!D11</f>
        <v>819.41</v>
      </c>
      <c r="E174" s="1172">
        <f t="shared" ref="E174:E175" si="611">ROUND(((+D174-C174)/C174),4)</f>
        <v>-0.33389999999999997</v>
      </c>
      <c r="F174" s="1152">
        <v>1200</v>
      </c>
      <c r="G174" s="1148">
        <f>+'693 Memorials'!E11</f>
        <v>1049.43</v>
      </c>
      <c r="H174" s="1172">
        <f t="shared" ref="H174:H175" si="612">ROUND(((+G174-D174)/D174),4)</f>
        <v>0.28070000000000001</v>
      </c>
      <c r="I174" s="1152">
        <v>1200</v>
      </c>
      <c r="J174" s="1148">
        <f>+'693 Memorials'!F11</f>
        <v>1189.6199999999999</v>
      </c>
      <c r="K174" s="1172">
        <f>ROUND(((+J174-G174)/G174),4)</f>
        <v>0.1336</v>
      </c>
      <c r="L174" s="1152">
        <v>1200</v>
      </c>
      <c r="M174" s="1148">
        <f>+'693 Memorials'!G11</f>
        <v>1188.96</v>
      </c>
      <c r="N174" s="1172">
        <f>ROUND(((+M174-J174)/J174),4)</f>
        <v>-5.9999999999999995E-4</v>
      </c>
      <c r="O174" s="1152">
        <v>1200</v>
      </c>
      <c r="P174" s="1148">
        <f>+'693 Memorials'!H11</f>
        <v>1200</v>
      </c>
      <c r="Q174" s="1172">
        <f>ROUND(((+P174-M174)/M174),4)</f>
        <v>9.2999999999999992E-3</v>
      </c>
      <c r="R174" s="1152">
        <v>1200</v>
      </c>
      <c r="S174" s="1148">
        <f>+'693 Memorials'!I11</f>
        <v>800.77</v>
      </c>
      <c r="T174" s="1172">
        <f>ROUND(((+S174-P174)/P174),4)</f>
        <v>-0.3327</v>
      </c>
      <c r="U174" s="1152">
        <v>1300</v>
      </c>
      <c r="V174" s="1148">
        <f>+'693 Memorials'!J11</f>
        <v>937.62</v>
      </c>
      <c r="W174" s="1172">
        <f>ROUND(((+V174-S174)/S174),4)</f>
        <v>0.1709</v>
      </c>
      <c r="X174" s="1152">
        <f>+'693 Memorials'!K11</f>
        <v>1300</v>
      </c>
      <c r="Y174" s="1148">
        <f>+'693 Memorials'!L11</f>
        <v>791.89</v>
      </c>
      <c r="Z174" s="1172">
        <f t="shared" ref="Z174:Z175" si="613">ROUND(((+Y174-V174)/V174),4)</f>
        <v>-0.15540000000000001</v>
      </c>
      <c r="AA174" s="1152">
        <f>+'693 Memorials'!M11</f>
        <v>1300</v>
      </c>
      <c r="AB174" s="1172">
        <f t="shared" ref="AB174:AB175" si="614">ROUND(((+AA174-X174)/X174),4)</f>
        <v>0</v>
      </c>
      <c r="AC174" s="1148">
        <f>+'693 Memorials'!N11</f>
        <v>1192.21</v>
      </c>
      <c r="AD174" s="1172">
        <f t="shared" ref="AD174:AD175" si="615">ROUND(((+AC174-Y174)/Y174),4)</f>
        <v>0.50549999999999995</v>
      </c>
      <c r="AE174" s="1152">
        <f>+'693 Memorials'!O11</f>
        <v>1400</v>
      </c>
      <c r="AF174" s="1172">
        <f t="shared" ref="AF174:AF175" si="616">ROUND(((+AE174-AA174)/AA174),4)</f>
        <v>7.6899999999999996E-2</v>
      </c>
      <c r="AG174" s="1148">
        <f>+'693 Memorials'!P11</f>
        <v>1342.9499999999998</v>
      </c>
      <c r="AH174" s="1172">
        <f t="shared" ref="AH174:AH175" si="617">ROUND(((+AG174-AC174)/AC174),4)</f>
        <v>0.12640000000000001</v>
      </c>
      <c r="AI174" s="1172"/>
      <c r="AJ174" s="1172"/>
      <c r="AK174" s="1152">
        <f>+'693 Memorials'!Q11</f>
        <v>1600</v>
      </c>
      <c r="AL174" s="1172">
        <f t="shared" ref="AL174:AL175" si="618">ROUND(((+AK174-AE174)/AE174),4)</f>
        <v>0.1429</v>
      </c>
      <c r="AM174" s="1148">
        <f>+'693 Memorials'!R11</f>
        <v>193.03</v>
      </c>
      <c r="AN174" s="1172">
        <f t="shared" ref="AN174:AN175" si="619">ROUND(((+AM174-AG174)/AG174),4)</f>
        <v>-0.85629999999999995</v>
      </c>
      <c r="AO174" s="1172"/>
      <c r="AP174" s="1172"/>
      <c r="AQ174" s="1152">
        <f>+'693 Memorials'!S11</f>
        <v>1600</v>
      </c>
      <c r="AR174" s="1172">
        <f t="shared" ref="AR174:AR175" si="620">ROUND(((+AQ174-AK174)/AK174),4)</f>
        <v>0</v>
      </c>
      <c r="AS174" s="1172">
        <f t="shared" ref="AS174:AS175" si="621">ROUND((((+AQ174-U174)/U174)/5),4)</f>
        <v>4.6199999999999998E-2</v>
      </c>
      <c r="AT174" s="1172">
        <f t="shared" ref="AT174:AT175" si="622">ROUND((((+AQ174-F174)/F174)/10),4)</f>
        <v>3.3300000000000003E-2</v>
      </c>
      <c r="AV174" s="1152">
        <f t="shared" ref="AV174" si="623">ROUND((+AQ174*(1+AT174)),0)</f>
        <v>1653</v>
      </c>
      <c r="AW174" s="1152">
        <f t="shared" ref="AW174" si="624">ROUND((+AV174*(1+AT174)),0)</f>
        <v>1708</v>
      </c>
      <c r="AX174" s="1152">
        <f t="shared" ref="AX174" si="625">ROUND((+AW174*(1+AT174)),0)</f>
        <v>1765</v>
      </c>
      <c r="AY174" s="1152">
        <f t="shared" ref="AY174" si="626">ROUND((+AX174*(1+AT174)),0)</f>
        <v>1824</v>
      </c>
      <c r="AZ174" s="1152">
        <f t="shared" ref="AZ174" si="627">ROUND((+AY174*(1+AT174)),0)</f>
        <v>1885</v>
      </c>
    </row>
    <row r="175" spans="1:53" x14ac:dyDescent="0.3">
      <c r="B175" s="947" t="s">
        <v>887</v>
      </c>
      <c r="C175" s="1146">
        <f>SUM(C173:C174)</f>
        <v>1230.25</v>
      </c>
      <c r="D175" s="1146">
        <f t="shared" ref="D175:AQ175" si="628">SUM(D173:D174)</f>
        <v>819.41</v>
      </c>
      <c r="E175" s="1168">
        <f t="shared" si="611"/>
        <v>-0.33389999999999997</v>
      </c>
      <c r="F175" s="1151">
        <f t="shared" si="628"/>
        <v>1200</v>
      </c>
      <c r="G175" s="1146">
        <f t="shared" si="628"/>
        <v>1049.43</v>
      </c>
      <c r="H175" s="1168">
        <f t="shared" si="612"/>
        <v>0.28070000000000001</v>
      </c>
      <c r="I175" s="1151">
        <f t="shared" si="628"/>
        <v>1200</v>
      </c>
      <c r="J175" s="1146">
        <f t="shared" si="628"/>
        <v>1189.6199999999999</v>
      </c>
      <c r="K175" s="1168">
        <f>ROUND(((+J175-G175)/G175),4)</f>
        <v>0.1336</v>
      </c>
      <c r="L175" s="1151">
        <f t="shared" si="628"/>
        <v>1200</v>
      </c>
      <c r="M175" s="1146">
        <f t="shared" si="628"/>
        <v>1188.96</v>
      </c>
      <c r="N175" s="1168">
        <f>ROUND(((+M175-J175)/J175),4)</f>
        <v>-5.9999999999999995E-4</v>
      </c>
      <c r="O175" s="1151">
        <f t="shared" si="628"/>
        <v>1200</v>
      </c>
      <c r="P175" s="1146">
        <f t="shared" si="628"/>
        <v>1200</v>
      </c>
      <c r="Q175" s="1168">
        <f>ROUND(((+P175-M175)/M175),4)</f>
        <v>9.2999999999999992E-3</v>
      </c>
      <c r="R175" s="1151">
        <f t="shared" si="628"/>
        <v>1200</v>
      </c>
      <c r="S175" s="1146">
        <f t="shared" si="628"/>
        <v>800.77</v>
      </c>
      <c r="T175" s="1168">
        <f>ROUND(((+S175-P175)/P175),4)</f>
        <v>-0.3327</v>
      </c>
      <c r="U175" s="1151">
        <f t="shared" si="628"/>
        <v>1300</v>
      </c>
      <c r="V175" s="1146">
        <f t="shared" si="628"/>
        <v>937.62</v>
      </c>
      <c r="W175" s="1168">
        <f>ROUND(((+V175-S175)/S175),4)</f>
        <v>0.1709</v>
      </c>
      <c r="X175" s="1151">
        <f t="shared" si="628"/>
        <v>1300</v>
      </c>
      <c r="Y175" s="1146">
        <f t="shared" si="628"/>
        <v>791.89</v>
      </c>
      <c r="Z175" s="1168">
        <f t="shared" si="613"/>
        <v>-0.15540000000000001</v>
      </c>
      <c r="AA175" s="1151">
        <f t="shared" si="628"/>
        <v>1300</v>
      </c>
      <c r="AB175" s="1168">
        <f t="shared" si="614"/>
        <v>0</v>
      </c>
      <c r="AC175" s="1146">
        <f t="shared" si="628"/>
        <v>1192.21</v>
      </c>
      <c r="AD175" s="1168">
        <f t="shared" si="615"/>
        <v>0.50549999999999995</v>
      </c>
      <c r="AE175" s="1151">
        <f t="shared" si="628"/>
        <v>1400</v>
      </c>
      <c r="AF175" s="1168">
        <f t="shared" si="616"/>
        <v>7.6899999999999996E-2</v>
      </c>
      <c r="AG175" s="1146">
        <f t="shared" si="628"/>
        <v>1342.9499999999998</v>
      </c>
      <c r="AH175" s="1168">
        <f t="shared" si="617"/>
        <v>0.12640000000000001</v>
      </c>
      <c r="AI175" s="1168"/>
      <c r="AJ175" s="1168"/>
      <c r="AK175" s="1151">
        <f t="shared" si="628"/>
        <v>1600</v>
      </c>
      <c r="AL175" s="1168">
        <f t="shared" si="618"/>
        <v>0.1429</v>
      </c>
      <c r="AM175" s="1146">
        <f t="shared" si="628"/>
        <v>193.03</v>
      </c>
      <c r="AN175" s="1168">
        <f t="shared" si="619"/>
        <v>-0.85629999999999995</v>
      </c>
      <c r="AO175" s="1168"/>
      <c r="AP175" s="1168"/>
      <c r="AQ175" s="1151">
        <f t="shared" si="628"/>
        <v>1600</v>
      </c>
      <c r="AR175" s="1168">
        <f t="shared" si="620"/>
        <v>0</v>
      </c>
      <c r="AS175" s="1168">
        <f t="shared" si="621"/>
        <v>4.6199999999999998E-2</v>
      </c>
      <c r="AT175" s="1168">
        <f t="shared" si="622"/>
        <v>3.3300000000000003E-2</v>
      </c>
      <c r="AV175" s="1151">
        <f t="shared" ref="AV175:AZ175" si="629">SUM(AV173:AV174)</f>
        <v>1653</v>
      </c>
      <c r="AW175" s="1151">
        <f t="shared" si="629"/>
        <v>1708</v>
      </c>
      <c r="AX175" s="1151">
        <f t="shared" si="629"/>
        <v>1765</v>
      </c>
      <c r="AY175" s="1151">
        <f t="shared" si="629"/>
        <v>1824</v>
      </c>
      <c r="AZ175" s="1151">
        <f t="shared" si="629"/>
        <v>1885</v>
      </c>
    </row>
    <row r="176" spans="1:53" x14ac:dyDescent="0.3">
      <c r="AL176" s="1151"/>
      <c r="AQ176" s="1151"/>
      <c r="AR176" s="1151"/>
    </row>
    <row r="177" spans="1:53" x14ac:dyDescent="0.3">
      <c r="A177" s="954" t="s">
        <v>560</v>
      </c>
      <c r="AL177" s="1151"/>
      <c r="AQ177" s="1151"/>
      <c r="AR177" s="1151"/>
    </row>
    <row r="178" spans="1:53" x14ac:dyDescent="0.3">
      <c r="B178" s="947" t="s">
        <v>1343</v>
      </c>
      <c r="C178" s="1148">
        <f>+'700 Debt '!C64</f>
        <v>624059.19999999995</v>
      </c>
      <c r="D178" s="1148">
        <f>+'700 Debt '!D64</f>
        <v>627106.03000000014</v>
      </c>
      <c r="E178" s="1172">
        <f t="shared" ref="E178:E179" si="630">ROUND(((+D178-C178)/C178),4)</f>
        <v>4.8999999999999998E-3</v>
      </c>
      <c r="F178" s="1152">
        <v>662036</v>
      </c>
      <c r="G178" s="1148">
        <f>+'700 Debt '!E64</f>
        <v>653275.82999999996</v>
      </c>
      <c r="H178" s="1172">
        <f t="shared" ref="H178:H179" si="631">ROUND(((+G178-D178)/D178),4)</f>
        <v>4.1700000000000001E-2</v>
      </c>
      <c r="I178" s="1152">
        <v>661201</v>
      </c>
      <c r="J178" s="1148">
        <f>+'700 Debt '!F64</f>
        <v>651031.29</v>
      </c>
      <c r="K178" s="1172">
        <f>ROUND(((+J178-G178)/G178),4)</f>
        <v>-3.3999999999999998E-3</v>
      </c>
      <c r="L178" s="1152">
        <v>659072</v>
      </c>
      <c r="M178" s="1148">
        <f>+'700 Debt '!G64</f>
        <v>655052.56000000006</v>
      </c>
      <c r="N178" s="1172">
        <f>ROUND(((+M178-J178)/J178),4)</f>
        <v>6.1999999999999998E-3</v>
      </c>
      <c r="O178" s="1152">
        <v>639218</v>
      </c>
      <c r="P178" s="1148">
        <f>+'700 Debt '!H64</f>
        <v>630911.34</v>
      </c>
      <c r="Q178" s="1172">
        <f>ROUND(((+P178-M178)/M178),4)</f>
        <v>-3.6900000000000002E-2</v>
      </c>
      <c r="R178" s="1152">
        <v>629774</v>
      </c>
      <c r="S178" s="1148">
        <f>+'700 Debt '!I64</f>
        <v>625348.28</v>
      </c>
      <c r="T178" s="1172">
        <f>ROUND(((+S178-P178)/P178),4)</f>
        <v>-8.8000000000000005E-3</v>
      </c>
      <c r="U178" s="1152">
        <v>888793</v>
      </c>
      <c r="V178" s="1148">
        <f>+'700 Debt '!J64</f>
        <v>824346.28999999992</v>
      </c>
      <c r="W178" s="1172">
        <f>ROUND(((+V178-S178)/S178),4)</f>
        <v>0.31819999999999998</v>
      </c>
      <c r="X178" s="1152">
        <f>+'700 Debt '!K64</f>
        <v>1128500</v>
      </c>
      <c r="Y178" s="1148">
        <f>+'700 Debt '!L64</f>
        <v>1057873.57</v>
      </c>
      <c r="Z178" s="1172">
        <f t="shared" ref="Z178:Z179" si="632">ROUND(((+Y178-V178)/V178),4)</f>
        <v>0.2833</v>
      </c>
      <c r="AA178" s="1152">
        <f>+'700 Debt '!M64</f>
        <v>1066809</v>
      </c>
      <c r="AB178" s="1172">
        <f t="shared" ref="AB178:AB179" si="633">ROUND(((+AA178-X178)/X178),4)</f>
        <v>-5.4699999999999999E-2</v>
      </c>
      <c r="AC178" s="1148">
        <f>+'700 Debt '!N64</f>
        <v>1054154.5900000001</v>
      </c>
      <c r="AD178" s="1172">
        <f t="shared" ref="AD178:AD179" si="634">ROUND(((+AC178-Y178)/Y178),4)</f>
        <v>-3.5000000000000001E-3</v>
      </c>
      <c r="AE178" s="1152">
        <f>+'700 Debt '!O64</f>
        <v>1162190</v>
      </c>
      <c r="AF178" s="1172">
        <f t="shared" ref="AF178:AF179" si="635">ROUND(((+AE178-AA178)/AA178),4)</f>
        <v>8.9399999999999993E-2</v>
      </c>
      <c r="AG178" s="1148">
        <f>+'700 Debt '!P64</f>
        <v>1135979.8400000001</v>
      </c>
      <c r="AH178" s="1172">
        <f t="shared" ref="AH178:AH179" si="636">ROUND(((+AG178-AC178)/AC178),4)</f>
        <v>7.7600000000000002E-2</v>
      </c>
      <c r="AI178" s="1172"/>
      <c r="AJ178" s="1172"/>
      <c r="AK178" s="1152">
        <f>+'700 Debt '!Q64</f>
        <v>1154319</v>
      </c>
      <c r="AL178" s="1172">
        <f t="shared" ref="AL178:AL179" si="637">ROUND(((+AK178-AE178)/AE178),4)</f>
        <v>-6.7999999999999996E-3</v>
      </c>
      <c r="AM178" s="1148">
        <f>+'700 Debt '!R64</f>
        <v>472629.04000000004</v>
      </c>
      <c r="AN178" s="1172">
        <f t="shared" ref="AN178:AN179" si="638">ROUND(((+AM178-AG178)/AG178),4)</f>
        <v>-0.58389999999999997</v>
      </c>
      <c r="AO178" s="1172"/>
      <c r="AP178" s="1172"/>
      <c r="AQ178" s="1152">
        <f>+'700 Debt '!S64</f>
        <v>1158857</v>
      </c>
      <c r="AR178" s="1172">
        <f t="shared" ref="AR178:AR179" si="639">ROUND(((+AQ178-AK178)/AK178),4)</f>
        <v>3.8999999999999998E-3</v>
      </c>
      <c r="AS178" s="1172">
        <f t="shared" ref="AS178:AS179" si="640">ROUND((((+AQ178-U178)/U178)/5),4)</f>
        <v>6.08E-2</v>
      </c>
      <c r="AT178" s="1172">
        <f t="shared" ref="AT178:AT179" si="641">ROUND((((+AQ178-F178)/F178)/10),4)</f>
        <v>7.4999999999999997E-2</v>
      </c>
      <c r="AV178" s="1152">
        <f>+'700 Debt '!AB64</f>
        <v>1140024</v>
      </c>
      <c r="AW178" s="1152">
        <f>+'700 Debt '!AC64</f>
        <v>1135422</v>
      </c>
      <c r="AX178" s="1152">
        <f>+'700 Debt '!AD64</f>
        <v>1100888</v>
      </c>
      <c r="AY178" s="1152">
        <f>+'700 Debt '!AE64</f>
        <v>728458</v>
      </c>
      <c r="AZ178" s="1152">
        <f>+'700 Debt '!AF64</f>
        <v>732948</v>
      </c>
      <c r="BA178" s="947" t="s">
        <v>2269</v>
      </c>
    </row>
    <row r="179" spans="1:53" x14ac:dyDescent="0.3">
      <c r="B179" s="947" t="s">
        <v>887</v>
      </c>
      <c r="C179" s="1146">
        <f>SUM(C177:C178)</f>
        <v>624059.19999999995</v>
      </c>
      <c r="D179" s="1146">
        <f t="shared" ref="D179:AQ179" si="642">SUM(D177:D178)</f>
        <v>627106.03000000014</v>
      </c>
      <c r="E179" s="1168">
        <f t="shared" si="630"/>
        <v>4.8999999999999998E-3</v>
      </c>
      <c r="F179" s="1151">
        <f t="shared" si="642"/>
        <v>662036</v>
      </c>
      <c r="G179" s="1146">
        <f t="shared" si="642"/>
        <v>653275.82999999996</v>
      </c>
      <c r="H179" s="1168">
        <f t="shared" si="631"/>
        <v>4.1700000000000001E-2</v>
      </c>
      <c r="I179" s="1151">
        <f t="shared" si="642"/>
        <v>661201</v>
      </c>
      <c r="J179" s="1146">
        <f t="shared" si="642"/>
        <v>651031.29</v>
      </c>
      <c r="K179" s="1168">
        <f>ROUND(((+J179-G179)/G179),4)</f>
        <v>-3.3999999999999998E-3</v>
      </c>
      <c r="L179" s="1151">
        <f t="shared" si="642"/>
        <v>659072</v>
      </c>
      <c r="M179" s="1146">
        <f t="shared" si="642"/>
        <v>655052.56000000006</v>
      </c>
      <c r="N179" s="1168">
        <f>ROUND(((+M179-J179)/J179),4)</f>
        <v>6.1999999999999998E-3</v>
      </c>
      <c r="O179" s="1151">
        <f t="shared" si="642"/>
        <v>639218</v>
      </c>
      <c r="P179" s="1146">
        <f t="shared" si="642"/>
        <v>630911.34</v>
      </c>
      <c r="Q179" s="1168">
        <f>ROUND(((+P179-M179)/M179),4)</f>
        <v>-3.6900000000000002E-2</v>
      </c>
      <c r="R179" s="1151">
        <f t="shared" si="642"/>
        <v>629774</v>
      </c>
      <c r="S179" s="1146">
        <f t="shared" si="642"/>
        <v>625348.28</v>
      </c>
      <c r="T179" s="1168">
        <f>ROUND(((+S179-P179)/P179),4)</f>
        <v>-8.8000000000000005E-3</v>
      </c>
      <c r="U179" s="1151">
        <f t="shared" si="642"/>
        <v>888793</v>
      </c>
      <c r="V179" s="1146">
        <f t="shared" si="642"/>
        <v>824346.28999999992</v>
      </c>
      <c r="W179" s="1168">
        <f>ROUND(((+V179-S179)/S179),4)</f>
        <v>0.31819999999999998</v>
      </c>
      <c r="X179" s="1151">
        <f t="shared" si="642"/>
        <v>1128500</v>
      </c>
      <c r="Y179" s="1146">
        <f t="shared" si="642"/>
        <v>1057873.57</v>
      </c>
      <c r="Z179" s="1168">
        <f t="shared" si="632"/>
        <v>0.2833</v>
      </c>
      <c r="AA179" s="1151">
        <f t="shared" si="642"/>
        <v>1066809</v>
      </c>
      <c r="AB179" s="1168">
        <f t="shared" si="633"/>
        <v>-5.4699999999999999E-2</v>
      </c>
      <c r="AC179" s="1146">
        <f t="shared" si="642"/>
        <v>1054154.5900000001</v>
      </c>
      <c r="AD179" s="1168">
        <f t="shared" si="634"/>
        <v>-3.5000000000000001E-3</v>
      </c>
      <c r="AE179" s="1151">
        <f t="shared" si="642"/>
        <v>1162190</v>
      </c>
      <c r="AF179" s="1168">
        <f t="shared" si="635"/>
        <v>8.9399999999999993E-2</v>
      </c>
      <c r="AG179" s="1146">
        <f t="shared" si="642"/>
        <v>1135979.8400000001</v>
      </c>
      <c r="AH179" s="1168">
        <f t="shared" si="636"/>
        <v>7.7600000000000002E-2</v>
      </c>
      <c r="AI179" s="1168"/>
      <c r="AJ179" s="1168"/>
      <c r="AK179" s="1151">
        <f t="shared" si="642"/>
        <v>1154319</v>
      </c>
      <c r="AL179" s="1168">
        <f t="shared" si="637"/>
        <v>-6.7999999999999996E-3</v>
      </c>
      <c r="AM179" s="1146">
        <f t="shared" si="642"/>
        <v>472629.04000000004</v>
      </c>
      <c r="AN179" s="1168">
        <f t="shared" si="638"/>
        <v>-0.58389999999999997</v>
      </c>
      <c r="AO179" s="1168"/>
      <c r="AP179" s="1168"/>
      <c r="AQ179" s="1151">
        <f t="shared" si="642"/>
        <v>1158857</v>
      </c>
      <c r="AR179" s="1168">
        <f t="shared" si="639"/>
        <v>3.8999999999999998E-3</v>
      </c>
      <c r="AS179" s="1168">
        <f t="shared" si="640"/>
        <v>6.08E-2</v>
      </c>
      <c r="AT179" s="1168">
        <f t="shared" si="641"/>
        <v>7.4999999999999997E-2</v>
      </c>
      <c r="AV179" s="1151">
        <f t="shared" ref="AV179:AZ179" si="643">SUM(AV177:AV178)</f>
        <v>1140024</v>
      </c>
      <c r="AW179" s="1151">
        <f t="shared" si="643"/>
        <v>1135422</v>
      </c>
      <c r="AX179" s="1151">
        <f t="shared" si="643"/>
        <v>1100888</v>
      </c>
      <c r="AY179" s="1151">
        <f t="shared" si="643"/>
        <v>728458</v>
      </c>
      <c r="AZ179" s="1151">
        <f t="shared" si="643"/>
        <v>732948</v>
      </c>
    </row>
    <row r="180" spans="1:53" x14ac:dyDescent="0.3">
      <c r="AL180" s="1151"/>
      <c r="AQ180" s="1151"/>
      <c r="AR180" s="1151"/>
    </row>
    <row r="181" spans="1:53" x14ac:dyDescent="0.3">
      <c r="A181" s="954" t="s">
        <v>561</v>
      </c>
      <c r="AL181" s="1151"/>
      <c r="AQ181" s="1151"/>
      <c r="AR181" s="1151"/>
    </row>
    <row r="182" spans="1:53" x14ac:dyDescent="0.3">
      <c r="B182" s="947" t="s">
        <v>1869</v>
      </c>
      <c r="C182" s="1148">
        <f>+'840 Intergovt'!C16</f>
        <v>83074.820000000007</v>
      </c>
      <c r="D182" s="1148">
        <f>+'840 Intergovt'!D16</f>
        <v>87874.209999999992</v>
      </c>
      <c r="E182" s="1172">
        <f t="shared" ref="E182:E183" si="644">ROUND(((+D182-C182)/C182),4)</f>
        <v>5.7799999999999997E-2</v>
      </c>
      <c r="F182" s="1152">
        <v>94169</v>
      </c>
      <c r="G182" s="1148">
        <f>+'840 Intergovt'!E16</f>
        <v>71938.12</v>
      </c>
      <c r="H182" s="1172">
        <f t="shared" ref="H182:H183" si="645">ROUND(((+G182-D182)/D182),4)</f>
        <v>-0.18140000000000001</v>
      </c>
      <c r="I182" s="1152">
        <v>94259</v>
      </c>
      <c r="J182" s="1148">
        <f>+'840 Intergovt'!F16</f>
        <v>94258.209999999992</v>
      </c>
      <c r="K182" s="1172">
        <f>ROUND(((+J182-G182)/G182),4)</f>
        <v>0.31030000000000002</v>
      </c>
      <c r="L182" s="1152">
        <v>92564</v>
      </c>
      <c r="M182" s="1148">
        <f>+'840 Intergovt'!G16</f>
        <v>92495.299999999988</v>
      </c>
      <c r="N182" s="1172">
        <f>ROUND(((+M182-J182)/J182),4)</f>
        <v>-1.8700000000000001E-2</v>
      </c>
      <c r="O182" s="1152">
        <v>99253</v>
      </c>
      <c r="P182" s="1148">
        <f>+'840 Intergovt'!H16</f>
        <v>99251.89</v>
      </c>
      <c r="Q182" s="1172">
        <f>ROUND(((+P182-M182)/M182),4)</f>
        <v>7.2999999999999995E-2</v>
      </c>
      <c r="R182" s="1152">
        <v>101036</v>
      </c>
      <c r="S182" s="1148">
        <f>+'840 Intergovt'!I16</f>
        <v>100824.36000000002</v>
      </c>
      <c r="T182" s="1172">
        <f>ROUND(((+S182-P182)/P182),4)</f>
        <v>1.5800000000000002E-2</v>
      </c>
      <c r="U182" s="1152">
        <v>104608</v>
      </c>
      <c r="V182" s="1148">
        <f>+'840 Intergovt'!J16</f>
        <v>104701.44</v>
      </c>
      <c r="W182" s="1172">
        <f>ROUND(((+V182-S182)/S182),4)</f>
        <v>3.85E-2</v>
      </c>
      <c r="X182" s="1152">
        <f>+'840 Intergovt'!K16</f>
        <v>111179</v>
      </c>
      <c r="Y182" s="1148">
        <f>+'840 Intergovt'!L16</f>
        <v>111175.8</v>
      </c>
      <c r="Z182" s="1172">
        <f t="shared" ref="Z182:Z183" si="646">ROUND(((+Y182-V182)/V182),4)</f>
        <v>6.1800000000000001E-2</v>
      </c>
      <c r="AA182" s="1152">
        <f>+'840 Intergovt'!M16</f>
        <v>110720</v>
      </c>
      <c r="AB182" s="1172">
        <f t="shared" ref="AB182:AB183" si="647">ROUND(((+AA182-X182)/X182),4)</f>
        <v>-4.1000000000000003E-3</v>
      </c>
      <c r="AC182" s="1148">
        <f>+'840 Intergovt'!N16</f>
        <v>111384</v>
      </c>
      <c r="AD182" s="1172">
        <f t="shared" ref="AD182:AD183" si="648">ROUND(((+AC182-Y182)/Y182),4)</f>
        <v>1.9E-3</v>
      </c>
      <c r="AE182" s="1152">
        <f>+'840 Intergovt'!O16</f>
        <v>110647</v>
      </c>
      <c r="AF182" s="1172">
        <f t="shared" ref="AF182:AF183" si="649">ROUND(((+AE182-AA182)/AA182),4)</f>
        <v>-6.9999999999999999E-4</v>
      </c>
      <c r="AG182" s="1148">
        <f>+'840 Intergovt'!P16</f>
        <v>110300.84999999999</v>
      </c>
      <c r="AH182" s="1172">
        <f t="shared" ref="AH182:AH183" si="650">ROUND(((+AG182-AC182)/AC182),4)</f>
        <v>-9.7000000000000003E-3</v>
      </c>
      <c r="AI182" s="1172"/>
      <c r="AJ182" s="1172"/>
      <c r="AK182" s="1152">
        <f>+'840 Intergovt'!Q16</f>
        <v>113924</v>
      </c>
      <c r="AL182" s="1172">
        <f t="shared" ref="AL182:AL183" si="651">ROUND(((+AK182-AE182)/AE182),4)</f>
        <v>2.9600000000000001E-2</v>
      </c>
      <c r="AM182" s="1148">
        <f>+'840 Intergovt'!R16</f>
        <v>91937.86</v>
      </c>
      <c r="AN182" s="1172">
        <f t="shared" ref="AN182:AN183" si="652">ROUND(((+AM182-AG182)/AG182),4)</f>
        <v>-0.16650000000000001</v>
      </c>
      <c r="AO182" s="1172"/>
      <c r="AP182" s="1172"/>
      <c r="AQ182" s="1152">
        <f>+'840 Intergovt'!S16</f>
        <v>116874</v>
      </c>
      <c r="AR182" s="1172">
        <f t="shared" ref="AR182:AR183" si="653">ROUND(((+AQ182-AK182)/AK182),4)</f>
        <v>2.5899999999999999E-2</v>
      </c>
      <c r="AS182" s="1172">
        <f t="shared" ref="AS182:AS183" si="654">ROUND((((+AQ182-U182)/U182)/5),4)</f>
        <v>2.35E-2</v>
      </c>
      <c r="AT182" s="1172">
        <f t="shared" ref="AT182:AT183" si="655">ROUND((((+AQ182-F182)/F182)/10),4)</f>
        <v>2.41E-2</v>
      </c>
      <c r="AV182" s="1152">
        <f t="shared" ref="AV182" si="656">ROUND((+AQ182*(1+AT182)),0)</f>
        <v>119691</v>
      </c>
      <c r="AW182" s="1152">
        <f t="shared" ref="AW182" si="657">ROUND((+AV182*(1+AT182)),0)</f>
        <v>122576</v>
      </c>
      <c r="AX182" s="1152">
        <f t="shared" ref="AX182" si="658">ROUND((+AW182*(1+AT182)),0)</f>
        <v>125530</v>
      </c>
      <c r="AY182" s="1152">
        <f t="shared" ref="AY182" si="659">ROUND((+AX182*(1+AT182)),0)</f>
        <v>128555</v>
      </c>
      <c r="AZ182" s="1152">
        <f t="shared" ref="AZ182" si="660">ROUND((+AY182*(1+AT182)),0)</f>
        <v>131653</v>
      </c>
    </row>
    <row r="183" spans="1:53" x14ac:dyDescent="0.3">
      <c r="B183" s="947" t="s">
        <v>887</v>
      </c>
      <c r="C183" s="1146">
        <f>SUM(C181:C182)</f>
        <v>83074.820000000007</v>
      </c>
      <c r="D183" s="1146">
        <f t="shared" ref="D183:AQ183" si="661">SUM(D181:D182)</f>
        <v>87874.209999999992</v>
      </c>
      <c r="E183" s="1168">
        <f t="shared" si="644"/>
        <v>5.7799999999999997E-2</v>
      </c>
      <c r="F183" s="1151">
        <f t="shared" si="661"/>
        <v>94169</v>
      </c>
      <c r="G183" s="1146">
        <f t="shared" si="661"/>
        <v>71938.12</v>
      </c>
      <c r="H183" s="1168">
        <f t="shared" si="645"/>
        <v>-0.18140000000000001</v>
      </c>
      <c r="I183" s="1151">
        <f t="shared" si="661"/>
        <v>94259</v>
      </c>
      <c r="J183" s="1146">
        <f t="shared" si="661"/>
        <v>94258.209999999992</v>
      </c>
      <c r="K183" s="1168">
        <f>ROUND(((+J183-G183)/G183),4)</f>
        <v>0.31030000000000002</v>
      </c>
      <c r="L183" s="1151">
        <f t="shared" si="661"/>
        <v>92564</v>
      </c>
      <c r="M183" s="1146">
        <f t="shared" si="661"/>
        <v>92495.299999999988</v>
      </c>
      <c r="N183" s="1168">
        <f>ROUND(((+M183-J183)/J183),4)</f>
        <v>-1.8700000000000001E-2</v>
      </c>
      <c r="O183" s="1151">
        <f t="shared" si="661"/>
        <v>99253</v>
      </c>
      <c r="P183" s="1146">
        <f t="shared" si="661"/>
        <v>99251.89</v>
      </c>
      <c r="Q183" s="1168">
        <f>ROUND(((+P183-M183)/M183),4)</f>
        <v>7.2999999999999995E-2</v>
      </c>
      <c r="R183" s="1151">
        <f t="shared" si="661"/>
        <v>101036</v>
      </c>
      <c r="S183" s="1146">
        <f t="shared" si="661"/>
        <v>100824.36000000002</v>
      </c>
      <c r="T183" s="1168">
        <f>ROUND(((+S183-P183)/P183),4)</f>
        <v>1.5800000000000002E-2</v>
      </c>
      <c r="U183" s="1151">
        <f t="shared" si="661"/>
        <v>104608</v>
      </c>
      <c r="V183" s="1146">
        <f t="shared" si="661"/>
        <v>104701.44</v>
      </c>
      <c r="W183" s="1168">
        <f>ROUND(((+V183-S183)/S183),4)</f>
        <v>3.85E-2</v>
      </c>
      <c r="X183" s="1151">
        <f t="shared" si="661"/>
        <v>111179</v>
      </c>
      <c r="Y183" s="1146">
        <f t="shared" si="661"/>
        <v>111175.8</v>
      </c>
      <c r="Z183" s="1168">
        <f t="shared" si="646"/>
        <v>6.1800000000000001E-2</v>
      </c>
      <c r="AA183" s="1151">
        <f t="shared" si="661"/>
        <v>110720</v>
      </c>
      <c r="AB183" s="1168">
        <f t="shared" si="647"/>
        <v>-4.1000000000000003E-3</v>
      </c>
      <c r="AC183" s="1146">
        <f t="shared" si="661"/>
        <v>111384</v>
      </c>
      <c r="AD183" s="1168">
        <f t="shared" si="648"/>
        <v>1.9E-3</v>
      </c>
      <c r="AE183" s="1151">
        <f t="shared" si="661"/>
        <v>110647</v>
      </c>
      <c r="AF183" s="1168">
        <f t="shared" si="649"/>
        <v>-6.9999999999999999E-4</v>
      </c>
      <c r="AG183" s="1146">
        <f t="shared" si="661"/>
        <v>110300.84999999999</v>
      </c>
      <c r="AH183" s="1168">
        <f t="shared" si="650"/>
        <v>-9.7000000000000003E-3</v>
      </c>
      <c r="AI183" s="1168"/>
      <c r="AJ183" s="1168"/>
      <c r="AK183" s="1151">
        <f t="shared" si="661"/>
        <v>113924</v>
      </c>
      <c r="AL183" s="1168">
        <f t="shared" si="651"/>
        <v>2.9600000000000001E-2</v>
      </c>
      <c r="AM183" s="1146">
        <f t="shared" si="661"/>
        <v>91937.86</v>
      </c>
      <c r="AN183" s="1168">
        <f t="shared" si="652"/>
        <v>-0.16650000000000001</v>
      </c>
      <c r="AO183" s="1168"/>
      <c r="AP183" s="1168"/>
      <c r="AQ183" s="1151">
        <f t="shared" si="661"/>
        <v>116874</v>
      </c>
      <c r="AR183" s="1168">
        <f t="shared" si="653"/>
        <v>2.5899999999999999E-2</v>
      </c>
      <c r="AS183" s="1168">
        <f t="shared" si="654"/>
        <v>2.35E-2</v>
      </c>
      <c r="AT183" s="1168">
        <f t="shared" si="655"/>
        <v>2.41E-2</v>
      </c>
      <c r="AV183" s="1151">
        <f t="shared" ref="AV183:AZ183" si="662">SUM(AV181:AV182)</f>
        <v>119691</v>
      </c>
      <c r="AW183" s="1151">
        <f t="shared" si="662"/>
        <v>122576</v>
      </c>
      <c r="AX183" s="1151">
        <f t="shared" si="662"/>
        <v>125530</v>
      </c>
      <c r="AY183" s="1151">
        <f t="shared" si="662"/>
        <v>128555</v>
      </c>
      <c r="AZ183" s="1151">
        <f t="shared" si="662"/>
        <v>131653</v>
      </c>
    </row>
    <row r="184" spans="1:53" x14ac:dyDescent="0.3">
      <c r="AL184" s="1151"/>
      <c r="AQ184" s="1151"/>
      <c r="AR184" s="1151"/>
    </row>
    <row r="185" spans="1:53" x14ac:dyDescent="0.3">
      <c r="A185" s="954" t="s">
        <v>563</v>
      </c>
      <c r="AL185" s="1151"/>
      <c r="AQ185" s="1151"/>
      <c r="AR185" s="1151"/>
    </row>
    <row r="186" spans="1:53" x14ac:dyDescent="0.3">
      <c r="B186" s="947" t="s">
        <v>2220</v>
      </c>
      <c r="C186" s="1148">
        <f>+'910 Benefits'!C20</f>
        <v>1760819.2100000002</v>
      </c>
      <c r="D186" s="1148">
        <f>+'910 Benefits'!D20</f>
        <v>1730791.4</v>
      </c>
      <c r="E186" s="1172">
        <f t="shared" ref="E186:E187" si="663">ROUND(((+D186-C186)/C186),4)</f>
        <v>-1.7100000000000001E-2</v>
      </c>
      <c r="F186" s="1152">
        <v>1882335</v>
      </c>
      <c r="G186" s="1148">
        <f>+'910 Benefits'!E20</f>
        <v>1748594.09</v>
      </c>
      <c r="H186" s="1172">
        <f t="shared" ref="H186:H187" si="664">ROUND(((+G186-D186)/D186),4)</f>
        <v>1.03E-2</v>
      </c>
      <c r="I186" s="1152">
        <v>1851271</v>
      </c>
      <c r="J186" s="1148">
        <f>+'910 Benefits'!F20</f>
        <v>1789352.1499999997</v>
      </c>
      <c r="K186" s="1172">
        <f>ROUND(((+J186-G186)/G186),4)</f>
        <v>2.3300000000000001E-2</v>
      </c>
      <c r="L186" s="1152">
        <v>1963295</v>
      </c>
      <c r="M186" s="1148">
        <f>+'910 Benefits'!G20</f>
        <v>1878957.3699999999</v>
      </c>
      <c r="N186" s="1172">
        <f>ROUND(((+M186-J186)/J186),4)</f>
        <v>5.0099999999999999E-2</v>
      </c>
      <c r="O186" s="1152">
        <v>2083243</v>
      </c>
      <c r="P186" s="1148">
        <f>+'910 Benefits'!H20</f>
        <v>2008426.33</v>
      </c>
      <c r="Q186" s="1172">
        <f>ROUND(((+P186-M186)/M186),4)</f>
        <v>6.8900000000000003E-2</v>
      </c>
      <c r="R186" s="1152">
        <v>2211404</v>
      </c>
      <c r="S186" s="1148">
        <f>+'910 Benefits'!I20</f>
        <v>2068987.7100000002</v>
      </c>
      <c r="T186" s="1172">
        <f>ROUND(((+S186-P186)/P186),4)</f>
        <v>3.0200000000000001E-2</v>
      </c>
      <c r="U186" s="1152">
        <v>2227951</v>
      </c>
      <c r="V186" s="1148">
        <f>+'910 Benefits'!J20</f>
        <v>2040807.01</v>
      </c>
      <c r="W186" s="1172">
        <f>ROUND(((+V186-S186)/S186),4)</f>
        <v>-1.3599999999999999E-2</v>
      </c>
      <c r="X186" s="1152">
        <f>+'910 Benefits'!K20</f>
        <v>2238057</v>
      </c>
      <c r="Y186" s="1148">
        <f>+'910 Benefits'!L20</f>
        <v>2116132.61</v>
      </c>
      <c r="Z186" s="1172">
        <f t="shared" ref="Z186:Z187" si="665">ROUND(((+Y186-V186)/V186),4)</f>
        <v>3.6900000000000002E-2</v>
      </c>
      <c r="AA186" s="1152">
        <f>+'910 Benefits'!M20</f>
        <v>2397861</v>
      </c>
      <c r="AB186" s="1172">
        <f t="shared" ref="AB186:AB187" si="666">ROUND(((+AA186-X186)/X186),4)</f>
        <v>7.1400000000000005E-2</v>
      </c>
      <c r="AC186" s="1148">
        <f>+'910 Benefits'!N20</f>
        <v>2161814.6400000006</v>
      </c>
      <c r="AD186" s="1172">
        <f t="shared" ref="AD186:AD187" si="667">ROUND(((+AC186-Y186)/Y186),4)</f>
        <v>2.1600000000000001E-2</v>
      </c>
      <c r="AE186" s="1152">
        <f>+'910 Benefits'!O20</f>
        <v>2391280</v>
      </c>
      <c r="AF186" s="1172">
        <f t="shared" ref="AF186:AF187" si="668">ROUND(((+AE186-AA186)/AA186),4)</f>
        <v>-2.7000000000000001E-3</v>
      </c>
      <c r="AG186" s="1148">
        <f>+'910 Benefits'!P20</f>
        <v>2250863.0599999996</v>
      </c>
      <c r="AH186" s="1172">
        <f t="shared" ref="AH186:AH187" si="669">ROUND(((+AG186-AC186)/AC186),4)</f>
        <v>4.1200000000000001E-2</v>
      </c>
      <c r="AI186" s="1172"/>
      <c r="AJ186" s="1172"/>
      <c r="AK186" s="1152">
        <f>+'910 Benefits'!Q20</f>
        <v>2490334</v>
      </c>
      <c r="AL186" s="1172">
        <f t="shared" ref="AL186:AL187" si="670">ROUND(((+AK186-AE186)/AE186),4)</f>
        <v>4.1399999999999999E-2</v>
      </c>
      <c r="AM186" s="1148">
        <f>+'910 Benefits'!R20</f>
        <v>1751758.3499999996</v>
      </c>
      <c r="AN186" s="1172">
        <f t="shared" ref="AN186:AN187" si="671">ROUND(((+AM186-AG186)/AG186),4)</f>
        <v>-0.22170000000000001</v>
      </c>
      <c r="AO186" s="1172"/>
      <c r="AP186" s="1172"/>
      <c r="AQ186" s="1152">
        <f>+'910 Benefits'!S20</f>
        <v>2657083</v>
      </c>
      <c r="AR186" s="1172">
        <f t="shared" ref="AR186:AR187" si="672">ROUND(((+AQ186-AK186)/AK186),4)</f>
        <v>6.7000000000000004E-2</v>
      </c>
      <c r="AS186" s="1172">
        <f t="shared" ref="AS186:AS187" si="673">ROUND((((+AQ186-U186)/U186)/5),4)</f>
        <v>3.85E-2</v>
      </c>
      <c r="AT186" s="1172">
        <f t="shared" ref="AT186:AT187" si="674">ROUND((((+AQ186-F186)/F186)/10),4)</f>
        <v>4.1200000000000001E-2</v>
      </c>
      <c r="AV186" s="1152">
        <f t="shared" ref="AV186" si="675">ROUND((+AQ186*(1+AT186)),0)</f>
        <v>2766555</v>
      </c>
      <c r="AW186" s="1152">
        <f t="shared" ref="AW186" si="676">ROUND((+AV186*(1+AT186)),0)</f>
        <v>2880537</v>
      </c>
      <c r="AX186" s="1152">
        <f t="shared" ref="AX186" si="677">ROUND((+AW186*(1+AT186)),0)</f>
        <v>2999215</v>
      </c>
      <c r="AY186" s="1152">
        <f t="shared" ref="AY186" si="678">ROUND((+AX186*(1+AT186)),0)</f>
        <v>3122783</v>
      </c>
      <c r="AZ186" s="1152">
        <f t="shared" ref="AZ186" si="679">ROUND((+AY186*(1+AT186)),0)</f>
        <v>3251442</v>
      </c>
    </row>
    <row r="187" spans="1:53" x14ac:dyDescent="0.3">
      <c r="B187" s="947" t="s">
        <v>887</v>
      </c>
      <c r="C187" s="1146">
        <f>SUM(C185:C186)</f>
        <v>1760819.2100000002</v>
      </c>
      <c r="D187" s="1146">
        <f t="shared" ref="D187:AQ187" si="680">SUM(D185:D186)</f>
        <v>1730791.4</v>
      </c>
      <c r="E187" s="1168">
        <f t="shared" si="663"/>
        <v>-1.7100000000000001E-2</v>
      </c>
      <c r="F187" s="1151">
        <f t="shared" si="680"/>
        <v>1882335</v>
      </c>
      <c r="G187" s="1146">
        <f t="shared" si="680"/>
        <v>1748594.09</v>
      </c>
      <c r="H187" s="1168">
        <f t="shared" si="664"/>
        <v>1.03E-2</v>
      </c>
      <c r="I187" s="1151">
        <f t="shared" si="680"/>
        <v>1851271</v>
      </c>
      <c r="J187" s="1146">
        <f t="shared" si="680"/>
        <v>1789352.1499999997</v>
      </c>
      <c r="K187" s="1168">
        <f>ROUND(((+J187-G187)/G187),4)</f>
        <v>2.3300000000000001E-2</v>
      </c>
      <c r="L187" s="1151">
        <f t="shared" si="680"/>
        <v>1963295</v>
      </c>
      <c r="M187" s="1146">
        <f t="shared" si="680"/>
        <v>1878957.3699999999</v>
      </c>
      <c r="N187" s="1168">
        <f>ROUND(((+M187-J187)/J187),4)</f>
        <v>5.0099999999999999E-2</v>
      </c>
      <c r="O187" s="1151">
        <f t="shared" si="680"/>
        <v>2083243</v>
      </c>
      <c r="P187" s="1146">
        <f t="shared" si="680"/>
        <v>2008426.33</v>
      </c>
      <c r="Q187" s="1168">
        <f>ROUND(((+P187-M187)/M187),4)</f>
        <v>6.8900000000000003E-2</v>
      </c>
      <c r="R187" s="1151">
        <f t="shared" si="680"/>
        <v>2211404</v>
      </c>
      <c r="S187" s="1146">
        <f t="shared" si="680"/>
        <v>2068987.7100000002</v>
      </c>
      <c r="T187" s="1168">
        <f>ROUND(((+S187-P187)/P187),4)</f>
        <v>3.0200000000000001E-2</v>
      </c>
      <c r="U187" s="1151">
        <f t="shared" si="680"/>
        <v>2227951</v>
      </c>
      <c r="V187" s="1146">
        <f t="shared" si="680"/>
        <v>2040807.01</v>
      </c>
      <c r="W187" s="1168">
        <f>ROUND(((+V187-S187)/S187),4)</f>
        <v>-1.3599999999999999E-2</v>
      </c>
      <c r="X187" s="1151">
        <f t="shared" si="680"/>
        <v>2238057</v>
      </c>
      <c r="Y187" s="1146">
        <f t="shared" si="680"/>
        <v>2116132.61</v>
      </c>
      <c r="Z187" s="1168">
        <f t="shared" si="665"/>
        <v>3.6900000000000002E-2</v>
      </c>
      <c r="AA187" s="1151">
        <f t="shared" si="680"/>
        <v>2397861</v>
      </c>
      <c r="AB187" s="1168">
        <f t="shared" si="666"/>
        <v>7.1400000000000005E-2</v>
      </c>
      <c r="AC187" s="1146">
        <f t="shared" si="680"/>
        <v>2161814.6400000006</v>
      </c>
      <c r="AD187" s="1168">
        <f t="shared" si="667"/>
        <v>2.1600000000000001E-2</v>
      </c>
      <c r="AE187" s="1151">
        <f t="shared" si="680"/>
        <v>2391280</v>
      </c>
      <c r="AF187" s="1168">
        <f t="shared" si="668"/>
        <v>-2.7000000000000001E-3</v>
      </c>
      <c r="AG187" s="1146">
        <f t="shared" si="680"/>
        <v>2250863.0599999996</v>
      </c>
      <c r="AH187" s="1168">
        <f t="shared" si="669"/>
        <v>4.1200000000000001E-2</v>
      </c>
      <c r="AI187" s="1168"/>
      <c r="AJ187" s="1168"/>
      <c r="AK187" s="1151">
        <f t="shared" si="680"/>
        <v>2490334</v>
      </c>
      <c r="AL187" s="1168">
        <f t="shared" si="670"/>
        <v>4.1399999999999999E-2</v>
      </c>
      <c r="AM187" s="1146">
        <f t="shared" si="680"/>
        <v>1751758.3499999996</v>
      </c>
      <c r="AN187" s="1168">
        <f t="shared" si="671"/>
        <v>-0.22170000000000001</v>
      </c>
      <c r="AO187" s="1168"/>
      <c r="AP187" s="1168"/>
      <c r="AQ187" s="1151">
        <f t="shared" si="680"/>
        <v>2657083</v>
      </c>
      <c r="AR187" s="1168">
        <f t="shared" si="672"/>
        <v>6.7000000000000004E-2</v>
      </c>
      <c r="AS187" s="1168">
        <f t="shared" si="673"/>
        <v>3.85E-2</v>
      </c>
      <c r="AT187" s="1168">
        <f t="shared" si="674"/>
        <v>4.1200000000000001E-2</v>
      </c>
      <c r="AV187" s="1151">
        <f t="shared" ref="AV187:AZ187" si="681">SUM(AV185:AV186)</f>
        <v>2766555</v>
      </c>
      <c r="AW187" s="1151">
        <f t="shared" si="681"/>
        <v>2880537</v>
      </c>
      <c r="AX187" s="1151">
        <f t="shared" si="681"/>
        <v>2999215</v>
      </c>
      <c r="AY187" s="1151">
        <f t="shared" si="681"/>
        <v>3122783</v>
      </c>
      <c r="AZ187" s="1151">
        <f t="shared" si="681"/>
        <v>3251442</v>
      </c>
    </row>
    <row r="188" spans="1:53" x14ac:dyDescent="0.3">
      <c r="AL188" s="1151"/>
      <c r="AQ188" s="1151"/>
      <c r="AR188" s="1151"/>
    </row>
    <row r="189" spans="1:53" x14ac:dyDescent="0.3">
      <c r="A189" s="954" t="s">
        <v>564</v>
      </c>
      <c r="AL189" s="1151"/>
      <c r="AQ189" s="1151"/>
      <c r="AR189" s="1151"/>
    </row>
    <row r="190" spans="1:53" x14ac:dyDescent="0.3">
      <c r="B190" s="947" t="s">
        <v>1869</v>
      </c>
      <c r="C190" s="1148">
        <f>+'946 Insurance'!C23</f>
        <v>63586.85</v>
      </c>
      <c r="D190" s="1148">
        <f>+'946 Insurance'!D23</f>
        <v>81915.03</v>
      </c>
      <c r="E190" s="1172">
        <f t="shared" ref="E190:E191" si="682">ROUND(((+D190-C190)/C190),4)</f>
        <v>0.28820000000000001</v>
      </c>
      <c r="F190" s="1152">
        <v>87619</v>
      </c>
      <c r="G190" s="1148">
        <f>+'946 Insurance'!E23</f>
        <v>90801.61</v>
      </c>
      <c r="H190" s="1172">
        <f t="shared" ref="H190:H191" si="683">ROUND(((+G190-D190)/D190),4)</f>
        <v>0.1085</v>
      </c>
      <c r="I190" s="1152">
        <v>89371</v>
      </c>
      <c r="J190" s="1148">
        <f>+'946 Insurance'!F23</f>
        <v>84898.93</v>
      </c>
      <c r="K190" s="1172">
        <f>ROUND(((+J190-G190)/G190),4)</f>
        <v>-6.5000000000000002E-2</v>
      </c>
      <c r="L190" s="1152">
        <v>92946</v>
      </c>
      <c r="M190" s="1148">
        <f>+'946 Insurance'!G23</f>
        <v>87959.99</v>
      </c>
      <c r="N190" s="1172">
        <f>ROUND(((+M190-J190)/J190),4)</f>
        <v>3.61E-2</v>
      </c>
      <c r="O190" s="1152">
        <v>94000</v>
      </c>
      <c r="P190" s="1148">
        <f>+'946 Insurance'!H23</f>
        <v>95065.72</v>
      </c>
      <c r="Q190" s="1172">
        <f>ROUND(((+P190-M190)/M190),4)</f>
        <v>8.0799999999999997E-2</v>
      </c>
      <c r="R190" s="1152">
        <v>91000</v>
      </c>
      <c r="S190" s="1148">
        <f>+'946 Insurance'!I23</f>
        <v>85911.72</v>
      </c>
      <c r="T190" s="1172">
        <f>ROUND(((+S190-P190)/P190),4)</f>
        <v>-9.6299999999999997E-2</v>
      </c>
      <c r="U190" s="1152">
        <v>93275</v>
      </c>
      <c r="V190" s="1148">
        <f>+'946 Insurance'!J23</f>
        <v>92318.19</v>
      </c>
      <c r="W190" s="1172">
        <f>ROUND(((+V190-S190)/S190),4)</f>
        <v>7.46E-2</v>
      </c>
      <c r="X190" s="1152">
        <f>+'946 Insurance'!K23</f>
        <v>96000</v>
      </c>
      <c r="Y190" s="1148">
        <f>+'946 Insurance'!L23</f>
        <v>108176.48</v>
      </c>
      <c r="Z190" s="1172">
        <f t="shared" ref="Z190:Z191" si="684">ROUND(((+Y190-V190)/V190),4)</f>
        <v>0.17180000000000001</v>
      </c>
      <c r="AA190" s="1152">
        <f>+'946 Insurance'!M23</f>
        <v>115000</v>
      </c>
      <c r="AB190" s="1172">
        <f t="shared" ref="AB190:AB191" si="685">ROUND(((+AA190-X190)/X190),4)</f>
        <v>0.19789999999999999</v>
      </c>
      <c r="AC190" s="1148">
        <f>+'946 Insurance'!N23</f>
        <v>104258.71</v>
      </c>
      <c r="AD190" s="1172">
        <f t="shared" ref="AD190:AD191" si="686">ROUND(((+AC190-Y190)/Y190),4)</f>
        <v>-3.6200000000000003E-2</v>
      </c>
      <c r="AE190" s="1152">
        <f>+'946 Insurance'!O23</f>
        <v>119600</v>
      </c>
      <c r="AF190" s="1172">
        <f t="shared" ref="AF190:AF191" si="687">ROUND(((+AE190-AA190)/AA190),4)</f>
        <v>0.04</v>
      </c>
      <c r="AG190" s="1148">
        <f>+'946 Insurance'!P23</f>
        <v>105911.64</v>
      </c>
      <c r="AH190" s="1172">
        <f t="shared" ref="AH190:AH191" si="688">ROUND(((+AG190-AC190)/AC190),4)</f>
        <v>1.5900000000000001E-2</v>
      </c>
      <c r="AI190" s="1172"/>
      <c r="AJ190" s="1172"/>
      <c r="AK190" s="1152">
        <f>+'946 Insurance'!Q23</f>
        <v>120600</v>
      </c>
      <c r="AL190" s="1172">
        <f t="shared" ref="AL190:AL191" si="689">ROUND(((+AK190-AE190)/AE190),4)</f>
        <v>8.3999999999999995E-3</v>
      </c>
      <c r="AM190" s="1148">
        <f>+'946 Insurance'!R23</f>
        <v>98034.85</v>
      </c>
      <c r="AN190" s="1172">
        <f t="shared" ref="AN190:AN191" si="690">ROUND(((+AM190-AG190)/AG190),4)</f>
        <v>-7.4399999999999994E-2</v>
      </c>
      <c r="AO190" s="1172"/>
      <c r="AP190" s="1172"/>
      <c r="AQ190" s="1152">
        <f>+'946 Insurance'!S23</f>
        <v>119600</v>
      </c>
      <c r="AR190" s="1172">
        <f t="shared" ref="AR190:AR191" si="691">ROUND(((+AQ190-AK190)/AK190),4)</f>
        <v>-8.3000000000000001E-3</v>
      </c>
      <c r="AS190" s="1172">
        <f t="shared" ref="AS190:AS191" si="692">ROUND((((+AQ190-U190)/U190)/5),4)</f>
        <v>5.6399999999999999E-2</v>
      </c>
      <c r="AT190" s="1172">
        <f t="shared" ref="AT190:AT191" si="693">ROUND((((+AQ190-F190)/F190)/10),4)</f>
        <v>3.6499999999999998E-2</v>
      </c>
      <c r="AV190" s="1152">
        <f t="shared" ref="AV190" si="694">ROUND((+AQ190*(1+AT190)),0)</f>
        <v>123965</v>
      </c>
      <c r="AW190" s="1152">
        <f t="shared" ref="AW190" si="695">ROUND((+AV190*(1+AT190)),0)</f>
        <v>128490</v>
      </c>
      <c r="AX190" s="1152">
        <f t="shared" ref="AX190" si="696">ROUND((+AW190*(1+AT190)),0)</f>
        <v>133180</v>
      </c>
      <c r="AY190" s="1152">
        <f t="shared" ref="AY190" si="697">ROUND((+AX190*(1+AT190)),0)</f>
        <v>138041</v>
      </c>
      <c r="AZ190" s="1152">
        <f t="shared" ref="AZ190" si="698">ROUND((+AY190*(1+AT190)),0)</f>
        <v>143079</v>
      </c>
    </row>
    <row r="191" spans="1:53" x14ac:dyDescent="0.3">
      <c r="B191" s="947" t="s">
        <v>887</v>
      </c>
      <c r="C191" s="1146">
        <f>SUM(C189:C190)</f>
        <v>63586.85</v>
      </c>
      <c r="D191" s="1146">
        <f t="shared" ref="D191:AQ191" si="699">SUM(D189:D190)</f>
        <v>81915.03</v>
      </c>
      <c r="E191" s="1168">
        <f t="shared" si="682"/>
        <v>0.28820000000000001</v>
      </c>
      <c r="F191" s="1151">
        <f t="shared" si="699"/>
        <v>87619</v>
      </c>
      <c r="G191" s="1146">
        <f t="shared" si="699"/>
        <v>90801.61</v>
      </c>
      <c r="H191" s="1168">
        <f t="shared" si="683"/>
        <v>0.1085</v>
      </c>
      <c r="I191" s="1151">
        <f t="shared" si="699"/>
        <v>89371</v>
      </c>
      <c r="J191" s="1146">
        <f t="shared" si="699"/>
        <v>84898.93</v>
      </c>
      <c r="K191" s="1168">
        <f>ROUND(((+J191-G191)/G191),4)</f>
        <v>-6.5000000000000002E-2</v>
      </c>
      <c r="L191" s="1151">
        <f t="shared" si="699"/>
        <v>92946</v>
      </c>
      <c r="M191" s="1146">
        <f t="shared" si="699"/>
        <v>87959.99</v>
      </c>
      <c r="N191" s="1168">
        <f>ROUND(((+M191-J191)/J191),4)</f>
        <v>3.61E-2</v>
      </c>
      <c r="O191" s="1151">
        <f t="shared" si="699"/>
        <v>94000</v>
      </c>
      <c r="P191" s="1146">
        <f t="shared" si="699"/>
        <v>95065.72</v>
      </c>
      <c r="Q191" s="1168">
        <f>ROUND(((+P191-M191)/M191),4)</f>
        <v>8.0799999999999997E-2</v>
      </c>
      <c r="R191" s="1151">
        <f t="shared" si="699"/>
        <v>91000</v>
      </c>
      <c r="S191" s="1146">
        <f t="shared" si="699"/>
        <v>85911.72</v>
      </c>
      <c r="T191" s="1168">
        <f>ROUND(((+S191-P191)/P191),4)</f>
        <v>-9.6299999999999997E-2</v>
      </c>
      <c r="U191" s="1151">
        <f t="shared" si="699"/>
        <v>93275</v>
      </c>
      <c r="V191" s="1146">
        <f t="shared" si="699"/>
        <v>92318.19</v>
      </c>
      <c r="W191" s="1168">
        <f>ROUND(((+V191-S191)/S191),4)</f>
        <v>7.46E-2</v>
      </c>
      <c r="X191" s="1151">
        <f t="shared" si="699"/>
        <v>96000</v>
      </c>
      <c r="Y191" s="1146">
        <f t="shared" si="699"/>
        <v>108176.48</v>
      </c>
      <c r="Z191" s="1168">
        <f t="shared" si="684"/>
        <v>0.17180000000000001</v>
      </c>
      <c r="AA191" s="1151">
        <f t="shared" si="699"/>
        <v>115000</v>
      </c>
      <c r="AB191" s="1168">
        <f t="shared" si="685"/>
        <v>0.19789999999999999</v>
      </c>
      <c r="AC191" s="1146">
        <f t="shared" si="699"/>
        <v>104258.71</v>
      </c>
      <c r="AD191" s="1168">
        <f t="shared" si="686"/>
        <v>-3.6200000000000003E-2</v>
      </c>
      <c r="AE191" s="1151">
        <f t="shared" si="699"/>
        <v>119600</v>
      </c>
      <c r="AF191" s="1168">
        <f t="shared" si="687"/>
        <v>0.04</v>
      </c>
      <c r="AG191" s="1146">
        <f t="shared" si="699"/>
        <v>105911.64</v>
      </c>
      <c r="AH191" s="1168">
        <f t="shared" si="688"/>
        <v>1.5900000000000001E-2</v>
      </c>
      <c r="AI191" s="1168"/>
      <c r="AJ191" s="1168"/>
      <c r="AK191" s="1151">
        <f t="shared" si="699"/>
        <v>120600</v>
      </c>
      <c r="AL191" s="1168">
        <f t="shared" si="689"/>
        <v>8.3999999999999995E-3</v>
      </c>
      <c r="AM191" s="1146">
        <f t="shared" si="699"/>
        <v>98034.85</v>
      </c>
      <c r="AN191" s="1168">
        <f t="shared" si="690"/>
        <v>-7.4399999999999994E-2</v>
      </c>
      <c r="AO191" s="1168"/>
      <c r="AP191" s="1168"/>
      <c r="AQ191" s="1151">
        <f t="shared" si="699"/>
        <v>119600</v>
      </c>
      <c r="AR191" s="1168">
        <f t="shared" si="691"/>
        <v>-8.3000000000000001E-3</v>
      </c>
      <c r="AS191" s="1168">
        <f t="shared" si="692"/>
        <v>5.6399999999999999E-2</v>
      </c>
      <c r="AT191" s="1168">
        <f t="shared" si="693"/>
        <v>3.6499999999999998E-2</v>
      </c>
      <c r="AV191" s="1151">
        <f t="shared" ref="AV191:AZ191" si="700">SUM(AV189:AV190)</f>
        <v>123965</v>
      </c>
      <c r="AW191" s="1151">
        <f t="shared" si="700"/>
        <v>128490</v>
      </c>
      <c r="AX191" s="1151">
        <f t="shared" si="700"/>
        <v>133180</v>
      </c>
      <c r="AY191" s="1151">
        <f t="shared" si="700"/>
        <v>138041</v>
      </c>
      <c r="AZ191" s="1151">
        <f t="shared" si="700"/>
        <v>143079</v>
      </c>
    </row>
    <row r="192" spans="1:53" x14ac:dyDescent="0.3">
      <c r="AL192" s="1151"/>
      <c r="AQ192" s="1151"/>
      <c r="AR192" s="1151"/>
      <c r="AV192" s="1151"/>
      <c r="AW192" s="1151"/>
      <c r="AX192" s="1151"/>
      <c r="AY192" s="1151"/>
      <c r="AZ192" s="1151"/>
    </row>
    <row r="193" spans="1:156" s="260" customFormat="1" x14ac:dyDescent="0.3">
      <c r="A193" s="954" t="s">
        <v>566</v>
      </c>
      <c r="B193" s="954"/>
      <c r="C193" s="1184">
        <f>+C191+C187+C183+C179+C175+C171+C167+C162+C157+C153+C148+C143+C137+C133+C128+C123+C117+C112+C107+C102+C97+C93+C88+C83+C77+C72+C64+C60+C55+C50+C45+C40+C35+C30+C25+C20+C16+C12+C7+C68</f>
        <v>7361092.9400000004</v>
      </c>
      <c r="D193" s="1184">
        <f>+D191+D187+D183+D179+D175+D171+D167+D162+D157+D153+D148+D143+D137+D133+D128+D123+D117+D112+D107+D102+D97+D93+D88+D83+D77+D72+D64+D60+D55+D50+D45+D40+D35+D30+D25+D20+D16+D12+D7+D68</f>
        <v>7649877.6500000013</v>
      </c>
      <c r="E193" s="1185">
        <f t="shared" ref="E193" si="701">ROUND(((+D193-C193)/C193),4)</f>
        <v>3.9199999999999999E-2</v>
      </c>
      <c r="F193" s="1186">
        <f>+F191+F187+F183+F179+F175+F171+F167+F162+F157+F153+F148+F143+F137+F133+F128+F123+F117+F112+F107+F102+F97+F93+F88+F83+F77+F72+F64+F60+F55+F50+F45+F40+F35+F30+F25+F20+F16+F12+F7+F68</f>
        <v>8221855</v>
      </c>
      <c r="G193" s="1184">
        <f>+G191+G187+G183+G179+G175+G171+G167+G162+G157+G153+G148+G143+G137+G133+G128+G123+G117+G112+G107+G102+G97+G93+G88+G83+G77+G72+G64+G60+G55+G50+G45+G40+G35+G30+G25+G20+G16+G12+G7+G68</f>
        <v>8006927.1800000016</v>
      </c>
      <c r="H193" s="1185">
        <f>ROUND(((+G193-D193)/D193),4)</f>
        <v>4.6699999999999998E-2</v>
      </c>
      <c r="I193" s="1186">
        <f>+I191+I187+I183+I179+I175+I171+I167+I162+I157+I153+I148+I143+I137+I133+I128+I123+I117+I112+I107+I102+I97+I93+I88+I83+I77+I72+I64+I60+I55+I50+I45+I40+I35+I30+I25+I20+I16+I12+I7+I68</f>
        <v>8428273</v>
      </c>
      <c r="J193" s="1184">
        <f>+J191+J187+J183+J179+J175+J171+J167+J162+J157+J153+J148+J143+J137+J133+J128+J123+J117+J112+J107+J102+J97+J93+J88+J83+J77+J72+J64+J60+J55+J50+J45+J40+J35+J30+J25+J20+J16+J12+J7+J68</f>
        <v>8059033.959999999</v>
      </c>
      <c r="K193" s="1185">
        <f>ROUND(((+J193-G193)/G193),4)</f>
        <v>6.4999999999999997E-3</v>
      </c>
      <c r="L193" s="1186">
        <f>+L191+L187+L183+L179+L175+L171+L167+L162+L157+L153+L148+L143+L137+L133+L128+L123+L117+L112+L107+L102+L97+L93+L88+L83+L77+L72+L64+L60+L55+L50+L45+L40+L35+L30+L25+L20+L16+L12+L7+L68</f>
        <v>8703006</v>
      </c>
      <c r="M193" s="1184">
        <f>+M191+M187+M183+M179+M175+M171+M167+M162+M157+M153+M148+M143+M137+M133+M128+M123+M117+M112+M107+M102+M97+M93+M88+M83+M77+M72+M64+M60+M55+M50+M45+M40+M35+M30+M25+M20+M16+M12+M7+M68</f>
        <v>8351328.0199999996</v>
      </c>
      <c r="N193" s="1185">
        <f>ROUND(((+M193-J193)/J193),4)</f>
        <v>3.6299999999999999E-2</v>
      </c>
      <c r="O193" s="1186">
        <f>+O191+O187+O183+O179+O175+O171+O167+O162+O157+O153+O148+O143+O137+O133+O128+O123+O117+O112+O107+O102+O97+O93+O88+O83+O77+O72+O64+O60+O55+O50+O45+O40+O35+O30+O25+O20+O16+O12+O7+O68</f>
        <v>8834775</v>
      </c>
      <c r="P193" s="1184">
        <f>+P191+P187+P183+P179+P175+P171+P167+P162+P157+P153+P148+P143+P137+P133+P128+P123+P117+P112+P107+P102+P97+P93+P88+P83+P77+P72+P64+P60+P55+P50+P45+P40+P35+P30+P25+P20+P16+P12+P7+P68</f>
        <v>8474390.4300000016</v>
      </c>
      <c r="Q193" s="1185">
        <f>ROUND(((+P193-M193)/M193),4)</f>
        <v>1.47E-2</v>
      </c>
      <c r="R193" s="1186">
        <f>+R191+R187+R183+R179+R175+R171+R167+R162+R157+R153+R148+R143+R137+R133+R128+R123+R117+R112+R107+R102+R97+R93+R88+R83+R77+R72+R64+R60+R55+R50+R45+R40+R35+R30+R25+R20+R16+R12+R7+R68</f>
        <v>9401418</v>
      </c>
      <c r="S193" s="1184">
        <f>+S191+S187+S183+S179+S175+S171+S167+S162+S157+S153+S148+S143+S137+S133+S128+S123+S117+S112+S107+S102+S97+S93+S88+S83+S77+S72+S64+S60+S55+S50+S45+S40+S35+S30+S25+S20+S16+S12+S7+S68</f>
        <v>8898200.7600000016</v>
      </c>
      <c r="T193" s="1185">
        <f>ROUND(((+S193-P193)/P193),4)</f>
        <v>0.05</v>
      </c>
      <c r="U193" s="1186">
        <f>+U191+U187+U183+U179+U175+U171+U167+U162+U157+U153+U148+U143+U137+U133+U128+U123+U117+U112+U107+U102+U97+U93+U88+U83+U77+U72+U64+U60+U55+U50+U45+U40+U35+U30+U25+U20+U16+U12+U7+U68</f>
        <v>9825599</v>
      </c>
      <c r="V193" s="1184">
        <f>+V191+V187+V183+V179+V175+V171+V167+V162+V157+V153+V148+V143+V137+V133+V128+V123+V117+V112+V107+V102+V97+V93+V88+V83+V77+V72+V64+V60+V55+V50+V45+V40+V35+V30+V25+V20+V16+V12+V7+V68</f>
        <v>9305552.4000000004</v>
      </c>
      <c r="W193" s="1185">
        <f>ROUND(((+V193-S193)/S193),4)</f>
        <v>4.58E-2</v>
      </c>
      <c r="X193" s="1184">
        <f>+X191+X187+X183+X179+X175+X171+X167+X162+X157+X153+X148+X143+X137+X133+X128+X123+X117+X112+X107+X102+X97+X93+X88+X83+X77+X72+X64+X60+X55+X50+X45+X40+X35+X30+X25+X20+X16+X12+X7+X68</f>
        <v>10385863</v>
      </c>
      <c r="Y193" s="1184">
        <f>+Y191+Y187+Y183+Y179+Y175+Y171+Y167+Y162+Y157+Y153+Y148+Y143+Y137+Y133+Y128+Y123+Y117+Y112+Y107+Y102+Y97+Y93+Y88+Y83+Y77+Y72+Y64+Y60+Y55+Y50+Y45+Y40+Y35+Y30+Y25+Y20+Y16+Y12+Y7+Y68</f>
        <v>9683069.8300000019</v>
      </c>
      <c r="Z193" s="1168">
        <f>ROUND(((+Y193-V193)/V193),4)</f>
        <v>4.0599999999999997E-2</v>
      </c>
      <c r="AA193" s="1184">
        <f>+AA191+AA187+AA183+AA179+AA175+AA171+AA167+AA162+AA157+AA153+AA148+AA143+AA137+AA133+AA128+AA123+AA117+AA112+AA107+AA102+AA97+AA93+AA88+AA83+AA77+AA72+AA64+AA60+AA55+AA50+AA45+AA40+AA35+AA30+AA25+AA20+AA16+AA12+AA7+AA68</f>
        <v>10766020</v>
      </c>
      <c r="AB193" s="1168">
        <f>ROUND(((+AA193-X193)/X193),4)</f>
        <v>3.6600000000000001E-2</v>
      </c>
      <c r="AC193" s="1184">
        <f>+AC191+AC187+AC183+AC179+AC175+AC171+AC167+AC162+AC157+AC153+AC148+AC143+AC137+AC133+AC128+AC123+AC117+AC112+AC107+AC102+AC97+AC93+AC88+AC83+AC77+AC72+AC64+AC60+AC55+AC50+AC45+AC40+AC35+AC30+AC25+AC20+AC16+AC12+AC7+AC68</f>
        <v>10022153.980000002</v>
      </c>
      <c r="AD193" s="1168">
        <f>ROUND(((+AC193-Y193)/Y193),4)</f>
        <v>3.5000000000000003E-2</v>
      </c>
      <c r="AE193" s="1184">
        <f>+AE191+AE187+AE183+AE179+AE175+AE171+AE167+AE162+AE157+AE153+AE148+AE143+AE137+AE133+AE128+AE123+AE117+AE112+AE107+AE102+AE97+AE93+AE88+AE83+AE77+AE72+AE64+AE60+AE55+AE50+AE45+AE40+AE35+AE30+AE25+AE20+AE16+AE12+AE7+AE68</f>
        <v>11351251</v>
      </c>
      <c r="AF193" s="1168">
        <f>ROUND(((+AE193-AA193)/AA193),4)</f>
        <v>5.4399999999999997E-2</v>
      </c>
      <c r="AG193" s="1184">
        <f>+AG191+AG187+AG183+AG179+AG175+AG171+AG167+AG162+AG157+AG153+AG148+AG143+AG137+AG133+AG128+AG123+AG117+AG112+AG107+AG102+AG97+AG93+AG88+AG83+AG77+AG72+AG64+AG60+AG55+AG50+AG45+AG40+AG35+AG30+AG25+AG20+AG16+AG12+AG7+AG68</f>
        <v>10828573.090000002</v>
      </c>
      <c r="AH193" s="1168">
        <f>ROUND(((+AG193-AC193)/AC193),4)</f>
        <v>8.0500000000000002E-2</v>
      </c>
      <c r="AI193" s="1168"/>
      <c r="AJ193" s="1168"/>
      <c r="AK193" s="1184">
        <f>+AK191+AK187+AK183+AK179+AK175+AK171+AK167+AK162+AK157+AK153+AK148+AK143+AK137+AK133+AK128+AK123+AK117+AK112+AK107+AK102+AK97+AK93+AK88+AK83+AK77+AK72+AK64+AK60+AK55+AK50+AK45+AK40+AK35+AK30+AK25+AK20+AK16+AK12+AK7+AK68</f>
        <v>11964696</v>
      </c>
      <c r="AL193" s="1168">
        <f>ROUND(((+AK193-AE193)/AE193),4)</f>
        <v>5.3999999999999999E-2</v>
      </c>
      <c r="AM193" s="1184">
        <f>+AM191+AM187+AM183+AM179+AM175+AM171+AM167+AM162+AM157+AM153+AM148+AM143+AM137+AM133+AM128+AM123+AM117+AM112+AM107+AM102+AM97+AM93+AM88+AM83+AM77+AM72+AM64+AM60+AM55+AM50+AM45+AM40+AM35+AM30+AM25+AM20+AM16+AM12+AM7+AM68</f>
        <v>5854824.7400000002</v>
      </c>
      <c r="AN193" s="1168">
        <f>ROUND(((+AM193-AG193)/AG193),4)</f>
        <v>-0.45929999999999999</v>
      </c>
      <c r="AO193" s="1168"/>
      <c r="AP193" s="1168"/>
      <c r="AQ193" s="1186">
        <f>+AQ191+AQ187+AQ183+AQ179+AQ175+AQ171+AQ167+AQ162+AQ157+AQ153+AQ148+AQ143+AQ137+AQ133+AQ128+AQ123+AQ117+AQ112+AQ107+AQ102+AQ97+AQ93+AQ88+AQ83+AQ77+AQ72+AQ64+AQ60+AQ55+AQ50+AQ45+AQ40+AQ35+AQ30+AQ25+AQ20+AQ16+AQ12+AQ7+AQ68</f>
        <v>12407727.635</v>
      </c>
      <c r="AR193" s="1168">
        <f>ROUND(((+AQ193-AK193)/AK193),4)</f>
        <v>3.6999999999999998E-2</v>
      </c>
      <c r="AS193" s="1168">
        <f>ROUND((((+AQ193-U193)/U193)/5),4)</f>
        <v>5.2600000000000001E-2</v>
      </c>
      <c r="AT193" s="1168">
        <f>ROUND((((+AQ193-F193)/F193)/10),4)</f>
        <v>5.0900000000000001E-2</v>
      </c>
      <c r="AU193" s="954"/>
      <c r="AV193" s="1217">
        <f t="shared" ref="AV193:AZ193" si="702">+AV191+AV187+AV183+AV179+AV175+AV171+AV167+AV162+AV157+AV153+AV148+AV143+AV137+AV133+AV128+AV123+AV117+AV112+AV107+AV102+AV97+AV93+AV88+AV83+AV77+AV72+AV64+AV60+AV55+AV50+AV45+AV40+AV35+AV30+AV25+AV20+AV16+AV12+AV7+AV68</f>
        <v>12904898</v>
      </c>
      <c r="AW193" s="1186">
        <f t="shared" si="702"/>
        <v>13456151</v>
      </c>
      <c r="AX193" s="1186">
        <f t="shared" si="702"/>
        <v>14013021</v>
      </c>
      <c r="AY193" s="1186">
        <f t="shared" si="702"/>
        <v>14278007</v>
      </c>
      <c r="AZ193" s="1186">
        <f t="shared" si="702"/>
        <v>14970740</v>
      </c>
      <c r="BA193" s="954"/>
      <c r="BB193" s="954"/>
      <c r="BC193" s="954"/>
      <c r="BD193" s="954"/>
      <c r="BE193" s="954"/>
      <c r="BF193" s="954"/>
      <c r="BG193" s="954"/>
      <c r="BH193" s="954"/>
      <c r="BI193" s="954"/>
      <c r="BJ193" s="954"/>
      <c r="BK193" s="954"/>
      <c r="BL193" s="954"/>
      <c r="BM193" s="954"/>
      <c r="BN193" s="954"/>
      <c r="BO193" s="954"/>
      <c r="BP193" s="954"/>
      <c r="BQ193" s="954"/>
      <c r="BR193" s="954"/>
      <c r="BS193" s="954"/>
      <c r="BT193" s="954"/>
      <c r="BU193" s="954"/>
      <c r="BV193" s="954"/>
      <c r="BW193" s="954"/>
      <c r="BX193" s="954"/>
      <c r="BY193" s="954"/>
      <c r="BZ193" s="954"/>
      <c r="CA193" s="954"/>
      <c r="CB193" s="954"/>
      <c r="CC193" s="954"/>
      <c r="CD193" s="954"/>
      <c r="CE193" s="954"/>
      <c r="CF193" s="954"/>
      <c r="CG193" s="954"/>
      <c r="CH193" s="954"/>
      <c r="CI193" s="954"/>
      <c r="CJ193" s="954"/>
      <c r="CK193" s="954"/>
      <c r="CL193" s="954"/>
      <c r="CM193" s="954"/>
      <c r="CN193" s="954"/>
      <c r="CO193" s="954"/>
      <c r="CP193" s="954"/>
      <c r="CQ193" s="954"/>
      <c r="CR193" s="954"/>
      <c r="CS193" s="954"/>
      <c r="CT193" s="954"/>
      <c r="CU193" s="954"/>
      <c r="CV193" s="954"/>
      <c r="CW193" s="954"/>
      <c r="CX193" s="954"/>
      <c r="CY193" s="954"/>
      <c r="CZ193" s="954"/>
      <c r="DA193" s="954"/>
      <c r="DB193" s="954"/>
      <c r="DC193" s="954"/>
      <c r="DD193" s="954"/>
      <c r="DE193" s="954"/>
      <c r="DF193" s="954"/>
      <c r="DG193" s="954"/>
      <c r="DH193" s="954"/>
      <c r="DI193" s="954"/>
      <c r="DJ193" s="954"/>
      <c r="DK193" s="954"/>
      <c r="DL193" s="954"/>
      <c r="DM193" s="954"/>
      <c r="DN193" s="954"/>
      <c r="DO193" s="954"/>
      <c r="DP193" s="954"/>
      <c r="DQ193" s="954"/>
      <c r="DR193" s="954"/>
      <c r="DS193" s="954"/>
      <c r="DT193" s="954"/>
      <c r="DU193" s="954"/>
      <c r="DV193" s="954"/>
      <c r="DW193" s="954"/>
      <c r="DX193" s="954"/>
      <c r="DY193" s="954"/>
      <c r="DZ193" s="954"/>
      <c r="EA193" s="954"/>
      <c r="EB193" s="954"/>
      <c r="EC193" s="954"/>
      <c r="ED193" s="954"/>
      <c r="EE193" s="954"/>
      <c r="EF193" s="954"/>
      <c r="EG193" s="954"/>
      <c r="EH193" s="954"/>
      <c r="EI193" s="954"/>
      <c r="EJ193" s="954"/>
      <c r="EK193" s="954"/>
      <c r="EL193" s="954"/>
      <c r="EM193" s="954"/>
      <c r="EN193" s="954"/>
      <c r="EO193" s="954"/>
      <c r="EP193" s="954"/>
      <c r="EQ193" s="954"/>
      <c r="ER193" s="954"/>
      <c r="ES193" s="954"/>
      <c r="ET193" s="954"/>
      <c r="EU193" s="954"/>
      <c r="EV193" s="954"/>
      <c r="EW193" s="954"/>
      <c r="EX193" s="954"/>
      <c r="EY193" s="954"/>
      <c r="EZ193" s="954"/>
    </row>
    <row r="194" spans="1:156" x14ac:dyDescent="0.3">
      <c r="AL194" s="1151"/>
      <c r="AQ194" s="1151"/>
      <c r="AR194" s="1151"/>
      <c r="AV194" s="1201">
        <f>+AV193-AQ193</f>
        <v>497170.36500000022</v>
      </c>
      <c r="AW194" s="1201">
        <f>+AW193-AV193</f>
        <v>551253</v>
      </c>
      <c r="AX194" s="1201">
        <f t="shared" ref="AX194" si="703">+AX193-AW193</f>
        <v>556870</v>
      </c>
      <c r="AY194" s="1201">
        <f t="shared" ref="AY194" si="704">+AY193-AX193</f>
        <v>264986</v>
      </c>
      <c r="AZ194" s="1201">
        <f t="shared" ref="AZ194" si="705">+AZ193-AY193</f>
        <v>692733</v>
      </c>
    </row>
    <row r="195" spans="1:156" x14ac:dyDescent="0.3">
      <c r="AL195" s="1151"/>
      <c r="AQ195" s="1151"/>
      <c r="AR195" s="1151"/>
      <c r="AV195" s="1168">
        <f>ROUND((+AV194/AQ193),4)</f>
        <v>4.0099999999999997E-2</v>
      </c>
      <c r="AW195" s="1214">
        <f>ROUND((+AW194/AV193),4)</f>
        <v>4.2700000000000002E-2</v>
      </c>
      <c r="AX195" s="1214">
        <f t="shared" ref="AX195" si="706">ROUND((+AX194/AW193),4)</f>
        <v>4.1399999999999999E-2</v>
      </c>
      <c r="AY195" s="1214">
        <f t="shared" ref="AY195" si="707">ROUND((+AY194/AX193),4)</f>
        <v>1.89E-2</v>
      </c>
      <c r="AZ195" s="1214">
        <f t="shared" ref="AZ195" si="708">ROUND((+AZ194/AY193),4)</f>
        <v>4.8500000000000001E-2</v>
      </c>
    </row>
    <row r="196" spans="1:156" s="1165" customFormat="1" x14ac:dyDescent="0.3">
      <c r="A196" s="1161" t="s">
        <v>570</v>
      </c>
      <c r="B196" s="1162"/>
      <c r="C196" s="1163"/>
      <c r="D196" s="1163"/>
      <c r="E196" s="1163"/>
      <c r="F196" s="1164"/>
      <c r="G196" s="1163"/>
      <c r="H196" s="1163"/>
      <c r="I196" s="1164"/>
      <c r="J196" s="1163"/>
      <c r="K196" s="1163"/>
      <c r="L196" s="1164"/>
      <c r="M196" s="1163"/>
      <c r="N196" s="1163"/>
      <c r="O196" s="1164"/>
      <c r="P196" s="1163"/>
      <c r="Q196" s="1163"/>
      <c r="R196" s="1164"/>
      <c r="S196" s="1163"/>
      <c r="T196" s="1163"/>
      <c r="U196" s="1164"/>
      <c r="V196" s="1163"/>
      <c r="W196" s="1163"/>
      <c r="X196" s="1164"/>
      <c r="Y196" s="1163"/>
      <c r="Z196" s="1163"/>
      <c r="AA196" s="1164"/>
      <c r="AB196" s="1169"/>
      <c r="AC196" s="1163"/>
      <c r="AD196" s="1169"/>
      <c r="AE196" s="1164"/>
      <c r="AF196" s="1164"/>
      <c r="AG196" s="1163"/>
      <c r="AH196" s="1169"/>
      <c r="AI196" s="1169"/>
      <c r="AJ196" s="1169"/>
      <c r="AK196" s="1164"/>
      <c r="AL196" s="1164"/>
      <c r="AM196" s="1163"/>
      <c r="AN196" s="1169"/>
      <c r="AO196" s="1169"/>
      <c r="AP196" s="1169"/>
      <c r="AQ196" s="1164"/>
      <c r="AR196" s="1164"/>
      <c r="AS196" s="1162"/>
      <c r="AT196" s="1162"/>
      <c r="AU196" s="1162"/>
      <c r="AV196" s="1162"/>
      <c r="AW196" s="1162"/>
      <c r="AX196" s="1162"/>
      <c r="AY196" s="1162"/>
      <c r="AZ196" s="1162"/>
      <c r="BA196" s="1162"/>
      <c r="BB196" s="1162"/>
      <c r="BC196" s="1162"/>
      <c r="BD196" s="1162"/>
      <c r="BE196" s="1162"/>
      <c r="BF196" s="1162"/>
      <c r="BG196" s="1162"/>
      <c r="BH196" s="1162"/>
      <c r="BI196" s="1162"/>
      <c r="BJ196" s="1162"/>
      <c r="BK196" s="1162"/>
      <c r="BL196" s="1162"/>
      <c r="BM196" s="1162"/>
      <c r="BN196" s="1162"/>
      <c r="BO196" s="1162"/>
      <c r="BP196" s="1162"/>
      <c r="BQ196" s="1162"/>
      <c r="BR196" s="1162"/>
      <c r="BS196" s="1162"/>
      <c r="BT196" s="1162"/>
      <c r="BU196" s="1162"/>
      <c r="BV196" s="1162"/>
      <c r="BW196" s="1162"/>
      <c r="BX196" s="1162"/>
      <c r="BY196" s="1162"/>
      <c r="BZ196" s="1162"/>
      <c r="CA196" s="1162"/>
      <c r="CB196" s="1162"/>
      <c r="CC196" s="1162"/>
      <c r="CD196" s="1162"/>
      <c r="CE196" s="1162"/>
      <c r="CF196" s="1162"/>
      <c r="CG196" s="1162"/>
      <c r="CH196" s="1162"/>
      <c r="CI196" s="1162"/>
      <c r="CJ196" s="1162"/>
      <c r="CK196" s="1162"/>
      <c r="CL196" s="1162"/>
      <c r="CM196" s="1162"/>
      <c r="CN196" s="1162"/>
      <c r="CO196" s="1162"/>
      <c r="CP196" s="1162"/>
      <c r="CQ196" s="1162"/>
      <c r="CR196" s="1162"/>
      <c r="CS196" s="1162"/>
      <c r="CT196" s="1162"/>
      <c r="CU196" s="1162"/>
      <c r="CV196" s="1162"/>
      <c r="CW196" s="1162"/>
      <c r="CX196" s="1162"/>
      <c r="CY196" s="1162"/>
      <c r="CZ196" s="1162"/>
      <c r="DA196" s="1162"/>
      <c r="DB196" s="1162"/>
      <c r="DC196" s="1162"/>
      <c r="DD196" s="1162"/>
      <c r="DE196" s="1162"/>
      <c r="DF196" s="1162"/>
      <c r="DG196" s="1162"/>
      <c r="DH196" s="1162"/>
      <c r="DI196" s="1162"/>
      <c r="DJ196" s="1162"/>
      <c r="DK196" s="1162"/>
      <c r="DL196" s="1162"/>
      <c r="DM196" s="1162"/>
      <c r="DN196" s="1162"/>
      <c r="DO196" s="1162"/>
      <c r="DP196" s="1162"/>
      <c r="DQ196" s="1162"/>
      <c r="DR196" s="1162"/>
      <c r="DS196" s="1162"/>
      <c r="DT196" s="1162"/>
      <c r="DU196" s="1162"/>
      <c r="DV196" s="1162"/>
      <c r="DW196" s="1162"/>
      <c r="DX196" s="1162"/>
      <c r="DY196" s="1162"/>
      <c r="DZ196" s="1162"/>
      <c r="EA196" s="1162"/>
      <c r="EB196" s="1162"/>
      <c r="EC196" s="1162"/>
      <c r="ED196" s="1162"/>
      <c r="EE196" s="1162"/>
      <c r="EF196" s="1162"/>
      <c r="EG196" s="1162"/>
      <c r="EH196" s="1162"/>
      <c r="EI196" s="1162"/>
      <c r="EJ196" s="1162"/>
      <c r="EK196" s="1162"/>
      <c r="EL196" s="1162"/>
      <c r="EM196" s="1162"/>
      <c r="EN196" s="1162"/>
      <c r="EO196" s="1162"/>
      <c r="EP196" s="1162"/>
      <c r="EQ196" s="1162"/>
      <c r="ER196" s="1162"/>
      <c r="ES196" s="1162"/>
      <c r="ET196" s="1162"/>
      <c r="EU196" s="1162"/>
      <c r="EV196" s="1162"/>
      <c r="EW196" s="1162"/>
      <c r="EX196" s="1162"/>
      <c r="EY196" s="1162"/>
      <c r="EZ196" s="1162"/>
    </row>
    <row r="197" spans="1:156" s="1165" customFormat="1" x14ac:dyDescent="0.3">
      <c r="A197" s="1162"/>
      <c r="B197" s="1162" t="s">
        <v>2218</v>
      </c>
      <c r="C197" s="1163">
        <f>+'600 482 Airport'!C16</f>
        <v>14110.84</v>
      </c>
      <c r="D197" s="1163">
        <f>+'600 482 Airport'!D16</f>
        <v>18152.72</v>
      </c>
      <c r="E197" s="1169">
        <f t="shared" ref="E197:E200" si="709">ROUND(((+D197-C197)/C197),4)</f>
        <v>0.28639999999999999</v>
      </c>
      <c r="F197" s="1164">
        <v>19625</v>
      </c>
      <c r="G197" s="1163">
        <f>+'600 482 Airport'!E16</f>
        <v>19741.080000000002</v>
      </c>
      <c r="H197" s="1169">
        <f t="shared" ref="H197:H200" si="710">ROUND(((+G197-D197)/D197),4)</f>
        <v>8.7499999999999994E-2</v>
      </c>
      <c r="I197" s="1164">
        <v>20390</v>
      </c>
      <c r="J197" s="1163">
        <f>+'600 482 Airport'!F16</f>
        <v>20828.300000000003</v>
      </c>
      <c r="K197" s="1169">
        <f>ROUND(((+J197-G197)/G197),4)</f>
        <v>5.5100000000000003E-2</v>
      </c>
      <c r="L197" s="1164">
        <v>20931</v>
      </c>
      <c r="M197" s="1163">
        <f>+'600 482 Airport'!G16</f>
        <v>17929.8</v>
      </c>
      <c r="N197" s="1169">
        <f>ROUND(((+M197-J197)/J197),4)</f>
        <v>-0.13919999999999999</v>
      </c>
      <c r="O197" s="1164">
        <v>21760</v>
      </c>
      <c r="P197" s="1163">
        <f>+'600 482 Airport'!H16</f>
        <v>19743.88</v>
      </c>
      <c r="Q197" s="1169">
        <f>ROUND(((+P197-M197)/M197),4)</f>
        <v>0.1012</v>
      </c>
      <c r="R197" s="1164">
        <v>22124</v>
      </c>
      <c r="S197" s="1163">
        <f>+'600 482 Airport'!I16</f>
        <v>22141.56</v>
      </c>
      <c r="T197" s="1169">
        <f>ROUND(((+S197-P197)/P197),4)</f>
        <v>0.12139999999999999</v>
      </c>
      <c r="U197" s="1164">
        <v>26038</v>
      </c>
      <c r="V197" s="1163">
        <f>+'600 482 Airport'!J16</f>
        <v>15295.87</v>
      </c>
      <c r="W197" s="1169">
        <f>ROUND(((+V197-S197)/S197),4)</f>
        <v>-0.30919999999999997</v>
      </c>
      <c r="X197" s="1164">
        <f>+'600 482 Airport'!K16</f>
        <v>42169</v>
      </c>
      <c r="Y197" s="1163">
        <f>+'600 482 Airport'!L16</f>
        <v>32478.98</v>
      </c>
      <c r="Z197" s="1169">
        <f t="shared" ref="Z197:Z200" si="711">ROUND(((+Y197-V197)/V197),4)</f>
        <v>1.1234</v>
      </c>
      <c r="AA197" s="1164">
        <f>+'600 482 Airport'!M16</f>
        <v>84808</v>
      </c>
      <c r="AB197" s="1169">
        <f t="shared" ref="AB197:AB200" si="712">ROUND(((+AA197-X197)/X197),4)</f>
        <v>1.0111000000000001</v>
      </c>
      <c r="AC197" s="1163">
        <f>+'600 482 Airport'!N16</f>
        <v>87667.98</v>
      </c>
      <c r="AD197" s="1169">
        <f t="shared" ref="AD197:AD200" si="713">ROUND(((+AC197-Y197)/Y197),4)</f>
        <v>1.6992</v>
      </c>
      <c r="AE197" s="1164">
        <f>+'600 482 Airport'!O16</f>
        <v>106874</v>
      </c>
      <c r="AF197" s="1169">
        <f t="shared" ref="AF197:AF200" si="714">ROUND(((+AE197-AA197)/AA197),4)</f>
        <v>0.26019999999999999</v>
      </c>
      <c r="AG197" s="1163">
        <f>+'600 482 Airport'!P16</f>
        <v>100445.45</v>
      </c>
      <c r="AH197" s="1169">
        <f t="shared" ref="AH197:AH200" si="715">ROUND(((+AG197-AC197)/AC197),4)</f>
        <v>0.1457</v>
      </c>
      <c r="AI197" s="1169"/>
      <c r="AJ197" s="1169"/>
      <c r="AK197" s="1164">
        <f>+'600 482 Airport'!Q16</f>
        <v>138076</v>
      </c>
      <c r="AL197" s="1169">
        <f t="shared" ref="AL197:AL200" si="716">ROUND(((+AK197-AE197)/AE197),4)</f>
        <v>0.29199999999999998</v>
      </c>
      <c r="AM197" s="1163">
        <f>+'600 482 Airport'!R16</f>
        <v>65096.9</v>
      </c>
      <c r="AN197" s="1169">
        <f t="shared" ref="AN197:AN200" si="717">ROUND(((+AM197-AG197)/AG197),4)</f>
        <v>-0.35189999999999999</v>
      </c>
      <c r="AO197" s="1169"/>
      <c r="AP197" s="1169"/>
      <c r="AQ197" s="1164">
        <f>+'600 482 Airport'!S16</f>
        <v>136238</v>
      </c>
      <c r="AR197" s="1169">
        <f t="shared" ref="AR197:AR200" si="718">ROUND(((+AQ197-AK197)/AK197),4)</f>
        <v>-1.3299999999999999E-2</v>
      </c>
      <c r="AS197" s="1169">
        <f t="shared" ref="AS197:AS200" si="719">ROUND((((+AQ197-U197)/U197)/5),4)</f>
        <v>0.84650000000000003</v>
      </c>
      <c r="AT197" s="1169">
        <f t="shared" ref="AT197:AT200" si="720">ROUND((((+AQ197-F197)/F197)/10),4)</f>
        <v>0.59419999999999995</v>
      </c>
      <c r="AU197" s="1162"/>
      <c r="AV197" s="1164">
        <f>ROUND((+AQ197*(1.023)),0)</f>
        <v>139371</v>
      </c>
      <c r="AW197" s="1164">
        <f t="shared" ref="AW197:AZ198" si="721">ROUND((+AV197*(1.023)),0)</f>
        <v>142577</v>
      </c>
      <c r="AX197" s="1164">
        <f t="shared" si="721"/>
        <v>145856</v>
      </c>
      <c r="AY197" s="1164">
        <f t="shared" si="721"/>
        <v>149211</v>
      </c>
      <c r="AZ197" s="1164">
        <f t="shared" si="721"/>
        <v>152643</v>
      </c>
      <c r="BA197" s="1218">
        <v>2.3E-2</v>
      </c>
      <c r="BB197" s="1162" t="s">
        <v>2275</v>
      </c>
      <c r="BC197" s="1162"/>
      <c r="BD197" s="1162"/>
      <c r="BE197" s="1162"/>
      <c r="BF197" s="1162"/>
      <c r="BG197" s="1162"/>
      <c r="BH197" s="1162"/>
      <c r="BI197" s="1162"/>
      <c r="BJ197" s="1162"/>
      <c r="BK197" s="1162"/>
      <c r="BL197" s="1162"/>
      <c r="BM197" s="1162"/>
      <c r="BN197" s="1162"/>
      <c r="BO197" s="1162"/>
      <c r="BP197" s="1162"/>
      <c r="BQ197" s="1162"/>
      <c r="BR197" s="1162"/>
      <c r="BS197" s="1162"/>
      <c r="BT197" s="1162"/>
      <c r="BU197" s="1162"/>
      <c r="BV197" s="1162"/>
      <c r="BW197" s="1162"/>
      <c r="BX197" s="1162"/>
      <c r="BY197" s="1162"/>
      <c r="BZ197" s="1162"/>
      <c r="CA197" s="1162"/>
      <c r="CB197" s="1162"/>
      <c r="CC197" s="1162"/>
      <c r="CD197" s="1162"/>
      <c r="CE197" s="1162"/>
      <c r="CF197" s="1162"/>
      <c r="CG197" s="1162"/>
      <c r="CH197" s="1162"/>
      <c r="CI197" s="1162"/>
      <c r="CJ197" s="1162"/>
      <c r="CK197" s="1162"/>
      <c r="CL197" s="1162"/>
      <c r="CM197" s="1162"/>
      <c r="CN197" s="1162"/>
      <c r="CO197" s="1162"/>
      <c r="CP197" s="1162"/>
      <c r="CQ197" s="1162"/>
      <c r="CR197" s="1162"/>
      <c r="CS197" s="1162"/>
      <c r="CT197" s="1162"/>
      <c r="CU197" s="1162"/>
      <c r="CV197" s="1162"/>
      <c r="CW197" s="1162"/>
      <c r="CX197" s="1162"/>
      <c r="CY197" s="1162"/>
      <c r="CZ197" s="1162"/>
      <c r="DA197" s="1162"/>
      <c r="DB197" s="1162"/>
      <c r="DC197" s="1162"/>
      <c r="DD197" s="1162"/>
      <c r="DE197" s="1162"/>
      <c r="DF197" s="1162"/>
      <c r="DG197" s="1162"/>
      <c r="DH197" s="1162"/>
      <c r="DI197" s="1162"/>
      <c r="DJ197" s="1162"/>
      <c r="DK197" s="1162"/>
      <c r="DL197" s="1162"/>
      <c r="DM197" s="1162"/>
      <c r="DN197" s="1162"/>
      <c r="DO197" s="1162"/>
      <c r="DP197" s="1162"/>
      <c r="DQ197" s="1162"/>
      <c r="DR197" s="1162"/>
      <c r="DS197" s="1162"/>
      <c r="DT197" s="1162"/>
      <c r="DU197" s="1162"/>
      <c r="DV197" s="1162"/>
      <c r="DW197" s="1162"/>
      <c r="DX197" s="1162"/>
      <c r="DY197" s="1162"/>
      <c r="DZ197" s="1162"/>
      <c r="EA197" s="1162"/>
      <c r="EB197" s="1162"/>
      <c r="EC197" s="1162"/>
      <c r="ED197" s="1162"/>
      <c r="EE197" s="1162"/>
      <c r="EF197" s="1162"/>
      <c r="EG197" s="1162"/>
      <c r="EH197" s="1162"/>
      <c r="EI197" s="1162"/>
      <c r="EJ197" s="1162"/>
      <c r="EK197" s="1162"/>
      <c r="EL197" s="1162"/>
      <c r="EM197" s="1162"/>
      <c r="EN197" s="1162"/>
      <c r="EO197" s="1162"/>
      <c r="EP197" s="1162"/>
      <c r="EQ197" s="1162"/>
      <c r="ER197" s="1162"/>
      <c r="ES197" s="1162"/>
      <c r="ET197" s="1162"/>
      <c r="EU197" s="1162"/>
      <c r="EV197" s="1162"/>
      <c r="EW197" s="1162"/>
      <c r="EX197" s="1162"/>
      <c r="EY197" s="1162"/>
      <c r="EZ197" s="1162"/>
    </row>
    <row r="198" spans="1:156" s="1165" customFormat="1" x14ac:dyDescent="0.3">
      <c r="A198" s="1162"/>
      <c r="B198" s="1162" t="s">
        <v>1869</v>
      </c>
      <c r="C198" s="1163">
        <f>+'600 482 Airport'!C47</f>
        <v>22794.65</v>
      </c>
      <c r="D198" s="1163">
        <f>+'600 482 Airport'!D47</f>
        <v>26500.71</v>
      </c>
      <c r="E198" s="1169">
        <f t="shared" si="709"/>
        <v>0.16259999999999999</v>
      </c>
      <c r="F198" s="1164">
        <v>25887</v>
      </c>
      <c r="G198" s="1163">
        <f>+'600 482 Airport'!E47</f>
        <v>26028.799999999999</v>
      </c>
      <c r="H198" s="1169">
        <f t="shared" si="710"/>
        <v>-1.78E-2</v>
      </c>
      <c r="I198" s="1164">
        <v>25888</v>
      </c>
      <c r="J198" s="1163">
        <f>+'600 482 Airport'!F47</f>
        <v>23692.040000000005</v>
      </c>
      <c r="K198" s="1169">
        <f>ROUND(((+J198-G198)/G198),4)</f>
        <v>-8.9800000000000005E-2</v>
      </c>
      <c r="L198" s="1164">
        <v>28089</v>
      </c>
      <c r="M198" s="1163">
        <f>+'600 482 Airport'!G47</f>
        <v>33988.230000000003</v>
      </c>
      <c r="N198" s="1169">
        <f>ROUND(((+M198-J198)/J198),4)</f>
        <v>0.43459999999999999</v>
      </c>
      <c r="O198" s="1164">
        <v>28165</v>
      </c>
      <c r="P198" s="1163">
        <f>+'600 482 Airport'!H47</f>
        <v>29026.399999999998</v>
      </c>
      <c r="Q198" s="1169">
        <f>ROUND(((+P198-M198)/M198),4)</f>
        <v>-0.14599999999999999</v>
      </c>
      <c r="R198" s="1164">
        <v>26415</v>
      </c>
      <c r="S198" s="1163">
        <f>+'600 482 Airport'!I47</f>
        <v>26249.980000000003</v>
      </c>
      <c r="T198" s="1169">
        <f>ROUND(((+S198-P198)/P198),4)</f>
        <v>-9.5699999999999993E-2</v>
      </c>
      <c r="U198" s="1164">
        <v>27040</v>
      </c>
      <c r="V198" s="1163">
        <f>+'600 482 Airport'!J47</f>
        <v>24516.76</v>
      </c>
      <c r="W198" s="1169">
        <f>ROUND(((+V198-S198)/S198),4)</f>
        <v>-6.6000000000000003E-2</v>
      </c>
      <c r="X198" s="1164">
        <f>+'600 482 Airport'!K47</f>
        <v>53325</v>
      </c>
      <c r="Y198" s="1163">
        <f>+'600 482 Airport'!L47</f>
        <v>63015.01999999999</v>
      </c>
      <c r="Z198" s="1169">
        <f t="shared" si="711"/>
        <v>1.5703</v>
      </c>
      <c r="AA198" s="1164">
        <f>+'600 482 Airport'!M47</f>
        <v>126611.45</v>
      </c>
      <c r="AB198" s="1169">
        <f t="shared" si="712"/>
        <v>1.3743000000000001</v>
      </c>
      <c r="AC198" s="1163">
        <f>+'600 482 Airport'!N47</f>
        <v>123281.29000000001</v>
      </c>
      <c r="AD198" s="1169">
        <f t="shared" si="713"/>
        <v>0.95640000000000003</v>
      </c>
      <c r="AE198" s="1164">
        <f>+'600 482 Airport'!O47</f>
        <v>105020</v>
      </c>
      <c r="AF198" s="1169">
        <f t="shared" si="714"/>
        <v>-0.17050000000000001</v>
      </c>
      <c r="AG198" s="1163">
        <f>+'600 482 Airport'!P47</f>
        <v>111088.15</v>
      </c>
      <c r="AH198" s="1169">
        <f t="shared" si="715"/>
        <v>-9.8900000000000002E-2</v>
      </c>
      <c r="AI198" s="1169"/>
      <c r="AJ198" s="1169"/>
      <c r="AK198" s="1164">
        <f>+'600 482 Airport'!Q47</f>
        <v>136839</v>
      </c>
      <c r="AL198" s="1169">
        <f t="shared" si="716"/>
        <v>0.30299999999999999</v>
      </c>
      <c r="AM198" s="1163">
        <f>+'600 482 Airport'!R47</f>
        <v>95467.930000000008</v>
      </c>
      <c r="AN198" s="1169">
        <f t="shared" si="717"/>
        <v>-0.1406</v>
      </c>
      <c r="AO198" s="1169"/>
      <c r="AP198" s="1169"/>
      <c r="AQ198" s="1164">
        <f>+'600 482 Airport'!S47</f>
        <v>119000</v>
      </c>
      <c r="AR198" s="1169">
        <f t="shared" si="718"/>
        <v>-0.13039999999999999</v>
      </c>
      <c r="AS198" s="1169">
        <f t="shared" si="719"/>
        <v>0.68020000000000003</v>
      </c>
      <c r="AT198" s="1169">
        <f t="shared" si="720"/>
        <v>0.35970000000000002</v>
      </c>
      <c r="AU198" s="1162"/>
      <c r="AV198" s="1164">
        <f>ROUND((+AQ198*(1.023)),0)</f>
        <v>121737</v>
      </c>
      <c r="AW198" s="1164">
        <f t="shared" si="721"/>
        <v>124537</v>
      </c>
      <c r="AX198" s="1164">
        <f t="shared" si="721"/>
        <v>127401</v>
      </c>
      <c r="AY198" s="1164">
        <f t="shared" si="721"/>
        <v>130331</v>
      </c>
      <c r="AZ198" s="1164">
        <f t="shared" si="721"/>
        <v>133329</v>
      </c>
      <c r="BA198" s="1218">
        <v>2.3E-2</v>
      </c>
      <c r="BB198" s="1162" t="s">
        <v>2276</v>
      </c>
      <c r="BC198" s="1162"/>
      <c r="BD198" s="1162"/>
      <c r="BE198" s="1162"/>
      <c r="BF198" s="1162"/>
      <c r="BG198" s="1162"/>
      <c r="BH198" s="1162"/>
      <c r="BI198" s="1162"/>
      <c r="BJ198" s="1162"/>
      <c r="BK198" s="1162"/>
      <c r="BL198" s="1162"/>
      <c r="BM198" s="1162"/>
      <c r="BN198" s="1162"/>
      <c r="BO198" s="1162"/>
      <c r="BP198" s="1162"/>
      <c r="BQ198" s="1162"/>
      <c r="BR198" s="1162"/>
      <c r="BS198" s="1162"/>
      <c r="BT198" s="1162"/>
      <c r="BU198" s="1162"/>
      <c r="BV198" s="1162"/>
      <c r="BW198" s="1162"/>
      <c r="BX198" s="1162"/>
      <c r="BY198" s="1162"/>
      <c r="BZ198" s="1162"/>
      <c r="CA198" s="1162"/>
      <c r="CB198" s="1162"/>
      <c r="CC198" s="1162"/>
      <c r="CD198" s="1162"/>
      <c r="CE198" s="1162"/>
      <c r="CF198" s="1162"/>
      <c r="CG198" s="1162"/>
      <c r="CH198" s="1162"/>
      <c r="CI198" s="1162"/>
      <c r="CJ198" s="1162"/>
      <c r="CK198" s="1162"/>
      <c r="CL198" s="1162"/>
      <c r="CM198" s="1162"/>
      <c r="CN198" s="1162"/>
      <c r="CO198" s="1162"/>
      <c r="CP198" s="1162"/>
      <c r="CQ198" s="1162"/>
      <c r="CR198" s="1162"/>
      <c r="CS198" s="1162"/>
      <c r="CT198" s="1162"/>
      <c r="CU198" s="1162"/>
      <c r="CV198" s="1162"/>
      <c r="CW198" s="1162"/>
      <c r="CX198" s="1162"/>
      <c r="CY198" s="1162"/>
      <c r="CZ198" s="1162"/>
      <c r="DA198" s="1162"/>
      <c r="DB198" s="1162"/>
      <c r="DC198" s="1162"/>
      <c r="DD198" s="1162"/>
      <c r="DE198" s="1162"/>
      <c r="DF198" s="1162"/>
      <c r="DG198" s="1162"/>
      <c r="DH198" s="1162"/>
      <c r="DI198" s="1162"/>
      <c r="DJ198" s="1162"/>
      <c r="DK198" s="1162"/>
      <c r="DL198" s="1162"/>
      <c r="DM198" s="1162"/>
      <c r="DN198" s="1162"/>
      <c r="DO198" s="1162"/>
      <c r="DP198" s="1162"/>
      <c r="DQ198" s="1162"/>
      <c r="DR198" s="1162"/>
      <c r="DS198" s="1162"/>
      <c r="DT198" s="1162"/>
      <c r="DU198" s="1162"/>
      <c r="DV198" s="1162"/>
      <c r="DW198" s="1162"/>
      <c r="DX198" s="1162"/>
      <c r="DY198" s="1162"/>
      <c r="DZ198" s="1162"/>
      <c r="EA198" s="1162"/>
      <c r="EB198" s="1162"/>
      <c r="EC198" s="1162"/>
      <c r="ED198" s="1162"/>
      <c r="EE198" s="1162"/>
      <c r="EF198" s="1162"/>
      <c r="EG198" s="1162"/>
      <c r="EH198" s="1162"/>
      <c r="EI198" s="1162"/>
      <c r="EJ198" s="1162"/>
      <c r="EK198" s="1162"/>
      <c r="EL198" s="1162"/>
      <c r="EM198" s="1162"/>
      <c r="EN198" s="1162"/>
      <c r="EO198" s="1162"/>
      <c r="EP198" s="1162"/>
      <c r="EQ198" s="1162"/>
      <c r="ER198" s="1162"/>
      <c r="ES198" s="1162"/>
      <c r="ET198" s="1162"/>
      <c r="EU198" s="1162"/>
      <c r="EV198" s="1162"/>
      <c r="EW198" s="1162"/>
      <c r="EX198" s="1162"/>
      <c r="EY198" s="1162"/>
      <c r="EZ198" s="1162"/>
    </row>
    <row r="199" spans="1:156" s="1165" customFormat="1" x14ac:dyDescent="0.3">
      <c r="A199" s="1162"/>
      <c r="B199" s="1162" t="s">
        <v>2221</v>
      </c>
      <c r="C199" s="1166">
        <f>+'600 482 Airport'!C51</f>
        <v>0</v>
      </c>
      <c r="D199" s="1166">
        <f>+'600 482 Airport'!D51</f>
        <v>0</v>
      </c>
      <c r="E199" s="1173" t="e">
        <f t="shared" si="709"/>
        <v>#DIV/0!</v>
      </c>
      <c r="F199" s="1167"/>
      <c r="G199" s="1166">
        <f>+'600 482 Airport'!E51</f>
        <v>0</v>
      </c>
      <c r="H199" s="1173" t="e">
        <f t="shared" si="710"/>
        <v>#DIV/0!</v>
      </c>
      <c r="I199" s="1167"/>
      <c r="J199" s="1166">
        <f>+'600 482 Airport'!F51</f>
        <v>0</v>
      </c>
      <c r="K199" s="1173" t="e">
        <f>ROUND(((+J199-G199)/G199),4)</f>
        <v>#DIV/0!</v>
      </c>
      <c r="L199" s="1167"/>
      <c r="M199" s="1166">
        <f>+'600 482 Airport'!G51</f>
        <v>0</v>
      </c>
      <c r="N199" s="1173" t="e">
        <f>ROUND(((+M199-J199)/J199),4)</f>
        <v>#DIV/0!</v>
      </c>
      <c r="O199" s="1167"/>
      <c r="P199" s="1166">
        <f>+'600 482 Airport'!H51</f>
        <v>0</v>
      </c>
      <c r="Q199" s="1173" t="e">
        <f>ROUND(((+P199-M199)/M199),4)</f>
        <v>#DIV/0!</v>
      </c>
      <c r="R199" s="1167"/>
      <c r="S199" s="1166">
        <f>+'600 482 Airport'!I51</f>
        <v>0</v>
      </c>
      <c r="T199" s="1173" t="e">
        <f>ROUND(((+S199-P199)/P199),4)</f>
        <v>#DIV/0!</v>
      </c>
      <c r="U199" s="1167"/>
      <c r="V199" s="1166">
        <f>+'600 482 Airport'!J51</f>
        <v>0</v>
      </c>
      <c r="W199" s="1173" t="e">
        <f>ROUND(((+V199-S199)/S199),4)</f>
        <v>#DIV/0!</v>
      </c>
      <c r="X199" s="1167">
        <f>+'600 482 Airport'!K51</f>
        <v>0</v>
      </c>
      <c r="Y199" s="1166">
        <f>+'600 482 Airport'!L51</f>
        <v>0</v>
      </c>
      <c r="Z199" s="1173" t="e">
        <f t="shared" si="711"/>
        <v>#DIV/0!</v>
      </c>
      <c r="AA199" s="1167">
        <f>+'600 482 Airport'!M51</f>
        <v>0</v>
      </c>
      <c r="AB199" s="1173" t="e">
        <f t="shared" si="712"/>
        <v>#DIV/0!</v>
      </c>
      <c r="AC199" s="1166">
        <f>+'600 482 Airport'!N51</f>
        <v>0</v>
      </c>
      <c r="AD199" s="1173" t="e">
        <f t="shared" si="713"/>
        <v>#DIV/0!</v>
      </c>
      <c r="AE199" s="1167">
        <f>+'600 482 Airport'!O51</f>
        <v>0</v>
      </c>
      <c r="AF199" s="1173" t="e">
        <f t="shared" si="714"/>
        <v>#DIV/0!</v>
      </c>
      <c r="AG199" s="1166">
        <f>+'600 482 Airport'!P51</f>
        <v>0</v>
      </c>
      <c r="AH199" s="1173" t="e">
        <f t="shared" si="715"/>
        <v>#DIV/0!</v>
      </c>
      <c r="AI199" s="1173"/>
      <c r="AJ199" s="1173"/>
      <c r="AK199" s="1167">
        <f>+'600 482 Airport'!Q51</f>
        <v>10000</v>
      </c>
      <c r="AL199" s="1173" t="e">
        <f t="shared" si="716"/>
        <v>#DIV/0!</v>
      </c>
      <c r="AM199" s="1166">
        <f>+'600 482 Airport'!R51</f>
        <v>0</v>
      </c>
      <c r="AN199" s="1173" t="e">
        <f t="shared" si="717"/>
        <v>#DIV/0!</v>
      </c>
      <c r="AO199" s="1173"/>
      <c r="AP199" s="1173"/>
      <c r="AQ199" s="1167">
        <f>+'600 482 Airport'!S51</f>
        <v>0</v>
      </c>
      <c r="AR199" s="1173">
        <f t="shared" si="718"/>
        <v>-1</v>
      </c>
      <c r="AS199" s="1173" t="e">
        <f t="shared" si="719"/>
        <v>#DIV/0!</v>
      </c>
      <c r="AT199" s="1173" t="e">
        <f t="shared" si="720"/>
        <v>#DIV/0!</v>
      </c>
      <c r="AU199" s="1162"/>
      <c r="AV199" s="1167">
        <f>ROUND((+AQ199*(1.02)),0)</f>
        <v>0</v>
      </c>
      <c r="AW199" s="1167">
        <f>ROUND((+AV199*(1.02)),0)</f>
        <v>0</v>
      </c>
      <c r="AX199" s="1167">
        <f>ROUND((+AW199*(1.02)),0)</f>
        <v>0</v>
      </c>
      <c r="AY199" s="1167">
        <f>ROUND((+AX199*(1.02)),0)</f>
        <v>0</v>
      </c>
      <c r="AZ199" s="1167">
        <f>ROUND((+AY199*(1.02)),0)</f>
        <v>0</v>
      </c>
      <c r="BA199" s="1218">
        <v>0.02</v>
      </c>
      <c r="BB199" s="1162"/>
      <c r="BC199" s="1162"/>
      <c r="BD199" s="1162"/>
      <c r="BE199" s="1162"/>
      <c r="BF199" s="1162"/>
      <c r="BG199" s="1162"/>
      <c r="BH199" s="1162"/>
      <c r="BI199" s="1162"/>
      <c r="BJ199" s="1162"/>
      <c r="BK199" s="1162"/>
      <c r="BL199" s="1162"/>
      <c r="BM199" s="1162"/>
      <c r="BN199" s="1162"/>
      <c r="BO199" s="1162"/>
      <c r="BP199" s="1162"/>
      <c r="BQ199" s="1162"/>
      <c r="BR199" s="1162"/>
      <c r="BS199" s="1162"/>
      <c r="BT199" s="1162"/>
      <c r="BU199" s="1162"/>
      <c r="BV199" s="1162"/>
      <c r="BW199" s="1162"/>
      <c r="BX199" s="1162"/>
      <c r="BY199" s="1162"/>
      <c r="BZ199" s="1162"/>
      <c r="CA199" s="1162"/>
      <c r="CB199" s="1162"/>
      <c r="CC199" s="1162"/>
      <c r="CD199" s="1162"/>
      <c r="CE199" s="1162"/>
      <c r="CF199" s="1162"/>
      <c r="CG199" s="1162"/>
      <c r="CH199" s="1162"/>
      <c r="CI199" s="1162"/>
      <c r="CJ199" s="1162"/>
      <c r="CK199" s="1162"/>
      <c r="CL199" s="1162"/>
      <c r="CM199" s="1162"/>
      <c r="CN199" s="1162"/>
      <c r="CO199" s="1162"/>
      <c r="CP199" s="1162"/>
      <c r="CQ199" s="1162"/>
      <c r="CR199" s="1162"/>
      <c r="CS199" s="1162"/>
      <c r="CT199" s="1162"/>
      <c r="CU199" s="1162"/>
      <c r="CV199" s="1162"/>
      <c r="CW199" s="1162"/>
      <c r="CX199" s="1162"/>
      <c r="CY199" s="1162"/>
      <c r="CZ199" s="1162"/>
      <c r="DA199" s="1162"/>
      <c r="DB199" s="1162"/>
      <c r="DC199" s="1162"/>
      <c r="DD199" s="1162"/>
      <c r="DE199" s="1162"/>
      <c r="DF199" s="1162"/>
      <c r="DG199" s="1162"/>
      <c r="DH199" s="1162"/>
      <c r="DI199" s="1162"/>
      <c r="DJ199" s="1162"/>
      <c r="DK199" s="1162"/>
      <c r="DL199" s="1162"/>
      <c r="DM199" s="1162"/>
      <c r="DN199" s="1162"/>
      <c r="DO199" s="1162"/>
      <c r="DP199" s="1162"/>
      <c r="DQ199" s="1162"/>
      <c r="DR199" s="1162"/>
      <c r="DS199" s="1162"/>
      <c r="DT199" s="1162"/>
      <c r="DU199" s="1162"/>
      <c r="DV199" s="1162"/>
      <c r="DW199" s="1162"/>
      <c r="DX199" s="1162"/>
      <c r="DY199" s="1162"/>
      <c r="DZ199" s="1162"/>
      <c r="EA199" s="1162"/>
      <c r="EB199" s="1162"/>
      <c r="EC199" s="1162"/>
      <c r="ED199" s="1162"/>
      <c r="EE199" s="1162"/>
      <c r="EF199" s="1162"/>
      <c r="EG199" s="1162"/>
      <c r="EH199" s="1162"/>
      <c r="EI199" s="1162"/>
      <c r="EJ199" s="1162"/>
      <c r="EK199" s="1162"/>
      <c r="EL199" s="1162"/>
      <c r="EM199" s="1162"/>
      <c r="EN199" s="1162"/>
      <c r="EO199" s="1162"/>
      <c r="EP199" s="1162"/>
      <c r="EQ199" s="1162"/>
      <c r="ER199" s="1162"/>
      <c r="ES199" s="1162"/>
      <c r="ET199" s="1162"/>
      <c r="EU199" s="1162"/>
      <c r="EV199" s="1162"/>
      <c r="EW199" s="1162"/>
      <c r="EX199" s="1162"/>
      <c r="EY199" s="1162"/>
      <c r="EZ199" s="1162"/>
    </row>
    <row r="200" spans="1:156" s="1165" customFormat="1" x14ac:dyDescent="0.3">
      <c r="A200" s="1161"/>
      <c r="B200" s="1162" t="s">
        <v>887</v>
      </c>
      <c r="C200" s="1163">
        <f>SUM(C196:C199)</f>
        <v>36905.490000000005</v>
      </c>
      <c r="D200" s="1163">
        <f t="shared" ref="D200:AQ200" si="722">SUM(D196:D199)</f>
        <v>44653.43</v>
      </c>
      <c r="E200" s="1169">
        <f t="shared" si="709"/>
        <v>0.2099</v>
      </c>
      <c r="F200" s="1164">
        <f t="shared" si="722"/>
        <v>45512</v>
      </c>
      <c r="G200" s="1163">
        <f t="shared" si="722"/>
        <v>45769.880000000005</v>
      </c>
      <c r="H200" s="1169">
        <f t="shared" si="710"/>
        <v>2.5000000000000001E-2</v>
      </c>
      <c r="I200" s="1164">
        <f t="shared" si="722"/>
        <v>46278</v>
      </c>
      <c r="J200" s="1163">
        <f t="shared" si="722"/>
        <v>44520.340000000011</v>
      </c>
      <c r="K200" s="1169">
        <f>ROUND(((+J200-G200)/G200),4)</f>
        <v>-2.7300000000000001E-2</v>
      </c>
      <c r="L200" s="1164">
        <f t="shared" si="722"/>
        <v>49020</v>
      </c>
      <c r="M200" s="1163">
        <f t="shared" si="722"/>
        <v>51918.03</v>
      </c>
      <c r="N200" s="1169">
        <f>ROUND(((+M200-J200)/J200),4)</f>
        <v>0.16619999999999999</v>
      </c>
      <c r="O200" s="1164">
        <f t="shared" si="722"/>
        <v>49925</v>
      </c>
      <c r="P200" s="1163">
        <f t="shared" si="722"/>
        <v>48770.28</v>
      </c>
      <c r="Q200" s="1169">
        <f>ROUND(((+P200-M200)/M200),4)</f>
        <v>-6.0600000000000001E-2</v>
      </c>
      <c r="R200" s="1164">
        <f t="shared" si="722"/>
        <v>48539</v>
      </c>
      <c r="S200" s="1163">
        <f t="shared" si="722"/>
        <v>48391.540000000008</v>
      </c>
      <c r="T200" s="1169">
        <f>ROUND(((+S200-P200)/P200),4)</f>
        <v>-7.7999999999999996E-3</v>
      </c>
      <c r="U200" s="1164">
        <f t="shared" si="722"/>
        <v>53078</v>
      </c>
      <c r="V200" s="1163">
        <f t="shared" si="722"/>
        <v>39812.629999999997</v>
      </c>
      <c r="W200" s="1169">
        <f>ROUND(((+V200-S200)/S200),4)</f>
        <v>-0.17730000000000001</v>
      </c>
      <c r="X200" s="1164">
        <f t="shared" si="722"/>
        <v>95494</v>
      </c>
      <c r="Y200" s="1163">
        <f t="shared" si="722"/>
        <v>95493.999999999985</v>
      </c>
      <c r="Z200" s="1169">
        <f t="shared" si="711"/>
        <v>1.3986000000000001</v>
      </c>
      <c r="AA200" s="1164">
        <f t="shared" si="722"/>
        <v>211419.45</v>
      </c>
      <c r="AB200" s="1169">
        <f t="shared" si="712"/>
        <v>1.214</v>
      </c>
      <c r="AC200" s="1163">
        <f t="shared" si="722"/>
        <v>210949.27000000002</v>
      </c>
      <c r="AD200" s="1169">
        <f t="shared" si="713"/>
        <v>1.2090000000000001</v>
      </c>
      <c r="AE200" s="1164">
        <f t="shared" si="722"/>
        <v>211894</v>
      </c>
      <c r="AF200" s="1169">
        <f t="shared" si="714"/>
        <v>2.2000000000000001E-3</v>
      </c>
      <c r="AG200" s="1163">
        <f t="shared" si="722"/>
        <v>211533.59999999998</v>
      </c>
      <c r="AH200" s="1169">
        <f t="shared" si="715"/>
        <v>2.8E-3</v>
      </c>
      <c r="AI200" s="1169"/>
      <c r="AJ200" s="1169"/>
      <c r="AK200" s="1164">
        <f t="shared" si="722"/>
        <v>284915</v>
      </c>
      <c r="AL200" s="1169">
        <f t="shared" si="716"/>
        <v>0.34460000000000002</v>
      </c>
      <c r="AM200" s="1163">
        <f t="shared" si="722"/>
        <v>160564.83000000002</v>
      </c>
      <c r="AN200" s="1169">
        <f t="shared" si="717"/>
        <v>-0.2409</v>
      </c>
      <c r="AO200" s="1169"/>
      <c r="AP200" s="1169"/>
      <c r="AQ200" s="1164">
        <f t="shared" si="722"/>
        <v>255238</v>
      </c>
      <c r="AR200" s="1169">
        <f t="shared" si="718"/>
        <v>-0.1042</v>
      </c>
      <c r="AS200" s="1169">
        <f t="shared" si="719"/>
        <v>0.76170000000000004</v>
      </c>
      <c r="AT200" s="1169">
        <f t="shared" si="720"/>
        <v>0.46079999999999999</v>
      </c>
      <c r="AU200" s="1162"/>
      <c r="AV200" s="1164">
        <f t="shared" ref="AV200:AZ200" si="723">SUM(AV196:AV199)</f>
        <v>261108</v>
      </c>
      <c r="AW200" s="1164">
        <f t="shared" si="723"/>
        <v>267114</v>
      </c>
      <c r="AX200" s="1164">
        <f t="shared" si="723"/>
        <v>273257</v>
      </c>
      <c r="AY200" s="1164">
        <f t="shared" si="723"/>
        <v>279542</v>
      </c>
      <c r="AZ200" s="1164">
        <f t="shared" si="723"/>
        <v>285972</v>
      </c>
      <c r="BA200" s="1162"/>
      <c r="BB200" s="1162"/>
      <c r="BC200" s="1162"/>
      <c r="BD200" s="1162"/>
      <c r="BE200" s="1162"/>
      <c r="BF200" s="1162"/>
      <c r="BG200" s="1162"/>
      <c r="BH200" s="1162"/>
      <c r="BI200" s="1162"/>
      <c r="BJ200" s="1162"/>
      <c r="BK200" s="1162"/>
      <c r="BL200" s="1162"/>
      <c r="BM200" s="1162"/>
      <c r="BN200" s="1162"/>
      <c r="BO200" s="1162"/>
      <c r="BP200" s="1162"/>
      <c r="BQ200" s="1162"/>
      <c r="BR200" s="1162"/>
      <c r="BS200" s="1162"/>
      <c r="BT200" s="1162"/>
      <c r="BU200" s="1162"/>
      <c r="BV200" s="1162"/>
      <c r="BW200" s="1162"/>
      <c r="BX200" s="1162"/>
      <c r="BY200" s="1162"/>
      <c r="BZ200" s="1162"/>
      <c r="CA200" s="1162"/>
      <c r="CB200" s="1162"/>
      <c r="CC200" s="1162"/>
      <c r="CD200" s="1162"/>
      <c r="CE200" s="1162"/>
      <c r="CF200" s="1162"/>
      <c r="CG200" s="1162"/>
      <c r="CH200" s="1162"/>
      <c r="CI200" s="1162"/>
      <c r="CJ200" s="1162"/>
      <c r="CK200" s="1162"/>
      <c r="CL200" s="1162"/>
      <c r="CM200" s="1162"/>
      <c r="CN200" s="1162"/>
      <c r="CO200" s="1162"/>
      <c r="CP200" s="1162"/>
      <c r="CQ200" s="1162"/>
      <c r="CR200" s="1162"/>
      <c r="CS200" s="1162"/>
      <c r="CT200" s="1162"/>
      <c r="CU200" s="1162"/>
      <c r="CV200" s="1162"/>
      <c r="CW200" s="1162"/>
      <c r="CX200" s="1162"/>
      <c r="CY200" s="1162"/>
      <c r="CZ200" s="1162"/>
      <c r="DA200" s="1162"/>
      <c r="DB200" s="1162"/>
      <c r="DC200" s="1162"/>
      <c r="DD200" s="1162"/>
      <c r="DE200" s="1162"/>
      <c r="DF200" s="1162"/>
      <c r="DG200" s="1162"/>
      <c r="DH200" s="1162"/>
      <c r="DI200" s="1162"/>
      <c r="DJ200" s="1162"/>
      <c r="DK200" s="1162"/>
      <c r="DL200" s="1162"/>
      <c r="DM200" s="1162"/>
      <c r="DN200" s="1162"/>
      <c r="DO200" s="1162"/>
      <c r="DP200" s="1162"/>
      <c r="DQ200" s="1162"/>
      <c r="DR200" s="1162"/>
      <c r="DS200" s="1162"/>
      <c r="DT200" s="1162"/>
      <c r="DU200" s="1162"/>
      <c r="DV200" s="1162"/>
      <c r="DW200" s="1162"/>
      <c r="DX200" s="1162"/>
      <c r="DY200" s="1162"/>
      <c r="DZ200" s="1162"/>
      <c r="EA200" s="1162"/>
      <c r="EB200" s="1162"/>
      <c r="EC200" s="1162"/>
      <c r="ED200" s="1162"/>
      <c r="EE200" s="1162"/>
      <c r="EF200" s="1162"/>
      <c r="EG200" s="1162"/>
      <c r="EH200" s="1162"/>
      <c r="EI200" s="1162"/>
      <c r="EJ200" s="1162"/>
      <c r="EK200" s="1162"/>
      <c r="EL200" s="1162"/>
      <c r="EM200" s="1162"/>
      <c r="EN200" s="1162"/>
      <c r="EO200" s="1162"/>
      <c r="EP200" s="1162"/>
      <c r="EQ200" s="1162"/>
      <c r="ER200" s="1162"/>
      <c r="ES200" s="1162"/>
      <c r="ET200" s="1162"/>
      <c r="EU200" s="1162"/>
      <c r="EV200" s="1162"/>
      <c r="EW200" s="1162"/>
      <c r="EX200" s="1162"/>
      <c r="EY200" s="1162"/>
      <c r="EZ200" s="1162"/>
    </row>
    <row r="201" spans="1:156" s="1165" customFormat="1" x14ac:dyDescent="0.3">
      <c r="A201" s="1162"/>
      <c r="B201" s="1162"/>
      <c r="C201" s="1163"/>
      <c r="D201" s="1163"/>
      <c r="E201" s="1163"/>
      <c r="F201" s="1164"/>
      <c r="G201" s="1163"/>
      <c r="H201" s="1163"/>
      <c r="I201" s="1164"/>
      <c r="J201" s="1163"/>
      <c r="K201" s="1163"/>
      <c r="L201" s="1164"/>
      <c r="M201" s="1163"/>
      <c r="N201" s="1163"/>
      <c r="O201" s="1164"/>
      <c r="P201" s="1163"/>
      <c r="Q201" s="1163"/>
      <c r="R201" s="1164"/>
      <c r="S201" s="1163"/>
      <c r="T201" s="1163"/>
      <c r="U201" s="1164"/>
      <c r="V201" s="1163"/>
      <c r="W201" s="1163"/>
      <c r="X201" s="1164"/>
      <c r="Y201" s="1163"/>
      <c r="Z201" s="1163"/>
      <c r="AA201" s="1164"/>
      <c r="AB201" s="1164"/>
      <c r="AC201" s="1163"/>
      <c r="AD201" s="1163"/>
      <c r="AE201" s="1164"/>
      <c r="AF201" s="1164"/>
      <c r="AG201" s="1163"/>
      <c r="AH201" s="1163"/>
      <c r="AI201" s="1163"/>
      <c r="AJ201" s="1163"/>
      <c r="AK201" s="1164"/>
      <c r="AL201" s="1164"/>
      <c r="AM201" s="1163"/>
      <c r="AN201" s="1163"/>
      <c r="AO201" s="1163"/>
      <c r="AP201" s="1163"/>
      <c r="AQ201" s="1164"/>
      <c r="AR201" s="1164"/>
      <c r="AS201" s="1162"/>
      <c r="AT201" s="1162"/>
      <c r="AU201" s="1162"/>
      <c r="AV201" s="1162"/>
      <c r="AW201" s="1162"/>
      <c r="AX201" s="1162"/>
      <c r="AY201" s="1162"/>
      <c r="AZ201" s="1162"/>
      <c r="BA201" s="1162"/>
      <c r="BB201" s="1162"/>
      <c r="BC201" s="1162"/>
      <c r="BD201" s="1162"/>
      <c r="BE201" s="1162"/>
      <c r="BF201" s="1162"/>
      <c r="BG201" s="1162"/>
      <c r="BH201" s="1162"/>
      <c r="BI201" s="1162"/>
      <c r="BJ201" s="1162"/>
      <c r="BK201" s="1162"/>
      <c r="BL201" s="1162"/>
      <c r="BM201" s="1162"/>
      <c r="BN201" s="1162"/>
      <c r="BO201" s="1162"/>
      <c r="BP201" s="1162"/>
      <c r="BQ201" s="1162"/>
      <c r="BR201" s="1162"/>
      <c r="BS201" s="1162"/>
      <c r="BT201" s="1162"/>
      <c r="BU201" s="1162"/>
      <c r="BV201" s="1162"/>
      <c r="BW201" s="1162"/>
      <c r="BX201" s="1162"/>
      <c r="BY201" s="1162"/>
      <c r="BZ201" s="1162"/>
      <c r="CA201" s="1162"/>
      <c r="CB201" s="1162"/>
      <c r="CC201" s="1162"/>
      <c r="CD201" s="1162"/>
      <c r="CE201" s="1162"/>
      <c r="CF201" s="1162"/>
      <c r="CG201" s="1162"/>
      <c r="CH201" s="1162"/>
      <c r="CI201" s="1162"/>
      <c r="CJ201" s="1162"/>
      <c r="CK201" s="1162"/>
      <c r="CL201" s="1162"/>
      <c r="CM201" s="1162"/>
      <c r="CN201" s="1162"/>
      <c r="CO201" s="1162"/>
      <c r="CP201" s="1162"/>
      <c r="CQ201" s="1162"/>
      <c r="CR201" s="1162"/>
      <c r="CS201" s="1162"/>
      <c r="CT201" s="1162"/>
      <c r="CU201" s="1162"/>
      <c r="CV201" s="1162"/>
      <c r="CW201" s="1162"/>
      <c r="CX201" s="1162"/>
      <c r="CY201" s="1162"/>
      <c r="CZ201" s="1162"/>
      <c r="DA201" s="1162"/>
      <c r="DB201" s="1162"/>
      <c r="DC201" s="1162"/>
      <c r="DD201" s="1162"/>
      <c r="DE201" s="1162"/>
      <c r="DF201" s="1162"/>
      <c r="DG201" s="1162"/>
      <c r="DH201" s="1162"/>
      <c r="DI201" s="1162"/>
      <c r="DJ201" s="1162"/>
      <c r="DK201" s="1162"/>
      <c r="DL201" s="1162"/>
      <c r="DM201" s="1162"/>
      <c r="DN201" s="1162"/>
      <c r="DO201" s="1162"/>
      <c r="DP201" s="1162"/>
      <c r="DQ201" s="1162"/>
      <c r="DR201" s="1162"/>
      <c r="DS201" s="1162"/>
      <c r="DT201" s="1162"/>
      <c r="DU201" s="1162"/>
      <c r="DV201" s="1162"/>
      <c r="DW201" s="1162"/>
      <c r="DX201" s="1162"/>
      <c r="DY201" s="1162"/>
      <c r="DZ201" s="1162"/>
      <c r="EA201" s="1162"/>
      <c r="EB201" s="1162"/>
      <c r="EC201" s="1162"/>
      <c r="ED201" s="1162"/>
      <c r="EE201" s="1162"/>
      <c r="EF201" s="1162"/>
      <c r="EG201" s="1162"/>
      <c r="EH201" s="1162"/>
      <c r="EI201" s="1162"/>
      <c r="EJ201" s="1162"/>
      <c r="EK201" s="1162"/>
      <c r="EL201" s="1162"/>
      <c r="EM201" s="1162"/>
      <c r="EN201" s="1162"/>
      <c r="EO201" s="1162"/>
      <c r="EP201" s="1162"/>
      <c r="EQ201" s="1162"/>
      <c r="ER201" s="1162"/>
      <c r="ES201" s="1162"/>
      <c r="ET201" s="1162"/>
      <c r="EU201" s="1162"/>
      <c r="EV201" s="1162"/>
      <c r="EW201" s="1162"/>
      <c r="EX201" s="1162"/>
      <c r="EY201" s="1162"/>
      <c r="EZ201" s="1162"/>
    </row>
    <row r="202" spans="1:156" s="1165" customFormat="1" x14ac:dyDescent="0.3">
      <c r="A202" s="1161" t="s">
        <v>571</v>
      </c>
      <c r="B202" s="1162"/>
      <c r="C202" s="1163"/>
      <c r="D202" s="1163"/>
      <c r="E202" s="1163"/>
      <c r="F202" s="1164"/>
      <c r="G202" s="1163"/>
      <c r="H202" s="1163"/>
      <c r="I202" s="1164"/>
      <c r="J202" s="1163"/>
      <c r="K202" s="1163"/>
      <c r="L202" s="1164"/>
      <c r="M202" s="1163"/>
      <c r="N202" s="1163"/>
      <c r="O202" s="1164"/>
      <c r="P202" s="1163"/>
      <c r="Q202" s="1163"/>
      <c r="R202" s="1164"/>
      <c r="S202" s="1163"/>
      <c r="T202" s="1163"/>
      <c r="U202" s="1164"/>
      <c r="V202" s="1163"/>
      <c r="W202" s="1163"/>
      <c r="X202" s="1164"/>
      <c r="Y202" s="1163"/>
      <c r="Z202" s="1163"/>
      <c r="AA202" s="1164"/>
      <c r="AB202" s="1164"/>
      <c r="AC202" s="1163"/>
      <c r="AD202" s="1163"/>
      <c r="AE202" s="1164"/>
      <c r="AF202" s="1164"/>
      <c r="AG202" s="1163"/>
      <c r="AH202" s="1163"/>
      <c r="AI202" s="1163"/>
      <c r="AJ202" s="1163"/>
      <c r="AK202" s="1164"/>
      <c r="AL202" s="1164"/>
      <c r="AM202" s="1163"/>
      <c r="AN202" s="1163"/>
      <c r="AO202" s="1163"/>
      <c r="AP202" s="1163"/>
      <c r="AQ202" s="1164"/>
      <c r="AR202" s="1164"/>
      <c r="AS202" s="1162"/>
      <c r="AT202" s="1162"/>
      <c r="AU202" s="1162"/>
      <c r="AV202" s="1162"/>
      <c r="AW202" s="1162"/>
      <c r="AX202" s="1162"/>
      <c r="AY202" s="1162"/>
      <c r="AZ202" s="1162"/>
      <c r="BA202" s="1162"/>
      <c r="BB202" s="1162"/>
      <c r="BC202" s="1162"/>
      <c r="BD202" s="1162"/>
      <c r="BE202" s="1162"/>
      <c r="BF202" s="1162"/>
      <c r="BG202" s="1162"/>
      <c r="BH202" s="1162"/>
      <c r="BI202" s="1162"/>
      <c r="BJ202" s="1162"/>
      <c r="BK202" s="1162"/>
      <c r="BL202" s="1162"/>
      <c r="BM202" s="1162"/>
      <c r="BN202" s="1162"/>
      <c r="BO202" s="1162"/>
      <c r="BP202" s="1162"/>
      <c r="BQ202" s="1162"/>
      <c r="BR202" s="1162"/>
      <c r="BS202" s="1162"/>
      <c r="BT202" s="1162"/>
      <c r="BU202" s="1162"/>
      <c r="BV202" s="1162"/>
      <c r="BW202" s="1162"/>
      <c r="BX202" s="1162"/>
      <c r="BY202" s="1162"/>
      <c r="BZ202" s="1162"/>
      <c r="CA202" s="1162"/>
      <c r="CB202" s="1162"/>
      <c r="CC202" s="1162"/>
      <c r="CD202" s="1162"/>
      <c r="CE202" s="1162"/>
      <c r="CF202" s="1162"/>
      <c r="CG202" s="1162"/>
      <c r="CH202" s="1162"/>
      <c r="CI202" s="1162"/>
      <c r="CJ202" s="1162"/>
      <c r="CK202" s="1162"/>
      <c r="CL202" s="1162"/>
      <c r="CM202" s="1162"/>
      <c r="CN202" s="1162"/>
      <c r="CO202" s="1162"/>
      <c r="CP202" s="1162"/>
      <c r="CQ202" s="1162"/>
      <c r="CR202" s="1162"/>
      <c r="CS202" s="1162"/>
      <c r="CT202" s="1162"/>
      <c r="CU202" s="1162"/>
      <c r="CV202" s="1162"/>
      <c r="CW202" s="1162"/>
      <c r="CX202" s="1162"/>
      <c r="CY202" s="1162"/>
      <c r="CZ202" s="1162"/>
      <c r="DA202" s="1162"/>
      <c r="DB202" s="1162"/>
      <c r="DC202" s="1162"/>
      <c r="DD202" s="1162"/>
      <c r="DE202" s="1162"/>
      <c r="DF202" s="1162"/>
      <c r="DG202" s="1162"/>
      <c r="DH202" s="1162"/>
      <c r="DI202" s="1162"/>
      <c r="DJ202" s="1162"/>
      <c r="DK202" s="1162"/>
      <c r="DL202" s="1162"/>
      <c r="DM202" s="1162"/>
      <c r="DN202" s="1162"/>
      <c r="DO202" s="1162"/>
      <c r="DP202" s="1162"/>
      <c r="DQ202" s="1162"/>
      <c r="DR202" s="1162"/>
      <c r="DS202" s="1162"/>
      <c r="DT202" s="1162"/>
      <c r="DU202" s="1162"/>
      <c r="DV202" s="1162"/>
      <c r="DW202" s="1162"/>
      <c r="DX202" s="1162"/>
      <c r="DY202" s="1162"/>
      <c r="DZ202" s="1162"/>
      <c r="EA202" s="1162"/>
      <c r="EB202" s="1162"/>
      <c r="EC202" s="1162"/>
      <c r="ED202" s="1162"/>
      <c r="EE202" s="1162"/>
      <c r="EF202" s="1162"/>
      <c r="EG202" s="1162"/>
      <c r="EH202" s="1162"/>
      <c r="EI202" s="1162"/>
      <c r="EJ202" s="1162"/>
      <c r="EK202" s="1162"/>
      <c r="EL202" s="1162"/>
      <c r="EM202" s="1162"/>
      <c r="EN202" s="1162"/>
      <c r="EO202" s="1162"/>
      <c r="EP202" s="1162"/>
      <c r="EQ202" s="1162"/>
      <c r="ER202" s="1162"/>
      <c r="ES202" s="1162"/>
      <c r="ET202" s="1162"/>
      <c r="EU202" s="1162"/>
      <c r="EV202" s="1162"/>
      <c r="EW202" s="1162"/>
      <c r="EX202" s="1162"/>
      <c r="EY202" s="1162"/>
      <c r="EZ202" s="1162"/>
    </row>
    <row r="203" spans="1:156" s="1165" customFormat="1" x14ac:dyDescent="0.3">
      <c r="A203" s="1162"/>
      <c r="B203" s="1162" t="s">
        <v>1343</v>
      </c>
      <c r="C203" s="1166">
        <f>+'600-700 Airport Debt'!C21</f>
        <v>0</v>
      </c>
      <c r="D203" s="1166">
        <f>+'600-700 Airport Debt'!D21</f>
        <v>0</v>
      </c>
      <c r="E203" s="1173" t="e">
        <f t="shared" ref="E203:E204" si="724">ROUND(((+D203-C203)/C203),4)</f>
        <v>#DIV/0!</v>
      </c>
      <c r="F203" s="1167"/>
      <c r="G203" s="1166">
        <f>+'600-700 Airport Debt'!E21</f>
        <v>0</v>
      </c>
      <c r="H203" s="1173" t="e">
        <f t="shared" ref="H203:H204" si="725">ROUND(((+G203-D203)/D203),4)</f>
        <v>#DIV/0!</v>
      </c>
      <c r="I203" s="1167"/>
      <c r="J203" s="1166">
        <f>+'600-700 Airport Debt'!F21</f>
        <v>0</v>
      </c>
      <c r="K203" s="1173" t="e">
        <f>ROUND(((+J203-G203)/G203),4)</f>
        <v>#DIV/0!</v>
      </c>
      <c r="L203" s="1167"/>
      <c r="M203" s="1166">
        <f>+'600-700 Airport Debt'!G21</f>
        <v>0</v>
      </c>
      <c r="N203" s="1173" t="e">
        <f>ROUND(((+M203-J203)/J203),4)</f>
        <v>#DIV/0!</v>
      </c>
      <c r="O203" s="1167"/>
      <c r="P203" s="1166">
        <f>+'600-700 Airport Debt'!H21</f>
        <v>0</v>
      </c>
      <c r="Q203" s="1173" t="e">
        <f>ROUND(((+P203-M203)/M203),4)</f>
        <v>#DIV/0!</v>
      </c>
      <c r="R203" s="1167"/>
      <c r="S203" s="1166">
        <f>+'600-700 Airport Debt'!I21</f>
        <v>0</v>
      </c>
      <c r="T203" s="1173" t="e">
        <f>ROUND(((+S203-P203)/P203),4)</f>
        <v>#DIV/0!</v>
      </c>
      <c r="U203" s="1167"/>
      <c r="V203" s="1166">
        <f>+'600-700 Airport Debt'!J21</f>
        <v>0</v>
      </c>
      <c r="W203" s="1173" t="e">
        <f>ROUND(((+V203-S203)/S203),4)</f>
        <v>#DIV/0!</v>
      </c>
      <c r="X203" s="1167">
        <f>+'600-700 Airport Debt'!K21</f>
        <v>0</v>
      </c>
      <c r="Y203" s="1166">
        <f>+'600-700 Airport Debt'!L21</f>
        <v>0</v>
      </c>
      <c r="Z203" s="1173" t="e">
        <f t="shared" ref="Z203:Z204" si="726">ROUND(((+Y203-V203)/V203),4)</f>
        <v>#DIV/0!</v>
      </c>
      <c r="AA203" s="1167">
        <f>+'600-700 Airport Debt'!M21</f>
        <v>3229.55</v>
      </c>
      <c r="AB203" s="1173" t="e">
        <f t="shared" ref="AB203:AB204" si="727">ROUND(((+AA203-X203)/X203),4)</f>
        <v>#DIV/0!</v>
      </c>
      <c r="AC203" s="1166">
        <f>+'600-700 Airport Debt'!N21</f>
        <v>3229.55</v>
      </c>
      <c r="AD203" s="1173" t="e">
        <f t="shared" ref="AD203:AD204" si="728">ROUND(((+AC203-Y203)/Y203),4)</f>
        <v>#DIV/0!</v>
      </c>
      <c r="AE203" s="1167">
        <f>+'600-700 Airport Debt'!O21</f>
        <v>101120</v>
      </c>
      <c r="AF203" s="1173">
        <f t="shared" ref="AF203:AF204" si="729">ROUND(((+AE203-AA203)/AA203),4)</f>
        <v>30.3109</v>
      </c>
      <c r="AG203" s="1166">
        <f>+'600-700 Airport Debt'!P21</f>
        <v>101119.38</v>
      </c>
      <c r="AH203" s="1173">
        <f t="shared" ref="AH203:AH204" si="730">ROUND(((+AG203-AC203)/AC203),4)</f>
        <v>30.310700000000001</v>
      </c>
      <c r="AI203" s="1173"/>
      <c r="AJ203" s="1173"/>
      <c r="AK203" s="1167">
        <f>+'600-700 Airport Debt'!Q21</f>
        <v>101535</v>
      </c>
      <c r="AL203" s="1173">
        <f t="shared" ref="AL203:AL204" si="731">ROUND(((+AK203-AE203)/AE203),4)</f>
        <v>4.1000000000000003E-3</v>
      </c>
      <c r="AM203" s="1166">
        <f>+'600-700 Airport Debt'!R21</f>
        <v>84937.5</v>
      </c>
      <c r="AN203" s="1173">
        <f t="shared" ref="AN203:AN204" si="732">ROUND(((+AM203-AG203)/AG203),4)</f>
        <v>-0.16</v>
      </c>
      <c r="AO203" s="1173"/>
      <c r="AP203" s="1173"/>
      <c r="AQ203" s="1167">
        <f>+'600-700 Airport Debt'!S21</f>
        <v>102775</v>
      </c>
      <c r="AR203" s="1173">
        <f t="shared" ref="AR203:AR204" si="733">ROUND(((+AQ203-AK203)/AK203),4)</f>
        <v>1.2200000000000001E-2</v>
      </c>
      <c r="AS203" s="1173" t="e">
        <f t="shared" ref="AS203:AS204" si="734">ROUND((((+AQ203-U203)/U203)/5),4)</f>
        <v>#DIV/0!</v>
      </c>
      <c r="AT203" s="1173" t="e">
        <f t="shared" ref="AT203:AT204" si="735">ROUND((((+AQ203-F203)/F203)/10),4)</f>
        <v>#DIV/0!</v>
      </c>
      <c r="AU203" s="1162"/>
      <c r="AV203" s="1167">
        <f>+'600-700 Airport Debt'!Z21</f>
        <v>99935</v>
      </c>
      <c r="AW203" s="1167">
        <f>+'600-700 Airport Debt'!AA21</f>
        <v>101015</v>
      </c>
      <c r="AX203" s="1167">
        <f>+'600-700 Airport Debt'!AB21</f>
        <v>97035</v>
      </c>
      <c r="AY203" s="1167">
        <f>+'600-700 Airport Debt'!AC21</f>
        <v>102895</v>
      </c>
      <c r="AZ203" s="1167">
        <f>+'600-700 Airport Debt'!AD21</f>
        <v>98595</v>
      </c>
      <c r="BA203" s="1162" t="s">
        <v>2270</v>
      </c>
      <c r="BB203" s="1162"/>
      <c r="BC203" s="1162"/>
      <c r="BD203" s="1162"/>
      <c r="BE203" s="1162"/>
      <c r="BF203" s="1162"/>
      <c r="BG203" s="1162"/>
      <c r="BH203" s="1162"/>
      <c r="BI203" s="1162"/>
      <c r="BJ203" s="1162"/>
      <c r="BK203" s="1162"/>
      <c r="BL203" s="1162"/>
      <c r="BM203" s="1162"/>
      <c r="BN203" s="1162"/>
      <c r="BO203" s="1162"/>
      <c r="BP203" s="1162"/>
      <c r="BQ203" s="1162"/>
      <c r="BR203" s="1162"/>
      <c r="BS203" s="1162"/>
      <c r="BT203" s="1162"/>
      <c r="BU203" s="1162"/>
      <c r="BV203" s="1162"/>
      <c r="BW203" s="1162"/>
      <c r="BX203" s="1162"/>
      <c r="BY203" s="1162"/>
      <c r="BZ203" s="1162"/>
      <c r="CA203" s="1162"/>
      <c r="CB203" s="1162"/>
      <c r="CC203" s="1162"/>
      <c r="CD203" s="1162"/>
      <c r="CE203" s="1162"/>
      <c r="CF203" s="1162"/>
      <c r="CG203" s="1162"/>
      <c r="CH203" s="1162"/>
      <c r="CI203" s="1162"/>
      <c r="CJ203" s="1162"/>
      <c r="CK203" s="1162"/>
      <c r="CL203" s="1162"/>
      <c r="CM203" s="1162"/>
      <c r="CN203" s="1162"/>
      <c r="CO203" s="1162"/>
      <c r="CP203" s="1162"/>
      <c r="CQ203" s="1162"/>
      <c r="CR203" s="1162"/>
      <c r="CS203" s="1162"/>
      <c r="CT203" s="1162"/>
      <c r="CU203" s="1162"/>
      <c r="CV203" s="1162"/>
      <c r="CW203" s="1162"/>
      <c r="CX203" s="1162"/>
      <c r="CY203" s="1162"/>
      <c r="CZ203" s="1162"/>
      <c r="DA203" s="1162"/>
      <c r="DB203" s="1162"/>
      <c r="DC203" s="1162"/>
      <c r="DD203" s="1162"/>
      <c r="DE203" s="1162"/>
      <c r="DF203" s="1162"/>
      <c r="DG203" s="1162"/>
      <c r="DH203" s="1162"/>
      <c r="DI203" s="1162"/>
      <c r="DJ203" s="1162"/>
      <c r="DK203" s="1162"/>
      <c r="DL203" s="1162"/>
      <c r="DM203" s="1162"/>
      <c r="DN203" s="1162"/>
      <c r="DO203" s="1162"/>
      <c r="DP203" s="1162"/>
      <c r="DQ203" s="1162"/>
      <c r="DR203" s="1162"/>
      <c r="DS203" s="1162"/>
      <c r="DT203" s="1162"/>
      <c r="DU203" s="1162"/>
      <c r="DV203" s="1162"/>
      <c r="DW203" s="1162"/>
      <c r="DX203" s="1162"/>
      <c r="DY203" s="1162"/>
      <c r="DZ203" s="1162"/>
      <c r="EA203" s="1162"/>
      <c r="EB203" s="1162"/>
      <c r="EC203" s="1162"/>
      <c r="ED203" s="1162"/>
      <c r="EE203" s="1162"/>
      <c r="EF203" s="1162"/>
      <c r="EG203" s="1162"/>
      <c r="EH203" s="1162"/>
      <c r="EI203" s="1162"/>
      <c r="EJ203" s="1162"/>
      <c r="EK203" s="1162"/>
      <c r="EL203" s="1162"/>
      <c r="EM203" s="1162"/>
      <c r="EN203" s="1162"/>
      <c r="EO203" s="1162"/>
      <c r="EP203" s="1162"/>
      <c r="EQ203" s="1162"/>
      <c r="ER203" s="1162"/>
      <c r="ES203" s="1162"/>
      <c r="ET203" s="1162"/>
      <c r="EU203" s="1162"/>
      <c r="EV203" s="1162"/>
      <c r="EW203" s="1162"/>
      <c r="EX203" s="1162"/>
      <c r="EY203" s="1162"/>
      <c r="EZ203" s="1162"/>
    </row>
    <row r="204" spans="1:156" s="1165" customFormat="1" x14ac:dyDescent="0.3">
      <c r="A204" s="1162"/>
      <c r="B204" s="1162" t="s">
        <v>887</v>
      </c>
      <c r="C204" s="1163">
        <f>SUM(C202:C203)</f>
        <v>0</v>
      </c>
      <c r="D204" s="1163">
        <f t="shared" ref="D204:AQ204" si="736">SUM(D202:D203)</f>
        <v>0</v>
      </c>
      <c r="E204" s="1169" t="e">
        <f t="shared" si="724"/>
        <v>#DIV/0!</v>
      </c>
      <c r="F204" s="1164">
        <f t="shared" si="736"/>
        <v>0</v>
      </c>
      <c r="G204" s="1163">
        <f t="shared" si="736"/>
        <v>0</v>
      </c>
      <c r="H204" s="1169" t="e">
        <f t="shared" si="725"/>
        <v>#DIV/0!</v>
      </c>
      <c r="I204" s="1164">
        <f t="shared" si="736"/>
        <v>0</v>
      </c>
      <c r="J204" s="1163">
        <f t="shared" si="736"/>
        <v>0</v>
      </c>
      <c r="K204" s="1169" t="e">
        <f>ROUND(((+J204-G204)/G204),4)</f>
        <v>#DIV/0!</v>
      </c>
      <c r="L204" s="1164">
        <f t="shared" si="736"/>
        <v>0</v>
      </c>
      <c r="M204" s="1163">
        <f t="shared" si="736"/>
        <v>0</v>
      </c>
      <c r="N204" s="1169" t="e">
        <f>ROUND(((+M204-J204)/J204),4)</f>
        <v>#DIV/0!</v>
      </c>
      <c r="O204" s="1164">
        <f t="shared" si="736"/>
        <v>0</v>
      </c>
      <c r="P204" s="1163">
        <f t="shared" si="736"/>
        <v>0</v>
      </c>
      <c r="Q204" s="1169" t="e">
        <f>ROUND(((+P204-M204)/M204),4)</f>
        <v>#DIV/0!</v>
      </c>
      <c r="R204" s="1164"/>
      <c r="S204" s="1163">
        <f t="shared" si="736"/>
        <v>0</v>
      </c>
      <c r="T204" s="1169" t="e">
        <f>ROUND(((+S204-P204)/P204),4)</f>
        <v>#DIV/0!</v>
      </c>
      <c r="U204" s="1164"/>
      <c r="V204" s="1163">
        <f t="shared" si="736"/>
        <v>0</v>
      </c>
      <c r="W204" s="1169" t="e">
        <f>ROUND(((+V204-S204)/S204),4)</f>
        <v>#DIV/0!</v>
      </c>
      <c r="X204" s="1164">
        <f t="shared" si="736"/>
        <v>0</v>
      </c>
      <c r="Y204" s="1163">
        <f t="shared" si="736"/>
        <v>0</v>
      </c>
      <c r="Z204" s="1169" t="e">
        <f t="shared" si="726"/>
        <v>#DIV/0!</v>
      </c>
      <c r="AA204" s="1164">
        <f t="shared" si="736"/>
        <v>3229.55</v>
      </c>
      <c r="AB204" s="1169" t="e">
        <f t="shared" si="727"/>
        <v>#DIV/0!</v>
      </c>
      <c r="AC204" s="1163">
        <f t="shared" si="736"/>
        <v>3229.55</v>
      </c>
      <c r="AD204" s="1169" t="e">
        <f t="shared" si="728"/>
        <v>#DIV/0!</v>
      </c>
      <c r="AE204" s="1164">
        <f t="shared" si="736"/>
        <v>101120</v>
      </c>
      <c r="AF204" s="1169">
        <f t="shared" si="729"/>
        <v>30.3109</v>
      </c>
      <c r="AG204" s="1163">
        <f t="shared" si="736"/>
        <v>101119.38</v>
      </c>
      <c r="AH204" s="1169">
        <f t="shared" si="730"/>
        <v>30.310700000000001</v>
      </c>
      <c r="AI204" s="1169"/>
      <c r="AJ204" s="1169"/>
      <c r="AK204" s="1164">
        <f t="shared" si="736"/>
        <v>101535</v>
      </c>
      <c r="AL204" s="1169">
        <f t="shared" si="731"/>
        <v>4.1000000000000003E-3</v>
      </c>
      <c r="AM204" s="1163">
        <f t="shared" si="736"/>
        <v>84937.5</v>
      </c>
      <c r="AN204" s="1169">
        <f t="shared" si="732"/>
        <v>-0.16</v>
      </c>
      <c r="AO204" s="1169"/>
      <c r="AP204" s="1169"/>
      <c r="AQ204" s="1164">
        <f t="shared" si="736"/>
        <v>102775</v>
      </c>
      <c r="AR204" s="1169">
        <f t="shared" si="733"/>
        <v>1.2200000000000001E-2</v>
      </c>
      <c r="AS204" s="1169" t="e">
        <f t="shared" si="734"/>
        <v>#DIV/0!</v>
      </c>
      <c r="AT204" s="1169" t="e">
        <f t="shared" si="735"/>
        <v>#DIV/0!</v>
      </c>
      <c r="AU204" s="1162"/>
      <c r="AV204" s="1164">
        <f t="shared" ref="AV204:AZ204" si="737">SUM(AV202:AV203)</f>
        <v>99935</v>
      </c>
      <c r="AW204" s="1164">
        <f t="shared" si="737"/>
        <v>101015</v>
      </c>
      <c r="AX204" s="1164">
        <f t="shared" si="737"/>
        <v>97035</v>
      </c>
      <c r="AY204" s="1164">
        <f t="shared" si="737"/>
        <v>102895</v>
      </c>
      <c r="AZ204" s="1164">
        <f t="shared" si="737"/>
        <v>98595</v>
      </c>
      <c r="BA204" s="1162"/>
      <c r="BB204" s="1162"/>
      <c r="BC204" s="1162"/>
      <c r="BD204" s="1162"/>
      <c r="BE204" s="1162"/>
      <c r="BF204" s="1162"/>
      <c r="BG204" s="1162"/>
      <c r="BH204" s="1162"/>
      <c r="BI204" s="1162"/>
      <c r="BJ204" s="1162"/>
      <c r="BK204" s="1162"/>
      <c r="BL204" s="1162"/>
      <c r="BM204" s="1162"/>
      <c r="BN204" s="1162"/>
      <c r="BO204" s="1162"/>
      <c r="BP204" s="1162"/>
      <c r="BQ204" s="1162"/>
      <c r="BR204" s="1162"/>
      <c r="BS204" s="1162"/>
      <c r="BT204" s="1162"/>
      <c r="BU204" s="1162"/>
      <c r="BV204" s="1162"/>
      <c r="BW204" s="1162"/>
      <c r="BX204" s="1162"/>
      <c r="BY204" s="1162"/>
      <c r="BZ204" s="1162"/>
      <c r="CA204" s="1162"/>
      <c r="CB204" s="1162"/>
      <c r="CC204" s="1162"/>
      <c r="CD204" s="1162"/>
      <c r="CE204" s="1162"/>
      <c r="CF204" s="1162"/>
      <c r="CG204" s="1162"/>
      <c r="CH204" s="1162"/>
      <c r="CI204" s="1162"/>
      <c r="CJ204" s="1162"/>
      <c r="CK204" s="1162"/>
      <c r="CL204" s="1162"/>
      <c r="CM204" s="1162"/>
      <c r="CN204" s="1162"/>
      <c r="CO204" s="1162"/>
      <c r="CP204" s="1162"/>
      <c r="CQ204" s="1162"/>
      <c r="CR204" s="1162"/>
      <c r="CS204" s="1162"/>
      <c r="CT204" s="1162"/>
      <c r="CU204" s="1162"/>
      <c r="CV204" s="1162"/>
      <c r="CW204" s="1162"/>
      <c r="CX204" s="1162"/>
      <c r="CY204" s="1162"/>
      <c r="CZ204" s="1162"/>
      <c r="DA204" s="1162"/>
      <c r="DB204" s="1162"/>
      <c r="DC204" s="1162"/>
      <c r="DD204" s="1162"/>
      <c r="DE204" s="1162"/>
      <c r="DF204" s="1162"/>
      <c r="DG204" s="1162"/>
      <c r="DH204" s="1162"/>
      <c r="DI204" s="1162"/>
      <c r="DJ204" s="1162"/>
      <c r="DK204" s="1162"/>
      <c r="DL204" s="1162"/>
      <c r="DM204" s="1162"/>
      <c r="DN204" s="1162"/>
      <c r="DO204" s="1162"/>
      <c r="DP204" s="1162"/>
      <c r="DQ204" s="1162"/>
      <c r="DR204" s="1162"/>
      <c r="DS204" s="1162"/>
      <c r="DT204" s="1162"/>
      <c r="DU204" s="1162"/>
      <c r="DV204" s="1162"/>
      <c r="DW204" s="1162"/>
      <c r="DX204" s="1162"/>
      <c r="DY204" s="1162"/>
      <c r="DZ204" s="1162"/>
      <c r="EA204" s="1162"/>
      <c r="EB204" s="1162"/>
      <c r="EC204" s="1162"/>
      <c r="ED204" s="1162"/>
      <c r="EE204" s="1162"/>
      <c r="EF204" s="1162"/>
      <c r="EG204" s="1162"/>
      <c r="EH204" s="1162"/>
      <c r="EI204" s="1162"/>
      <c r="EJ204" s="1162"/>
      <c r="EK204" s="1162"/>
      <c r="EL204" s="1162"/>
      <c r="EM204" s="1162"/>
      <c r="EN204" s="1162"/>
      <c r="EO204" s="1162"/>
      <c r="EP204" s="1162"/>
      <c r="EQ204" s="1162"/>
      <c r="ER204" s="1162"/>
      <c r="ES204" s="1162"/>
      <c r="ET204" s="1162"/>
      <c r="EU204" s="1162"/>
      <c r="EV204" s="1162"/>
      <c r="EW204" s="1162"/>
      <c r="EX204" s="1162"/>
      <c r="EY204" s="1162"/>
      <c r="EZ204" s="1162"/>
    </row>
    <row r="205" spans="1:156" s="1165" customFormat="1" x14ac:dyDescent="0.3">
      <c r="A205" s="1162"/>
      <c r="B205" s="1162"/>
      <c r="C205" s="1163"/>
      <c r="D205" s="1163"/>
      <c r="E205" s="1163"/>
      <c r="F205" s="1164"/>
      <c r="G205" s="1163"/>
      <c r="H205" s="1163"/>
      <c r="I205" s="1164"/>
      <c r="J205" s="1163"/>
      <c r="K205" s="1163"/>
      <c r="L205" s="1164"/>
      <c r="M205" s="1163"/>
      <c r="N205" s="1163"/>
      <c r="O205" s="1164"/>
      <c r="P205" s="1163"/>
      <c r="Q205" s="1163"/>
      <c r="R205" s="1164"/>
      <c r="S205" s="1163"/>
      <c r="T205" s="1163"/>
      <c r="U205" s="1164"/>
      <c r="V205" s="1163"/>
      <c r="W205" s="1163"/>
      <c r="X205" s="1164"/>
      <c r="Y205" s="1163"/>
      <c r="Z205" s="1163"/>
      <c r="AA205" s="1164"/>
      <c r="AB205" s="1164"/>
      <c r="AC205" s="1163"/>
      <c r="AD205" s="1163"/>
      <c r="AE205" s="1164"/>
      <c r="AF205" s="1164"/>
      <c r="AG205" s="1163"/>
      <c r="AH205" s="1163"/>
      <c r="AI205" s="1163"/>
      <c r="AJ205" s="1163"/>
      <c r="AK205" s="1164"/>
      <c r="AL205" s="1164"/>
      <c r="AM205" s="1163"/>
      <c r="AN205" s="1163"/>
      <c r="AO205" s="1163"/>
      <c r="AP205" s="1163"/>
      <c r="AQ205" s="1164"/>
      <c r="AR205" s="1164"/>
      <c r="AS205" s="1162"/>
      <c r="AT205" s="1162"/>
      <c r="AU205" s="1162"/>
      <c r="AV205" s="1162"/>
      <c r="AW205" s="1162"/>
      <c r="AX205" s="1162"/>
      <c r="AY205" s="1162"/>
      <c r="AZ205" s="1162"/>
      <c r="BA205" s="1162"/>
      <c r="BB205" s="1162"/>
      <c r="BC205" s="1162"/>
      <c r="BD205" s="1162"/>
      <c r="BE205" s="1162"/>
      <c r="BF205" s="1162"/>
      <c r="BG205" s="1162"/>
      <c r="BH205" s="1162"/>
      <c r="BI205" s="1162"/>
      <c r="BJ205" s="1162"/>
      <c r="BK205" s="1162"/>
      <c r="BL205" s="1162"/>
      <c r="BM205" s="1162"/>
      <c r="BN205" s="1162"/>
      <c r="BO205" s="1162"/>
      <c r="BP205" s="1162"/>
      <c r="BQ205" s="1162"/>
      <c r="BR205" s="1162"/>
      <c r="BS205" s="1162"/>
      <c r="BT205" s="1162"/>
      <c r="BU205" s="1162"/>
      <c r="BV205" s="1162"/>
      <c r="BW205" s="1162"/>
      <c r="BX205" s="1162"/>
      <c r="BY205" s="1162"/>
      <c r="BZ205" s="1162"/>
      <c r="CA205" s="1162"/>
      <c r="CB205" s="1162"/>
      <c r="CC205" s="1162"/>
      <c r="CD205" s="1162"/>
      <c r="CE205" s="1162"/>
      <c r="CF205" s="1162"/>
      <c r="CG205" s="1162"/>
      <c r="CH205" s="1162"/>
      <c r="CI205" s="1162"/>
      <c r="CJ205" s="1162"/>
      <c r="CK205" s="1162"/>
      <c r="CL205" s="1162"/>
      <c r="CM205" s="1162"/>
      <c r="CN205" s="1162"/>
      <c r="CO205" s="1162"/>
      <c r="CP205" s="1162"/>
      <c r="CQ205" s="1162"/>
      <c r="CR205" s="1162"/>
      <c r="CS205" s="1162"/>
      <c r="CT205" s="1162"/>
      <c r="CU205" s="1162"/>
      <c r="CV205" s="1162"/>
      <c r="CW205" s="1162"/>
      <c r="CX205" s="1162"/>
      <c r="CY205" s="1162"/>
      <c r="CZ205" s="1162"/>
      <c r="DA205" s="1162"/>
      <c r="DB205" s="1162"/>
      <c r="DC205" s="1162"/>
      <c r="DD205" s="1162"/>
      <c r="DE205" s="1162"/>
      <c r="DF205" s="1162"/>
      <c r="DG205" s="1162"/>
      <c r="DH205" s="1162"/>
      <c r="DI205" s="1162"/>
      <c r="DJ205" s="1162"/>
      <c r="DK205" s="1162"/>
      <c r="DL205" s="1162"/>
      <c r="DM205" s="1162"/>
      <c r="DN205" s="1162"/>
      <c r="DO205" s="1162"/>
      <c r="DP205" s="1162"/>
      <c r="DQ205" s="1162"/>
      <c r="DR205" s="1162"/>
      <c r="DS205" s="1162"/>
      <c r="DT205" s="1162"/>
      <c r="DU205" s="1162"/>
      <c r="DV205" s="1162"/>
      <c r="DW205" s="1162"/>
      <c r="DX205" s="1162"/>
      <c r="DY205" s="1162"/>
      <c r="DZ205" s="1162"/>
      <c r="EA205" s="1162"/>
      <c r="EB205" s="1162"/>
      <c r="EC205" s="1162"/>
      <c r="ED205" s="1162"/>
      <c r="EE205" s="1162"/>
      <c r="EF205" s="1162"/>
      <c r="EG205" s="1162"/>
      <c r="EH205" s="1162"/>
      <c r="EI205" s="1162"/>
      <c r="EJ205" s="1162"/>
      <c r="EK205" s="1162"/>
      <c r="EL205" s="1162"/>
      <c r="EM205" s="1162"/>
      <c r="EN205" s="1162"/>
      <c r="EO205" s="1162"/>
      <c r="EP205" s="1162"/>
      <c r="EQ205" s="1162"/>
      <c r="ER205" s="1162"/>
      <c r="ES205" s="1162"/>
      <c r="ET205" s="1162"/>
      <c r="EU205" s="1162"/>
      <c r="EV205" s="1162"/>
      <c r="EW205" s="1162"/>
      <c r="EX205" s="1162"/>
      <c r="EY205" s="1162"/>
      <c r="EZ205" s="1162"/>
    </row>
    <row r="206" spans="1:156" s="1165" customFormat="1" x14ac:dyDescent="0.3">
      <c r="A206" s="1161" t="s">
        <v>572</v>
      </c>
      <c r="B206" s="1162"/>
      <c r="C206" s="1163"/>
      <c r="D206" s="1163"/>
      <c r="E206" s="1163"/>
      <c r="F206" s="1164"/>
      <c r="G206" s="1163"/>
      <c r="H206" s="1163"/>
      <c r="I206" s="1164"/>
      <c r="J206" s="1163"/>
      <c r="K206" s="1163"/>
      <c r="L206" s="1164"/>
      <c r="M206" s="1163"/>
      <c r="N206" s="1163"/>
      <c r="O206" s="1164"/>
      <c r="P206" s="1163"/>
      <c r="Q206" s="1163"/>
      <c r="R206" s="1164"/>
      <c r="S206" s="1163"/>
      <c r="T206" s="1163"/>
      <c r="U206" s="1164"/>
      <c r="V206" s="1163"/>
      <c r="W206" s="1163"/>
      <c r="X206" s="1164"/>
      <c r="Y206" s="1163"/>
      <c r="Z206" s="1163"/>
      <c r="AA206" s="1164"/>
      <c r="AB206" s="1164"/>
      <c r="AC206" s="1163"/>
      <c r="AD206" s="1163"/>
      <c r="AE206" s="1164"/>
      <c r="AF206" s="1164"/>
      <c r="AG206" s="1163"/>
      <c r="AH206" s="1163"/>
      <c r="AI206" s="1163"/>
      <c r="AJ206" s="1163"/>
      <c r="AK206" s="1164"/>
      <c r="AL206" s="1164"/>
      <c r="AM206" s="1163"/>
      <c r="AN206" s="1163"/>
      <c r="AO206" s="1163"/>
      <c r="AP206" s="1163"/>
      <c r="AQ206" s="1164"/>
      <c r="AR206" s="1164"/>
      <c r="AS206" s="1162"/>
      <c r="AT206" s="1162"/>
      <c r="AU206" s="1162"/>
      <c r="AV206" s="1162"/>
      <c r="AW206" s="1162"/>
      <c r="AX206" s="1162"/>
      <c r="AY206" s="1162"/>
      <c r="AZ206" s="1162"/>
      <c r="BA206" s="1162"/>
      <c r="BB206" s="1162"/>
      <c r="BC206" s="1162"/>
      <c r="BD206" s="1162"/>
      <c r="BE206" s="1162"/>
      <c r="BF206" s="1162"/>
      <c r="BG206" s="1162"/>
      <c r="BH206" s="1162"/>
      <c r="BI206" s="1162"/>
      <c r="BJ206" s="1162"/>
      <c r="BK206" s="1162"/>
      <c r="BL206" s="1162"/>
      <c r="BM206" s="1162"/>
      <c r="BN206" s="1162"/>
      <c r="BO206" s="1162"/>
      <c r="BP206" s="1162"/>
      <c r="BQ206" s="1162"/>
      <c r="BR206" s="1162"/>
      <c r="BS206" s="1162"/>
      <c r="BT206" s="1162"/>
      <c r="BU206" s="1162"/>
      <c r="BV206" s="1162"/>
      <c r="BW206" s="1162"/>
      <c r="BX206" s="1162"/>
      <c r="BY206" s="1162"/>
      <c r="BZ206" s="1162"/>
      <c r="CA206" s="1162"/>
      <c r="CB206" s="1162"/>
      <c r="CC206" s="1162"/>
      <c r="CD206" s="1162"/>
      <c r="CE206" s="1162"/>
      <c r="CF206" s="1162"/>
      <c r="CG206" s="1162"/>
      <c r="CH206" s="1162"/>
      <c r="CI206" s="1162"/>
      <c r="CJ206" s="1162"/>
      <c r="CK206" s="1162"/>
      <c r="CL206" s="1162"/>
      <c r="CM206" s="1162"/>
      <c r="CN206" s="1162"/>
      <c r="CO206" s="1162"/>
      <c r="CP206" s="1162"/>
      <c r="CQ206" s="1162"/>
      <c r="CR206" s="1162"/>
      <c r="CS206" s="1162"/>
      <c r="CT206" s="1162"/>
      <c r="CU206" s="1162"/>
      <c r="CV206" s="1162"/>
      <c r="CW206" s="1162"/>
      <c r="CX206" s="1162"/>
      <c r="CY206" s="1162"/>
      <c r="CZ206" s="1162"/>
      <c r="DA206" s="1162"/>
      <c r="DB206" s="1162"/>
      <c r="DC206" s="1162"/>
      <c r="DD206" s="1162"/>
      <c r="DE206" s="1162"/>
      <c r="DF206" s="1162"/>
      <c r="DG206" s="1162"/>
      <c r="DH206" s="1162"/>
      <c r="DI206" s="1162"/>
      <c r="DJ206" s="1162"/>
      <c r="DK206" s="1162"/>
      <c r="DL206" s="1162"/>
      <c r="DM206" s="1162"/>
      <c r="DN206" s="1162"/>
      <c r="DO206" s="1162"/>
      <c r="DP206" s="1162"/>
      <c r="DQ206" s="1162"/>
      <c r="DR206" s="1162"/>
      <c r="DS206" s="1162"/>
      <c r="DT206" s="1162"/>
      <c r="DU206" s="1162"/>
      <c r="DV206" s="1162"/>
      <c r="DW206" s="1162"/>
      <c r="DX206" s="1162"/>
      <c r="DY206" s="1162"/>
      <c r="DZ206" s="1162"/>
      <c r="EA206" s="1162"/>
      <c r="EB206" s="1162"/>
      <c r="EC206" s="1162"/>
      <c r="ED206" s="1162"/>
      <c r="EE206" s="1162"/>
      <c r="EF206" s="1162"/>
      <c r="EG206" s="1162"/>
      <c r="EH206" s="1162"/>
      <c r="EI206" s="1162"/>
      <c r="EJ206" s="1162"/>
      <c r="EK206" s="1162"/>
      <c r="EL206" s="1162"/>
      <c r="EM206" s="1162"/>
      <c r="EN206" s="1162"/>
      <c r="EO206" s="1162"/>
      <c r="EP206" s="1162"/>
      <c r="EQ206" s="1162"/>
      <c r="ER206" s="1162"/>
      <c r="ES206" s="1162"/>
      <c r="ET206" s="1162"/>
      <c r="EU206" s="1162"/>
      <c r="EV206" s="1162"/>
      <c r="EW206" s="1162"/>
      <c r="EX206" s="1162"/>
      <c r="EY206" s="1162"/>
      <c r="EZ206" s="1162"/>
    </row>
    <row r="207" spans="1:156" s="1165" customFormat="1" x14ac:dyDescent="0.3">
      <c r="A207" s="1162"/>
      <c r="B207" s="1162" t="s">
        <v>2220</v>
      </c>
      <c r="C207" s="1166">
        <f>+'600-900 Airport Benefits'!C17</f>
        <v>0</v>
      </c>
      <c r="D207" s="1166">
        <f>+'600-900 Airport Benefits'!D17</f>
        <v>0</v>
      </c>
      <c r="E207" s="1173" t="e">
        <f t="shared" ref="E207:E208" si="738">ROUND(((+D207-C207)/C207),4)</f>
        <v>#DIV/0!</v>
      </c>
      <c r="F207" s="1167"/>
      <c r="G207" s="1166">
        <f>+'600-900 Airport Benefits'!E17</f>
        <v>0</v>
      </c>
      <c r="H207" s="1173" t="e">
        <f t="shared" ref="H207:H208" si="739">ROUND(((+G207-D207)/D207),4)</f>
        <v>#DIV/0!</v>
      </c>
      <c r="I207" s="1167"/>
      <c r="J207" s="1166">
        <f>+'600-900 Airport Benefits'!F17</f>
        <v>0</v>
      </c>
      <c r="K207" s="1173" t="e">
        <f>ROUND(((+J207-G207)/G207),4)</f>
        <v>#DIV/0!</v>
      </c>
      <c r="L207" s="1167"/>
      <c r="M207" s="1166">
        <f>+'600-900 Airport Benefits'!G17</f>
        <v>0</v>
      </c>
      <c r="N207" s="1173" t="e">
        <f>ROUND(((+M207-J207)/J207),4)</f>
        <v>#DIV/0!</v>
      </c>
      <c r="O207" s="1167"/>
      <c r="P207" s="1166">
        <f>+'600-900 Airport Benefits'!H17</f>
        <v>0</v>
      </c>
      <c r="Q207" s="1173" t="e">
        <f>ROUND(((+P207-M207)/M207),4)</f>
        <v>#DIV/0!</v>
      </c>
      <c r="R207" s="1167"/>
      <c r="S207" s="1166">
        <f>+'600-900 Airport Benefits'!I17</f>
        <v>0</v>
      </c>
      <c r="T207" s="1173" t="e">
        <f>ROUND(((+S207-P207)/P207),4)</f>
        <v>#DIV/0!</v>
      </c>
      <c r="U207" s="1167"/>
      <c r="V207" s="1166">
        <f>+'600-900 Airport Benefits'!J17</f>
        <v>0</v>
      </c>
      <c r="W207" s="1173" t="e">
        <f>ROUND(((+V207-S207)/S207),4)</f>
        <v>#DIV/0!</v>
      </c>
      <c r="X207" s="1167">
        <f>+'600-900 Airport Benefits'!K17</f>
        <v>0</v>
      </c>
      <c r="Y207" s="1166">
        <f>+'600-900 Airport Benefits'!L17</f>
        <v>0</v>
      </c>
      <c r="Z207" s="1173" t="e">
        <f t="shared" ref="Z207:Z208" si="740">ROUND(((+Y207-V207)/V207),4)</f>
        <v>#DIV/0!</v>
      </c>
      <c r="AA207" s="1167">
        <f>+'600-900 Airport Benefits'!M17</f>
        <v>8892</v>
      </c>
      <c r="AB207" s="1173" t="e">
        <f t="shared" ref="AB207:AB208" si="741">ROUND(((+AA207-X207)/X207),4)</f>
        <v>#DIV/0!</v>
      </c>
      <c r="AC207" s="1166">
        <f>+'600-900 Airport Benefits'!N17</f>
        <v>0</v>
      </c>
      <c r="AD207" s="1173" t="e">
        <f t="shared" ref="AD207:AD208" si="742">ROUND(((+AC207-Y207)/Y207),4)</f>
        <v>#DIV/0!</v>
      </c>
      <c r="AE207" s="1167">
        <f>+'600-900 Airport Benefits'!O17</f>
        <v>33188</v>
      </c>
      <c r="AF207" s="1173">
        <f t="shared" ref="AF207:AF208" si="743">ROUND(((+AE207-AA207)/AA207),4)</f>
        <v>2.7323</v>
      </c>
      <c r="AG207" s="1166">
        <f>+'600-900 Airport Benefits'!P17</f>
        <v>22982.829999999998</v>
      </c>
      <c r="AH207" s="1173" t="e">
        <f t="shared" ref="AH207:AH208" si="744">ROUND(((+AG207-AC207)/AC207),4)</f>
        <v>#DIV/0!</v>
      </c>
      <c r="AI207" s="1173"/>
      <c r="AJ207" s="1173"/>
      <c r="AK207" s="1167">
        <f>+'600-900 Airport Benefits'!Q17</f>
        <v>40515</v>
      </c>
      <c r="AL207" s="1173">
        <f t="shared" ref="AL207:AL208" si="745">ROUND(((+AK207-AE207)/AE207),4)</f>
        <v>0.2208</v>
      </c>
      <c r="AM207" s="1166">
        <f>+'600-900 Airport Benefits'!R17</f>
        <v>31003.17</v>
      </c>
      <c r="AN207" s="1173">
        <f t="shared" ref="AN207:AN208" si="746">ROUND(((+AM207-AG207)/AG207),4)</f>
        <v>0.34899999999999998</v>
      </c>
      <c r="AO207" s="1173"/>
      <c r="AP207" s="1173"/>
      <c r="AQ207" s="1167">
        <f>+'600-900 Airport Benefits'!S17</f>
        <v>61664</v>
      </c>
      <c r="AR207" s="1173">
        <f t="shared" ref="AR207:AR208" si="747">ROUND(((+AQ207-AK207)/AK207),4)</f>
        <v>0.52200000000000002</v>
      </c>
      <c r="AS207" s="1173" t="e">
        <f t="shared" ref="AS207:AS208" si="748">ROUND((((+AQ207-U207)/U207)/5),4)</f>
        <v>#DIV/0!</v>
      </c>
      <c r="AT207" s="1173" t="e">
        <f t="shared" ref="AT207:AT208" si="749">ROUND((((+AQ207-F207)/F207)/10),4)</f>
        <v>#DIV/0!</v>
      </c>
      <c r="AU207" s="1162"/>
      <c r="AV207" s="1167">
        <f>ROUND((+AQ207*(1.0374)),0)</f>
        <v>63970</v>
      </c>
      <c r="AW207" s="1167">
        <f>ROUND((+AV207*(1.0374)),0)</f>
        <v>66362</v>
      </c>
      <c r="AX207" s="1167">
        <f>ROUND((+AW207*(1.0374)),0)</f>
        <v>68844</v>
      </c>
      <c r="AY207" s="1167">
        <f>ROUND((+AX207*(1.0374)),0)</f>
        <v>71419</v>
      </c>
      <c r="AZ207" s="1167">
        <f>ROUND((+AY207*(1.0374)),0)</f>
        <v>74090</v>
      </c>
      <c r="BA207" s="1169">
        <v>3.7400000000000003E-2</v>
      </c>
      <c r="BB207" s="1162" t="s">
        <v>2271</v>
      </c>
      <c r="BC207" s="1162"/>
      <c r="BD207" s="1162"/>
      <c r="BE207" s="1162"/>
      <c r="BF207" s="1162"/>
      <c r="BG207" s="1162"/>
      <c r="BH207" s="1162"/>
      <c r="BI207" s="1162"/>
      <c r="BJ207" s="1162"/>
      <c r="BK207" s="1162"/>
      <c r="BL207" s="1162"/>
      <c r="BM207" s="1162"/>
      <c r="BN207" s="1162"/>
      <c r="BO207" s="1162"/>
      <c r="BP207" s="1162"/>
      <c r="BQ207" s="1162"/>
      <c r="BR207" s="1162"/>
      <c r="BS207" s="1162"/>
      <c r="BT207" s="1162"/>
      <c r="BU207" s="1162"/>
      <c r="BV207" s="1162"/>
      <c r="BW207" s="1162"/>
      <c r="BX207" s="1162"/>
      <c r="BY207" s="1162"/>
      <c r="BZ207" s="1162"/>
      <c r="CA207" s="1162"/>
      <c r="CB207" s="1162"/>
      <c r="CC207" s="1162"/>
      <c r="CD207" s="1162"/>
      <c r="CE207" s="1162"/>
      <c r="CF207" s="1162"/>
      <c r="CG207" s="1162"/>
      <c r="CH207" s="1162"/>
      <c r="CI207" s="1162"/>
      <c r="CJ207" s="1162"/>
      <c r="CK207" s="1162"/>
      <c r="CL207" s="1162"/>
      <c r="CM207" s="1162"/>
      <c r="CN207" s="1162"/>
      <c r="CO207" s="1162"/>
      <c r="CP207" s="1162"/>
      <c r="CQ207" s="1162"/>
      <c r="CR207" s="1162"/>
      <c r="CS207" s="1162"/>
      <c r="CT207" s="1162"/>
      <c r="CU207" s="1162"/>
      <c r="CV207" s="1162"/>
      <c r="CW207" s="1162"/>
      <c r="CX207" s="1162"/>
      <c r="CY207" s="1162"/>
      <c r="CZ207" s="1162"/>
      <c r="DA207" s="1162"/>
      <c r="DB207" s="1162"/>
      <c r="DC207" s="1162"/>
      <c r="DD207" s="1162"/>
      <c r="DE207" s="1162"/>
      <c r="DF207" s="1162"/>
      <c r="DG207" s="1162"/>
      <c r="DH207" s="1162"/>
      <c r="DI207" s="1162"/>
      <c r="DJ207" s="1162"/>
      <c r="DK207" s="1162"/>
      <c r="DL207" s="1162"/>
      <c r="DM207" s="1162"/>
      <c r="DN207" s="1162"/>
      <c r="DO207" s="1162"/>
      <c r="DP207" s="1162"/>
      <c r="DQ207" s="1162"/>
      <c r="DR207" s="1162"/>
      <c r="DS207" s="1162"/>
      <c r="DT207" s="1162"/>
      <c r="DU207" s="1162"/>
      <c r="DV207" s="1162"/>
      <c r="DW207" s="1162"/>
      <c r="DX207" s="1162"/>
      <c r="DY207" s="1162"/>
      <c r="DZ207" s="1162"/>
      <c r="EA207" s="1162"/>
      <c r="EB207" s="1162"/>
      <c r="EC207" s="1162"/>
      <c r="ED207" s="1162"/>
      <c r="EE207" s="1162"/>
      <c r="EF207" s="1162"/>
      <c r="EG207" s="1162"/>
      <c r="EH207" s="1162"/>
      <c r="EI207" s="1162"/>
      <c r="EJ207" s="1162"/>
      <c r="EK207" s="1162"/>
      <c r="EL207" s="1162"/>
      <c r="EM207" s="1162"/>
      <c r="EN207" s="1162"/>
      <c r="EO207" s="1162"/>
      <c r="EP207" s="1162"/>
      <c r="EQ207" s="1162"/>
      <c r="ER207" s="1162"/>
      <c r="ES207" s="1162"/>
      <c r="ET207" s="1162"/>
      <c r="EU207" s="1162"/>
      <c r="EV207" s="1162"/>
      <c r="EW207" s="1162"/>
      <c r="EX207" s="1162"/>
      <c r="EY207" s="1162"/>
      <c r="EZ207" s="1162"/>
    </row>
    <row r="208" spans="1:156" s="1165" customFormat="1" x14ac:dyDescent="0.3">
      <c r="A208" s="1162"/>
      <c r="B208" s="1162" t="s">
        <v>887</v>
      </c>
      <c r="C208" s="1163">
        <f>SUM(C206:C207)</f>
        <v>0</v>
      </c>
      <c r="D208" s="1163">
        <f t="shared" ref="D208:AQ208" si="750">SUM(D206:D207)</f>
        <v>0</v>
      </c>
      <c r="E208" s="1169" t="e">
        <f t="shared" si="738"/>
        <v>#DIV/0!</v>
      </c>
      <c r="F208" s="1164">
        <f t="shared" si="750"/>
        <v>0</v>
      </c>
      <c r="G208" s="1163">
        <f t="shared" si="750"/>
        <v>0</v>
      </c>
      <c r="H208" s="1169" t="e">
        <f t="shared" si="739"/>
        <v>#DIV/0!</v>
      </c>
      <c r="I208" s="1164">
        <f t="shared" si="750"/>
        <v>0</v>
      </c>
      <c r="J208" s="1163">
        <f t="shared" si="750"/>
        <v>0</v>
      </c>
      <c r="K208" s="1169" t="e">
        <f>ROUND(((+J208-G208)/G208),4)</f>
        <v>#DIV/0!</v>
      </c>
      <c r="L208" s="1164">
        <f t="shared" si="750"/>
        <v>0</v>
      </c>
      <c r="M208" s="1163">
        <f t="shared" si="750"/>
        <v>0</v>
      </c>
      <c r="N208" s="1169" t="e">
        <f>ROUND(((+M208-J208)/J208),4)</f>
        <v>#DIV/0!</v>
      </c>
      <c r="O208" s="1164">
        <f t="shared" si="750"/>
        <v>0</v>
      </c>
      <c r="P208" s="1163">
        <f t="shared" si="750"/>
        <v>0</v>
      </c>
      <c r="Q208" s="1169" t="e">
        <f>ROUND(((+P208-M208)/M208),4)</f>
        <v>#DIV/0!</v>
      </c>
      <c r="R208" s="1164">
        <f t="shared" si="750"/>
        <v>0</v>
      </c>
      <c r="S208" s="1163">
        <f t="shared" si="750"/>
        <v>0</v>
      </c>
      <c r="T208" s="1169" t="e">
        <f>ROUND(((+S208-P208)/P208),4)</f>
        <v>#DIV/0!</v>
      </c>
      <c r="U208" s="1164">
        <f t="shared" si="750"/>
        <v>0</v>
      </c>
      <c r="V208" s="1163">
        <f t="shared" si="750"/>
        <v>0</v>
      </c>
      <c r="W208" s="1169" t="e">
        <f>ROUND(((+V208-S208)/S208),4)</f>
        <v>#DIV/0!</v>
      </c>
      <c r="X208" s="1164">
        <f t="shared" si="750"/>
        <v>0</v>
      </c>
      <c r="Y208" s="1163">
        <f t="shared" si="750"/>
        <v>0</v>
      </c>
      <c r="Z208" s="1169" t="e">
        <f t="shared" si="740"/>
        <v>#DIV/0!</v>
      </c>
      <c r="AA208" s="1164">
        <f t="shared" si="750"/>
        <v>8892</v>
      </c>
      <c r="AB208" s="1169" t="e">
        <f t="shared" si="741"/>
        <v>#DIV/0!</v>
      </c>
      <c r="AC208" s="1163">
        <f t="shared" si="750"/>
        <v>0</v>
      </c>
      <c r="AD208" s="1169" t="e">
        <f t="shared" si="742"/>
        <v>#DIV/0!</v>
      </c>
      <c r="AE208" s="1164">
        <f t="shared" si="750"/>
        <v>33188</v>
      </c>
      <c r="AF208" s="1169">
        <f t="shared" si="743"/>
        <v>2.7323</v>
      </c>
      <c r="AG208" s="1163">
        <f t="shared" si="750"/>
        <v>22982.829999999998</v>
      </c>
      <c r="AH208" s="1169" t="e">
        <f t="shared" si="744"/>
        <v>#DIV/0!</v>
      </c>
      <c r="AI208" s="1169"/>
      <c r="AJ208" s="1169"/>
      <c r="AK208" s="1164">
        <f t="shared" si="750"/>
        <v>40515</v>
      </c>
      <c r="AL208" s="1169">
        <f t="shared" si="745"/>
        <v>0.2208</v>
      </c>
      <c r="AM208" s="1163">
        <f t="shared" si="750"/>
        <v>31003.17</v>
      </c>
      <c r="AN208" s="1169">
        <f t="shared" si="746"/>
        <v>0.34899999999999998</v>
      </c>
      <c r="AO208" s="1169"/>
      <c r="AP208" s="1169"/>
      <c r="AQ208" s="1164">
        <f t="shared" si="750"/>
        <v>61664</v>
      </c>
      <c r="AR208" s="1169">
        <f t="shared" si="747"/>
        <v>0.52200000000000002</v>
      </c>
      <c r="AS208" s="1169" t="e">
        <f t="shared" si="748"/>
        <v>#DIV/0!</v>
      </c>
      <c r="AT208" s="1169" t="e">
        <f t="shared" si="749"/>
        <v>#DIV/0!</v>
      </c>
      <c r="AU208" s="1162"/>
      <c r="AV208" s="1164">
        <f t="shared" ref="AV208:AZ208" si="751">SUM(AV206:AV207)</f>
        <v>63970</v>
      </c>
      <c r="AW208" s="1164">
        <f t="shared" si="751"/>
        <v>66362</v>
      </c>
      <c r="AX208" s="1164">
        <f t="shared" si="751"/>
        <v>68844</v>
      </c>
      <c r="AY208" s="1164">
        <f t="shared" si="751"/>
        <v>71419</v>
      </c>
      <c r="AZ208" s="1164">
        <f t="shared" si="751"/>
        <v>74090</v>
      </c>
      <c r="BA208" s="1162"/>
      <c r="BB208" s="1162"/>
      <c r="BC208" s="1162"/>
      <c r="BD208" s="1162"/>
      <c r="BE208" s="1162"/>
      <c r="BF208" s="1162"/>
      <c r="BG208" s="1162"/>
      <c r="BH208" s="1162"/>
      <c r="BI208" s="1162"/>
      <c r="BJ208" s="1162"/>
      <c r="BK208" s="1162"/>
      <c r="BL208" s="1162"/>
      <c r="BM208" s="1162"/>
      <c r="BN208" s="1162"/>
      <c r="BO208" s="1162"/>
      <c r="BP208" s="1162"/>
      <c r="BQ208" s="1162"/>
      <c r="BR208" s="1162"/>
      <c r="BS208" s="1162"/>
      <c r="BT208" s="1162"/>
      <c r="BU208" s="1162"/>
      <c r="BV208" s="1162"/>
      <c r="BW208" s="1162"/>
      <c r="BX208" s="1162"/>
      <c r="BY208" s="1162"/>
      <c r="BZ208" s="1162"/>
      <c r="CA208" s="1162"/>
      <c r="CB208" s="1162"/>
      <c r="CC208" s="1162"/>
      <c r="CD208" s="1162"/>
      <c r="CE208" s="1162"/>
      <c r="CF208" s="1162"/>
      <c r="CG208" s="1162"/>
      <c r="CH208" s="1162"/>
      <c r="CI208" s="1162"/>
      <c r="CJ208" s="1162"/>
      <c r="CK208" s="1162"/>
      <c r="CL208" s="1162"/>
      <c r="CM208" s="1162"/>
      <c r="CN208" s="1162"/>
      <c r="CO208" s="1162"/>
      <c r="CP208" s="1162"/>
      <c r="CQ208" s="1162"/>
      <c r="CR208" s="1162"/>
      <c r="CS208" s="1162"/>
      <c r="CT208" s="1162"/>
      <c r="CU208" s="1162"/>
      <c r="CV208" s="1162"/>
      <c r="CW208" s="1162"/>
      <c r="CX208" s="1162"/>
      <c r="CY208" s="1162"/>
      <c r="CZ208" s="1162"/>
      <c r="DA208" s="1162"/>
      <c r="DB208" s="1162"/>
      <c r="DC208" s="1162"/>
      <c r="DD208" s="1162"/>
      <c r="DE208" s="1162"/>
      <c r="DF208" s="1162"/>
      <c r="DG208" s="1162"/>
      <c r="DH208" s="1162"/>
      <c r="DI208" s="1162"/>
      <c r="DJ208" s="1162"/>
      <c r="DK208" s="1162"/>
      <c r="DL208" s="1162"/>
      <c r="DM208" s="1162"/>
      <c r="DN208" s="1162"/>
      <c r="DO208" s="1162"/>
      <c r="DP208" s="1162"/>
      <c r="DQ208" s="1162"/>
      <c r="DR208" s="1162"/>
      <c r="DS208" s="1162"/>
      <c r="DT208" s="1162"/>
      <c r="DU208" s="1162"/>
      <c r="DV208" s="1162"/>
      <c r="DW208" s="1162"/>
      <c r="DX208" s="1162"/>
      <c r="DY208" s="1162"/>
      <c r="DZ208" s="1162"/>
      <c r="EA208" s="1162"/>
      <c r="EB208" s="1162"/>
      <c r="EC208" s="1162"/>
      <c r="ED208" s="1162"/>
      <c r="EE208" s="1162"/>
      <c r="EF208" s="1162"/>
      <c r="EG208" s="1162"/>
      <c r="EH208" s="1162"/>
      <c r="EI208" s="1162"/>
      <c r="EJ208" s="1162"/>
      <c r="EK208" s="1162"/>
      <c r="EL208" s="1162"/>
      <c r="EM208" s="1162"/>
      <c r="EN208" s="1162"/>
      <c r="EO208" s="1162"/>
      <c r="EP208" s="1162"/>
      <c r="EQ208" s="1162"/>
      <c r="ER208" s="1162"/>
      <c r="ES208" s="1162"/>
      <c r="ET208" s="1162"/>
      <c r="EU208" s="1162"/>
      <c r="EV208" s="1162"/>
      <c r="EW208" s="1162"/>
      <c r="EX208" s="1162"/>
      <c r="EY208" s="1162"/>
      <c r="EZ208" s="1162"/>
    </row>
    <row r="209" spans="1:156" s="1165" customFormat="1" x14ac:dyDescent="0.3">
      <c r="A209" s="1162"/>
      <c r="B209" s="1162"/>
      <c r="C209" s="1163"/>
      <c r="D209" s="1163"/>
      <c r="E209" s="1163"/>
      <c r="F209" s="1164"/>
      <c r="G209" s="1163"/>
      <c r="H209" s="1163"/>
      <c r="I209" s="1164"/>
      <c r="J209" s="1163"/>
      <c r="K209" s="1163"/>
      <c r="L209" s="1164"/>
      <c r="M209" s="1163"/>
      <c r="N209" s="1163"/>
      <c r="O209" s="1164"/>
      <c r="P209" s="1163"/>
      <c r="Q209" s="1163"/>
      <c r="R209" s="1164"/>
      <c r="S209" s="1163"/>
      <c r="T209" s="1163"/>
      <c r="U209" s="1164"/>
      <c r="V209" s="1163"/>
      <c r="W209" s="1163"/>
      <c r="X209" s="1164"/>
      <c r="Y209" s="1163"/>
      <c r="Z209" s="1163"/>
      <c r="AA209" s="1164"/>
      <c r="AB209" s="1164"/>
      <c r="AC209" s="1163"/>
      <c r="AD209" s="1163"/>
      <c r="AE209" s="1164"/>
      <c r="AF209" s="1164"/>
      <c r="AG209" s="1163"/>
      <c r="AH209" s="1163"/>
      <c r="AI209" s="1163"/>
      <c r="AJ209" s="1163"/>
      <c r="AK209" s="1164"/>
      <c r="AL209" s="1164"/>
      <c r="AM209" s="1163"/>
      <c r="AN209" s="1163"/>
      <c r="AO209" s="1163"/>
      <c r="AP209" s="1163"/>
      <c r="AQ209" s="1164"/>
      <c r="AR209" s="1164"/>
      <c r="AS209" s="1162"/>
      <c r="AT209" s="1162"/>
      <c r="AU209" s="1162"/>
      <c r="AV209" s="1162"/>
      <c r="AW209" s="1162"/>
      <c r="AX209" s="1162"/>
      <c r="AY209" s="1162"/>
      <c r="AZ209" s="1162"/>
      <c r="BA209" s="1162"/>
      <c r="BB209" s="1162"/>
      <c r="BC209" s="1162"/>
      <c r="BD209" s="1162"/>
      <c r="BE209" s="1162"/>
      <c r="BF209" s="1162"/>
      <c r="BG209" s="1162"/>
      <c r="BH209" s="1162"/>
      <c r="BI209" s="1162"/>
      <c r="BJ209" s="1162"/>
      <c r="BK209" s="1162"/>
      <c r="BL209" s="1162"/>
      <c r="BM209" s="1162"/>
      <c r="BN209" s="1162"/>
      <c r="BO209" s="1162"/>
      <c r="BP209" s="1162"/>
      <c r="BQ209" s="1162"/>
      <c r="BR209" s="1162"/>
      <c r="BS209" s="1162"/>
      <c r="BT209" s="1162"/>
      <c r="BU209" s="1162"/>
      <c r="BV209" s="1162"/>
      <c r="BW209" s="1162"/>
      <c r="BX209" s="1162"/>
      <c r="BY209" s="1162"/>
      <c r="BZ209" s="1162"/>
      <c r="CA209" s="1162"/>
      <c r="CB209" s="1162"/>
      <c r="CC209" s="1162"/>
      <c r="CD209" s="1162"/>
      <c r="CE209" s="1162"/>
      <c r="CF209" s="1162"/>
      <c r="CG209" s="1162"/>
      <c r="CH209" s="1162"/>
      <c r="CI209" s="1162"/>
      <c r="CJ209" s="1162"/>
      <c r="CK209" s="1162"/>
      <c r="CL209" s="1162"/>
      <c r="CM209" s="1162"/>
      <c r="CN209" s="1162"/>
      <c r="CO209" s="1162"/>
      <c r="CP209" s="1162"/>
      <c r="CQ209" s="1162"/>
      <c r="CR209" s="1162"/>
      <c r="CS209" s="1162"/>
      <c r="CT209" s="1162"/>
      <c r="CU209" s="1162"/>
      <c r="CV209" s="1162"/>
      <c r="CW209" s="1162"/>
      <c r="CX209" s="1162"/>
      <c r="CY209" s="1162"/>
      <c r="CZ209" s="1162"/>
      <c r="DA209" s="1162"/>
      <c r="DB209" s="1162"/>
      <c r="DC209" s="1162"/>
      <c r="DD209" s="1162"/>
      <c r="DE209" s="1162"/>
      <c r="DF209" s="1162"/>
      <c r="DG209" s="1162"/>
      <c r="DH209" s="1162"/>
      <c r="DI209" s="1162"/>
      <c r="DJ209" s="1162"/>
      <c r="DK209" s="1162"/>
      <c r="DL209" s="1162"/>
      <c r="DM209" s="1162"/>
      <c r="DN209" s="1162"/>
      <c r="DO209" s="1162"/>
      <c r="DP209" s="1162"/>
      <c r="DQ209" s="1162"/>
      <c r="DR209" s="1162"/>
      <c r="DS209" s="1162"/>
      <c r="DT209" s="1162"/>
      <c r="DU209" s="1162"/>
      <c r="DV209" s="1162"/>
      <c r="DW209" s="1162"/>
      <c r="DX209" s="1162"/>
      <c r="DY209" s="1162"/>
      <c r="DZ209" s="1162"/>
      <c r="EA209" s="1162"/>
      <c r="EB209" s="1162"/>
      <c r="EC209" s="1162"/>
      <c r="ED209" s="1162"/>
      <c r="EE209" s="1162"/>
      <c r="EF209" s="1162"/>
      <c r="EG209" s="1162"/>
      <c r="EH209" s="1162"/>
      <c r="EI209" s="1162"/>
      <c r="EJ209" s="1162"/>
      <c r="EK209" s="1162"/>
      <c r="EL209" s="1162"/>
      <c r="EM209" s="1162"/>
      <c r="EN209" s="1162"/>
      <c r="EO209" s="1162"/>
      <c r="EP209" s="1162"/>
      <c r="EQ209" s="1162"/>
      <c r="ER209" s="1162"/>
      <c r="ES209" s="1162"/>
      <c r="ET209" s="1162"/>
      <c r="EU209" s="1162"/>
      <c r="EV209" s="1162"/>
      <c r="EW209" s="1162"/>
      <c r="EX209" s="1162"/>
      <c r="EY209" s="1162"/>
      <c r="EZ209" s="1162"/>
    </row>
    <row r="210" spans="1:156" s="1183" customFormat="1" x14ac:dyDescent="0.3">
      <c r="A210" s="1161" t="s">
        <v>573</v>
      </c>
      <c r="B210" s="1161"/>
      <c r="C210" s="1180">
        <f>+C208+C204+C200</f>
        <v>36905.490000000005</v>
      </c>
      <c r="D210" s="1180">
        <f t="shared" ref="D210:AQ210" si="752">+D208+D204+D200</f>
        <v>44653.43</v>
      </c>
      <c r="E210" s="1181">
        <f t="shared" ref="E210" si="753">ROUND(((+D210-C210)/C210),4)</f>
        <v>0.2099</v>
      </c>
      <c r="F210" s="1182"/>
      <c r="G210" s="1180">
        <f t="shared" si="752"/>
        <v>45769.880000000005</v>
      </c>
      <c r="H210" s="1181">
        <f>ROUND(((+G210-D210)/D210),4)</f>
        <v>2.5000000000000001E-2</v>
      </c>
      <c r="I210" s="1182"/>
      <c r="J210" s="1180">
        <f t="shared" si="752"/>
        <v>44520.340000000011</v>
      </c>
      <c r="K210" s="1181">
        <f>ROUND(((+J210-G210)/G210),4)</f>
        <v>-2.7300000000000001E-2</v>
      </c>
      <c r="L210" s="1182"/>
      <c r="M210" s="1180">
        <f t="shared" si="752"/>
        <v>51918.03</v>
      </c>
      <c r="N210" s="1181">
        <f>ROUND(((+M210-J210)/J210),4)</f>
        <v>0.16619999999999999</v>
      </c>
      <c r="O210" s="1182"/>
      <c r="P210" s="1180">
        <f t="shared" si="752"/>
        <v>48770.28</v>
      </c>
      <c r="Q210" s="1181">
        <f>ROUND(((+P210-M210)/M210),4)</f>
        <v>-6.0600000000000001E-2</v>
      </c>
      <c r="R210" s="1182"/>
      <c r="S210" s="1180">
        <f t="shared" si="752"/>
        <v>48391.540000000008</v>
      </c>
      <c r="T210" s="1181">
        <f>ROUND(((+S210-P210)/P210),4)</f>
        <v>-7.7999999999999996E-3</v>
      </c>
      <c r="U210" s="1182"/>
      <c r="V210" s="1180">
        <f t="shared" si="752"/>
        <v>39812.629999999997</v>
      </c>
      <c r="W210" s="1181">
        <f>ROUND(((+V210-S210)/S210),4)</f>
        <v>-0.17730000000000001</v>
      </c>
      <c r="X210" s="1182">
        <f t="shared" si="752"/>
        <v>95494</v>
      </c>
      <c r="Y210" s="1180">
        <f t="shared" si="752"/>
        <v>95493.999999999985</v>
      </c>
      <c r="Z210" s="1169">
        <f>ROUND(((+Y210-V210)/V210),4)</f>
        <v>1.3986000000000001</v>
      </c>
      <c r="AA210" s="1182">
        <f t="shared" si="752"/>
        <v>223541</v>
      </c>
      <c r="AB210" s="1169">
        <f>ROUND(((+AA210-X210)/X210),4)</f>
        <v>1.3409</v>
      </c>
      <c r="AC210" s="1180">
        <f t="shared" si="752"/>
        <v>214178.82</v>
      </c>
      <c r="AD210" s="1169">
        <f>ROUND(((+AC210-Y210)/Y210),4)</f>
        <v>1.2428999999999999</v>
      </c>
      <c r="AE210" s="1182">
        <f t="shared" si="752"/>
        <v>346202</v>
      </c>
      <c r="AF210" s="1169">
        <f>ROUND(((+AE210-AA210)/AA210),4)</f>
        <v>0.54869999999999997</v>
      </c>
      <c r="AG210" s="1180">
        <f t="shared" si="752"/>
        <v>335635.81</v>
      </c>
      <c r="AH210" s="1169">
        <f>ROUND(((+AG210-AC210)/AC210),4)</f>
        <v>0.56710000000000005</v>
      </c>
      <c r="AI210" s="1169"/>
      <c r="AJ210" s="1169"/>
      <c r="AK210" s="1182">
        <f t="shared" si="752"/>
        <v>426965</v>
      </c>
      <c r="AL210" s="1169">
        <f>ROUND(((+AK210-AE210)/AE210),4)</f>
        <v>0.23330000000000001</v>
      </c>
      <c r="AM210" s="1180">
        <f t="shared" si="752"/>
        <v>276505.5</v>
      </c>
      <c r="AN210" s="1169">
        <f>ROUND(((+AM210-AG210)/AG210),4)</f>
        <v>-0.1762</v>
      </c>
      <c r="AO210" s="1169"/>
      <c r="AP210" s="1169"/>
      <c r="AQ210" s="1182">
        <f t="shared" si="752"/>
        <v>419677</v>
      </c>
      <c r="AR210" s="1169">
        <f>ROUND(((+AQ210-AK210)/AK210),4)</f>
        <v>-1.7100000000000001E-2</v>
      </c>
      <c r="AS210" s="1169" t="e">
        <f t="shared" ref="AS210" si="754">ROUND((((+AQ210-U210)/U210)/5),4)</f>
        <v>#DIV/0!</v>
      </c>
      <c r="AT210" s="1169" t="e">
        <f t="shared" ref="AT210" si="755">ROUND((((+AQ210-F210)/F210)/10),4)</f>
        <v>#DIV/0!</v>
      </c>
      <c r="AU210" s="1161"/>
      <c r="AV210" s="1182">
        <f t="shared" ref="AV210:AZ210" si="756">+AV208+AV204+AV200</f>
        <v>425013</v>
      </c>
      <c r="AW210" s="1182">
        <f t="shared" si="756"/>
        <v>434491</v>
      </c>
      <c r="AX210" s="1182">
        <f t="shared" si="756"/>
        <v>439136</v>
      </c>
      <c r="AY210" s="1182">
        <f t="shared" si="756"/>
        <v>453856</v>
      </c>
      <c r="AZ210" s="1182">
        <f t="shared" si="756"/>
        <v>458657</v>
      </c>
      <c r="BA210" s="1161"/>
      <c r="BB210" s="1161"/>
      <c r="BC210" s="1161"/>
      <c r="BD210" s="1161"/>
      <c r="BE210" s="1161"/>
      <c r="BF210" s="1161"/>
      <c r="BG210" s="1161"/>
      <c r="BH210" s="1161"/>
      <c r="BI210" s="1161"/>
      <c r="BJ210" s="1161"/>
      <c r="BK210" s="1161"/>
      <c r="BL210" s="1161"/>
      <c r="BM210" s="1161"/>
      <c r="BN210" s="1161"/>
      <c r="BO210" s="1161"/>
      <c r="BP210" s="1161"/>
      <c r="BQ210" s="1161"/>
      <c r="BR210" s="1161"/>
      <c r="BS210" s="1161"/>
      <c r="BT210" s="1161"/>
      <c r="BU210" s="1161"/>
      <c r="BV210" s="1161"/>
      <c r="BW210" s="1161"/>
      <c r="BX210" s="1161"/>
      <c r="BY210" s="1161"/>
      <c r="BZ210" s="1161"/>
      <c r="CA210" s="1161"/>
      <c r="CB210" s="1161"/>
      <c r="CC210" s="1161"/>
      <c r="CD210" s="1161"/>
      <c r="CE210" s="1161"/>
      <c r="CF210" s="1161"/>
      <c r="CG210" s="1161"/>
      <c r="CH210" s="1161"/>
      <c r="CI210" s="1161"/>
      <c r="CJ210" s="1161"/>
      <c r="CK210" s="1161"/>
      <c r="CL210" s="1161"/>
      <c r="CM210" s="1161"/>
      <c r="CN210" s="1161"/>
      <c r="CO210" s="1161"/>
      <c r="CP210" s="1161"/>
      <c r="CQ210" s="1161"/>
      <c r="CR210" s="1161"/>
      <c r="CS210" s="1161"/>
      <c r="CT210" s="1161"/>
      <c r="CU210" s="1161"/>
      <c r="CV210" s="1161"/>
      <c r="CW210" s="1161"/>
      <c r="CX210" s="1161"/>
      <c r="CY210" s="1161"/>
      <c r="CZ210" s="1161"/>
      <c r="DA210" s="1161"/>
      <c r="DB210" s="1161"/>
      <c r="DC210" s="1161"/>
      <c r="DD210" s="1161"/>
      <c r="DE210" s="1161"/>
      <c r="DF210" s="1161"/>
      <c r="DG210" s="1161"/>
      <c r="DH210" s="1161"/>
      <c r="DI210" s="1161"/>
      <c r="DJ210" s="1161"/>
      <c r="DK210" s="1161"/>
      <c r="DL210" s="1161"/>
      <c r="DM210" s="1161"/>
      <c r="DN210" s="1161"/>
      <c r="DO210" s="1161"/>
      <c r="DP210" s="1161"/>
      <c r="DQ210" s="1161"/>
      <c r="DR210" s="1161"/>
      <c r="DS210" s="1161"/>
      <c r="DT210" s="1161"/>
      <c r="DU210" s="1161"/>
      <c r="DV210" s="1161"/>
      <c r="DW210" s="1161"/>
      <c r="DX210" s="1161"/>
      <c r="DY210" s="1161"/>
      <c r="DZ210" s="1161"/>
      <c r="EA210" s="1161"/>
      <c r="EB210" s="1161"/>
      <c r="EC210" s="1161"/>
      <c r="ED210" s="1161"/>
      <c r="EE210" s="1161"/>
      <c r="EF210" s="1161"/>
      <c r="EG210" s="1161"/>
      <c r="EH210" s="1161"/>
      <c r="EI210" s="1161"/>
      <c r="EJ210" s="1161"/>
      <c r="EK210" s="1161"/>
      <c r="EL210" s="1161"/>
      <c r="EM210" s="1161"/>
      <c r="EN210" s="1161"/>
      <c r="EO210" s="1161"/>
      <c r="EP210" s="1161"/>
      <c r="EQ210" s="1161"/>
      <c r="ER210" s="1161"/>
      <c r="ES210" s="1161"/>
      <c r="ET210" s="1161"/>
      <c r="EU210" s="1161"/>
      <c r="EV210" s="1161"/>
      <c r="EW210" s="1161"/>
      <c r="EX210" s="1161"/>
      <c r="EY210" s="1161"/>
      <c r="EZ210" s="1161"/>
    </row>
    <row r="211" spans="1:156" x14ac:dyDescent="0.3">
      <c r="AL211" s="1151"/>
      <c r="AQ211" s="1151"/>
      <c r="AR211" s="1151"/>
    </row>
    <row r="212" spans="1:156" s="1158" customFormat="1" x14ac:dyDescent="0.3">
      <c r="A212" s="1154" t="s">
        <v>1964</v>
      </c>
      <c r="B212" s="1155"/>
      <c r="C212" s="1156"/>
      <c r="D212" s="1156"/>
      <c r="E212" s="1156"/>
      <c r="F212" s="1157"/>
      <c r="G212" s="1156"/>
      <c r="H212" s="1156"/>
      <c r="I212" s="1157"/>
      <c r="J212" s="1156"/>
      <c r="K212" s="1156"/>
      <c r="L212" s="1157"/>
      <c r="M212" s="1156"/>
      <c r="N212" s="1156"/>
      <c r="O212" s="1157"/>
      <c r="P212" s="1156"/>
      <c r="Q212" s="1156"/>
      <c r="R212" s="1157"/>
      <c r="S212" s="1156"/>
      <c r="T212" s="1156"/>
      <c r="U212" s="1157"/>
      <c r="V212" s="1156"/>
      <c r="W212" s="1156"/>
      <c r="X212" s="1157"/>
      <c r="Y212" s="1156"/>
      <c r="Z212" s="1156"/>
      <c r="AA212" s="1157"/>
      <c r="AB212" s="1157"/>
      <c r="AC212" s="1156"/>
      <c r="AD212" s="1156"/>
      <c r="AE212" s="1157"/>
      <c r="AF212" s="1157"/>
      <c r="AG212" s="1156"/>
      <c r="AH212" s="1156"/>
      <c r="AI212" s="1156"/>
      <c r="AJ212" s="1156"/>
      <c r="AK212" s="1157"/>
      <c r="AL212" s="1157"/>
      <c r="AM212" s="1156"/>
      <c r="AN212" s="1156"/>
      <c r="AO212" s="1156"/>
      <c r="AP212" s="1156"/>
      <c r="AQ212" s="1157"/>
      <c r="AR212" s="1157"/>
      <c r="AS212" s="1155"/>
      <c r="AT212" s="1155"/>
      <c r="AU212" s="1155"/>
      <c r="AV212" s="1155"/>
      <c r="AW212" s="1155"/>
      <c r="AX212" s="1155"/>
      <c r="AY212" s="1155"/>
      <c r="AZ212" s="1155"/>
      <c r="BA212" s="1155"/>
      <c r="BB212" s="1155"/>
      <c r="BC212" s="1155"/>
      <c r="BD212" s="1155"/>
      <c r="BE212" s="1155"/>
      <c r="BF212" s="1155"/>
      <c r="BG212" s="1155"/>
      <c r="BH212" s="1155"/>
      <c r="BI212" s="1155"/>
      <c r="BJ212" s="1155"/>
      <c r="BK212" s="1155"/>
      <c r="BL212" s="1155"/>
      <c r="BM212" s="1155"/>
      <c r="BN212" s="1155"/>
      <c r="BO212" s="1155"/>
      <c r="BP212" s="1155"/>
      <c r="BQ212" s="1155"/>
      <c r="BR212" s="1155"/>
      <c r="BS212" s="1155"/>
      <c r="BT212" s="1155"/>
      <c r="BU212" s="1155"/>
      <c r="BV212" s="1155"/>
      <c r="BW212" s="1155"/>
      <c r="BX212" s="1155"/>
      <c r="BY212" s="1155"/>
      <c r="BZ212" s="1155"/>
      <c r="CA212" s="1155"/>
      <c r="CB212" s="1155"/>
      <c r="CC212" s="1155"/>
      <c r="CD212" s="1155"/>
      <c r="CE212" s="1155"/>
      <c r="CF212" s="1155"/>
      <c r="CG212" s="1155"/>
      <c r="CH212" s="1155"/>
      <c r="CI212" s="1155"/>
      <c r="CJ212" s="1155"/>
      <c r="CK212" s="1155"/>
      <c r="CL212" s="1155"/>
      <c r="CM212" s="1155"/>
      <c r="CN212" s="1155"/>
      <c r="CO212" s="1155"/>
      <c r="CP212" s="1155"/>
      <c r="CQ212" s="1155"/>
      <c r="CR212" s="1155"/>
      <c r="CS212" s="1155"/>
      <c r="CT212" s="1155"/>
      <c r="CU212" s="1155"/>
      <c r="CV212" s="1155"/>
      <c r="CW212" s="1155"/>
      <c r="CX212" s="1155"/>
      <c r="CY212" s="1155"/>
      <c r="CZ212" s="1155"/>
      <c r="DA212" s="1155"/>
      <c r="DB212" s="1155"/>
      <c r="DC212" s="1155"/>
      <c r="DD212" s="1155"/>
      <c r="DE212" s="1155"/>
      <c r="DF212" s="1155"/>
      <c r="DG212" s="1155"/>
      <c r="DH212" s="1155"/>
      <c r="DI212" s="1155"/>
      <c r="DJ212" s="1155"/>
      <c r="DK212" s="1155"/>
      <c r="DL212" s="1155"/>
      <c r="DM212" s="1155"/>
      <c r="DN212" s="1155"/>
      <c r="DO212" s="1155"/>
      <c r="DP212" s="1155"/>
      <c r="DQ212" s="1155"/>
      <c r="DR212" s="1155"/>
      <c r="DS212" s="1155"/>
      <c r="DT212" s="1155"/>
      <c r="DU212" s="1155"/>
      <c r="DV212" s="1155"/>
      <c r="DW212" s="1155"/>
      <c r="DX212" s="1155"/>
      <c r="DY212" s="1155"/>
      <c r="DZ212" s="1155"/>
      <c r="EA212" s="1155"/>
      <c r="EB212" s="1155"/>
      <c r="EC212" s="1155"/>
      <c r="ED212" s="1155"/>
      <c r="EE212" s="1155"/>
      <c r="EF212" s="1155"/>
      <c r="EG212" s="1155"/>
      <c r="EH212" s="1155"/>
      <c r="EI212" s="1155"/>
      <c r="EJ212" s="1155"/>
      <c r="EK212" s="1155"/>
      <c r="EL212" s="1155"/>
      <c r="EM212" s="1155"/>
      <c r="EN212" s="1155"/>
      <c r="EO212" s="1155"/>
      <c r="EP212" s="1155"/>
      <c r="EQ212" s="1155"/>
      <c r="ER212" s="1155"/>
      <c r="ES212" s="1155"/>
      <c r="ET212" s="1155"/>
      <c r="EU212" s="1155"/>
      <c r="EV212" s="1155"/>
      <c r="EW212" s="1155"/>
      <c r="EX212" s="1155"/>
      <c r="EY212" s="1155"/>
      <c r="EZ212" s="1155"/>
    </row>
    <row r="213" spans="1:156" s="1158" customFormat="1" x14ac:dyDescent="0.3">
      <c r="A213" s="1155"/>
      <c r="B213" s="1155" t="s">
        <v>2218</v>
      </c>
      <c r="C213" s="1156">
        <f>+'661 440 CWF'!C16</f>
        <v>345877.31</v>
      </c>
      <c r="D213" s="1156">
        <f>+'661 440 CWF'!D16</f>
        <v>373186.81</v>
      </c>
      <c r="E213" s="1170">
        <f t="shared" ref="E213:E216" si="757">ROUND(((+D213-C213)/C213),4)</f>
        <v>7.9000000000000001E-2</v>
      </c>
      <c r="F213" s="1157">
        <v>436310</v>
      </c>
      <c r="G213" s="1156">
        <f>+'661 440 CWF'!E16</f>
        <v>458651.21</v>
      </c>
      <c r="H213" s="1170">
        <f t="shared" ref="H213:H216" si="758">ROUND(((+G213-D213)/D213),4)</f>
        <v>0.22900000000000001</v>
      </c>
      <c r="I213" s="1157">
        <v>493787</v>
      </c>
      <c r="J213" s="1156">
        <f>+'661 440 CWF'!F16</f>
        <v>453253.77999999997</v>
      </c>
      <c r="K213" s="1170">
        <f>ROUND(((+J213-G213)/G213),4)</f>
        <v>-1.18E-2</v>
      </c>
      <c r="L213" s="1157">
        <v>529468</v>
      </c>
      <c r="M213" s="1156">
        <f>+'661 440 CWF'!G16</f>
        <v>404954.22</v>
      </c>
      <c r="N213" s="1170">
        <f>ROUND(((+M213-J213)/J213),4)</f>
        <v>-0.1066</v>
      </c>
      <c r="O213" s="1157">
        <v>516773</v>
      </c>
      <c r="P213" s="1156">
        <f>+'661 440 CWF'!H16</f>
        <v>417565.58999999997</v>
      </c>
      <c r="Q213" s="1170">
        <f>ROUND(((+P213-M213)/M213),4)</f>
        <v>3.1099999999999999E-2</v>
      </c>
      <c r="R213" s="1157">
        <v>474860</v>
      </c>
      <c r="S213" s="1156">
        <f>+'661 440 CWF'!I16</f>
        <v>411219.69999999995</v>
      </c>
      <c r="T213" s="1170">
        <f>ROUND(((+S213-P213)/P213),4)</f>
        <v>-1.52E-2</v>
      </c>
      <c r="U213" s="1157">
        <v>429350</v>
      </c>
      <c r="V213" s="1156">
        <f>+'661 440 CWF'!J16</f>
        <v>420472.36000000004</v>
      </c>
      <c r="W213" s="1170">
        <f>ROUND(((+V213-S213)/S213),4)</f>
        <v>2.2499999999999999E-2</v>
      </c>
      <c r="X213" s="1157">
        <f>+'661 440 CWF'!K16</f>
        <v>461257</v>
      </c>
      <c r="Y213" s="1156">
        <f>+'661 440 CWF'!L16</f>
        <v>425408.28</v>
      </c>
      <c r="Z213" s="1170">
        <f t="shared" ref="Z213:Z216" si="759">ROUND(((+Y213-V213)/V213),4)</f>
        <v>1.17E-2</v>
      </c>
      <c r="AA213" s="1157">
        <f>+'661 440 CWF'!M16</f>
        <v>491332</v>
      </c>
      <c r="AB213" s="1170">
        <f t="shared" ref="AB213:AB216" si="760">ROUND(((+AA213-X213)/X213),4)</f>
        <v>6.5199999999999994E-2</v>
      </c>
      <c r="AC213" s="1156">
        <f>+'661 440 CWF'!N16</f>
        <v>452653.78</v>
      </c>
      <c r="AD213" s="1170">
        <f>ROUND(((+AC213-Y213)/Y213),4)</f>
        <v>6.4000000000000001E-2</v>
      </c>
      <c r="AE213" s="1157">
        <f>+'661 440 CWF'!O16</f>
        <v>545768</v>
      </c>
      <c r="AF213" s="1170">
        <f>ROUND(((+AE213-AA213)/AA213),4)</f>
        <v>0.1108</v>
      </c>
      <c r="AG213" s="1156">
        <f>+'661 440 CWF'!P16</f>
        <v>490147.34</v>
      </c>
      <c r="AH213" s="1170">
        <f>ROUND(((+AG213-AC213)/AC213),4)</f>
        <v>8.2799999999999999E-2</v>
      </c>
      <c r="AI213" s="1170"/>
      <c r="AJ213" s="1170"/>
      <c r="AK213" s="1157">
        <f>+'661 440 CWF'!Q16</f>
        <v>567085</v>
      </c>
      <c r="AL213" s="1170">
        <f>ROUND(((+AK213-AE213)/AE213),4)</f>
        <v>3.9100000000000003E-2</v>
      </c>
      <c r="AM213" s="1156">
        <f>+'661 440 CWF'!R16</f>
        <v>279545.31</v>
      </c>
      <c r="AN213" s="1170">
        <f>ROUND(((+AM213-AG213)/AG213),4)</f>
        <v>-0.42970000000000003</v>
      </c>
      <c r="AO213" s="1170"/>
      <c r="AP213" s="1170"/>
      <c r="AQ213" s="1157">
        <f>+'661 440 CWF'!S16</f>
        <v>592633</v>
      </c>
      <c r="AR213" s="1170">
        <f>ROUND(((+AQ213-AK213)/AK213),4)</f>
        <v>4.5100000000000001E-2</v>
      </c>
      <c r="AS213" s="1170">
        <f t="shared" ref="AS213:AS216" si="761">ROUND((((+AQ213-U213)/U213)/5),4)</f>
        <v>7.6100000000000001E-2</v>
      </c>
      <c r="AT213" s="1170">
        <f t="shared" ref="AT213:AT216" si="762">ROUND((((+AQ213-F213)/F213)/10),4)</f>
        <v>3.5799999999999998E-2</v>
      </c>
      <c r="AU213" s="1155"/>
      <c r="AV213" s="1157">
        <f t="shared" ref="AV213" si="763">ROUND((+AQ213*(1+AT213)),0)</f>
        <v>613849</v>
      </c>
      <c r="AW213" s="1157">
        <f t="shared" ref="AW213" si="764">ROUND((+AV213*(1+AT213)),0)</f>
        <v>635825</v>
      </c>
      <c r="AX213" s="1157">
        <f t="shared" ref="AX213" si="765">ROUND((+AW213*(1+AT213)),0)</f>
        <v>658588</v>
      </c>
      <c r="AY213" s="1157">
        <f t="shared" ref="AY213" si="766">ROUND((+AX213*(1+AT213)),0)</f>
        <v>682165</v>
      </c>
      <c r="AZ213" s="1157">
        <f t="shared" ref="AZ213" si="767">ROUND((+AY213*(1+AT213)),0)</f>
        <v>706587</v>
      </c>
      <c r="BA213" s="1155"/>
      <c r="BB213" s="1155"/>
      <c r="BC213" s="1155"/>
      <c r="BD213" s="1155"/>
      <c r="BE213" s="1155"/>
      <c r="BF213" s="1155"/>
      <c r="BG213" s="1155"/>
      <c r="BH213" s="1155"/>
      <c r="BI213" s="1155"/>
      <c r="BJ213" s="1155"/>
      <c r="BK213" s="1155"/>
      <c r="BL213" s="1155"/>
      <c r="BM213" s="1155"/>
      <c r="BN213" s="1155"/>
      <c r="BO213" s="1155"/>
      <c r="BP213" s="1155"/>
      <c r="BQ213" s="1155"/>
      <c r="BR213" s="1155"/>
      <c r="BS213" s="1155"/>
      <c r="BT213" s="1155"/>
      <c r="BU213" s="1155"/>
      <c r="BV213" s="1155"/>
      <c r="BW213" s="1155"/>
      <c r="BX213" s="1155"/>
      <c r="BY213" s="1155"/>
      <c r="BZ213" s="1155"/>
      <c r="CA213" s="1155"/>
      <c r="CB213" s="1155"/>
      <c r="CC213" s="1155"/>
      <c r="CD213" s="1155"/>
      <c r="CE213" s="1155"/>
      <c r="CF213" s="1155"/>
      <c r="CG213" s="1155"/>
      <c r="CH213" s="1155"/>
      <c r="CI213" s="1155"/>
      <c r="CJ213" s="1155"/>
      <c r="CK213" s="1155"/>
      <c r="CL213" s="1155"/>
      <c r="CM213" s="1155"/>
      <c r="CN213" s="1155"/>
      <c r="CO213" s="1155"/>
      <c r="CP213" s="1155"/>
      <c r="CQ213" s="1155"/>
      <c r="CR213" s="1155"/>
      <c r="CS213" s="1155"/>
      <c r="CT213" s="1155"/>
      <c r="CU213" s="1155"/>
      <c r="CV213" s="1155"/>
      <c r="CW213" s="1155"/>
      <c r="CX213" s="1155"/>
      <c r="CY213" s="1155"/>
      <c r="CZ213" s="1155"/>
      <c r="DA213" s="1155"/>
      <c r="DB213" s="1155"/>
      <c r="DC213" s="1155"/>
      <c r="DD213" s="1155"/>
      <c r="DE213" s="1155"/>
      <c r="DF213" s="1155"/>
      <c r="DG213" s="1155"/>
      <c r="DH213" s="1155"/>
      <c r="DI213" s="1155"/>
      <c r="DJ213" s="1155"/>
      <c r="DK213" s="1155"/>
      <c r="DL213" s="1155"/>
      <c r="DM213" s="1155"/>
      <c r="DN213" s="1155"/>
      <c r="DO213" s="1155"/>
      <c r="DP213" s="1155"/>
      <c r="DQ213" s="1155"/>
      <c r="DR213" s="1155"/>
      <c r="DS213" s="1155"/>
      <c r="DT213" s="1155"/>
      <c r="DU213" s="1155"/>
      <c r="DV213" s="1155"/>
      <c r="DW213" s="1155"/>
      <c r="DX213" s="1155"/>
      <c r="DY213" s="1155"/>
      <c r="DZ213" s="1155"/>
      <c r="EA213" s="1155"/>
      <c r="EB213" s="1155"/>
      <c r="EC213" s="1155"/>
      <c r="ED213" s="1155"/>
      <c r="EE213" s="1155"/>
      <c r="EF213" s="1155"/>
      <c r="EG213" s="1155"/>
      <c r="EH213" s="1155"/>
      <c r="EI213" s="1155"/>
      <c r="EJ213" s="1155"/>
      <c r="EK213" s="1155"/>
      <c r="EL213" s="1155"/>
      <c r="EM213" s="1155"/>
      <c r="EN213" s="1155"/>
      <c r="EO213" s="1155"/>
      <c r="EP213" s="1155"/>
      <c r="EQ213" s="1155"/>
      <c r="ER213" s="1155"/>
      <c r="ES213" s="1155"/>
      <c r="ET213" s="1155"/>
      <c r="EU213" s="1155"/>
      <c r="EV213" s="1155"/>
      <c r="EW213" s="1155"/>
      <c r="EX213" s="1155"/>
      <c r="EY213" s="1155"/>
      <c r="EZ213" s="1155"/>
    </row>
    <row r="214" spans="1:156" s="1158" customFormat="1" x14ac:dyDescent="0.3">
      <c r="A214" s="1155"/>
      <c r="B214" s="1155" t="s">
        <v>1869</v>
      </c>
      <c r="C214" s="1156">
        <f>+'661 440 CWF'!C64</f>
        <v>886974.85000000009</v>
      </c>
      <c r="D214" s="1156">
        <f>+'661 440 CWF'!D64</f>
        <v>958923.7899999998</v>
      </c>
      <c r="E214" s="1170">
        <f t="shared" si="757"/>
        <v>8.1100000000000005E-2</v>
      </c>
      <c r="F214" s="1157">
        <v>991920</v>
      </c>
      <c r="G214" s="1156">
        <f>+'661 440 CWF'!E64</f>
        <v>957063.42999999993</v>
      </c>
      <c r="H214" s="1170">
        <f t="shared" si="758"/>
        <v>-1.9E-3</v>
      </c>
      <c r="I214" s="1157">
        <v>1031788</v>
      </c>
      <c r="J214" s="1156">
        <f>+'661 440 CWF'!F64</f>
        <v>957874.57000000007</v>
      </c>
      <c r="K214" s="1170">
        <f>ROUND(((+J214-G214)/G214),4)</f>
        <v>8.0000000000000004E-4</v>
      </c>
      <c r="L214" s="1157">
        <v>1072548</v>
      </c>
      <c r="M214" s="1156">
        <f>+'661 440 CWF'!G64</f>
        <v>1006447.3</v>
      </c>
      <c r="N214" s="1170">
        <f>ROUND(((+M214-J214)/J214),4)</f>
        <v>5.0700000000000002E-2</v>
      </c>
      <c r="O214" s="1157">
        <v>1056939</v>
      </c>
      <c r="P214" s="1156">
        <f>+'661 440 CWF'!H64</f>
        <v>1042208.1100000001</v>
      </c>
      <c r="Q214" s="1170">
        <f>ROUND(((+P214-M214)/M214),4)</f>
        <v>3.5499999999999997E-2</v>
      </c>
      <c r="R214" s="1157">
        <v>1214796</v>
      </c>
      <c r="S214" s="1156">
        <f>+'661 440 CWF'!I64</f>
        <v>1112125.8699999999</v>
      </c>
      <c r="T214" s="1170">
        <f>ROUND(((+S214-P214)/P214),4)</f>
        <v>6.7100000000000007E-2</v>
      </c>
      <c r="U214" s="1157">
        <v>1002212</v>
      </c>
      <c r="V214" s="1156">
        <f>+'661 440 CWF'!J64</f>
        <v>1126104.8500000001</v>
      </c>
      <c r="W214" s="1170">
        <f>ROUND(((+V214-S214)/S214),4)</f>
        <v>1.26E-2</v>
      </c>
      <c r="X214" s="1157">
        <f>+'661 440 CWF'!K64</f>
        <v>1124506</v>
      </c>
      <c r="Y214" s="1156">
        <f>+'661 440 CWF'!L64</f>
        <v>1054682.45</v>
      </c>
      <c r="Z214" s="1170">
        <f t="shared" si="759"/>
        <v>-6.3399999999999998E-2</v>
      </c>
      <c r="AA214" s="1157">
        <f>+'661 440 CWF'!M64</f>
        <v>1201959</v>
      </c>
      <c r="AB214" s="1170">
        <f t="shared" si="760"/>
        <v>6.8900000000000003E-2</v>
      </c>
      <c r="AC214" s="1156">
        <f>+'661 440 CWF'!N64</f>
        <v>1173716.5000000002</v>
      </c>
      <c r="AD214" s="1170">
        <f t="shared" ref="AD214:AD216" si="768">ROUND(((+AC214-Y214)/Y214),4)</f>
        <v>0.1129</v>
      </c>
      <c r="AE214" s="1157">
        <f>+'661 440 CWF'!O64</f>
        <v>1358162</v>
      </c>
      <c r="AF214" s="1170">
        <f t="shared" ref="AF214:AF216" si="769">ROUND(((+AE214-AA214)/AA214),4)</f>
        <v>0.13</v>
      </c>
      <c r="AG214" s="1156">
        <f>+'661 440 CWF'!P64</f>
        <v>1186834.5899999999</v>
      </c>
      <c r="AH214" s="1170">
        <f t="shared" ref="AH214:AH216" si="770">ROUND(((+AG214-AC214)/AC214),4)</f>
        <v>1.12E-2</v>
      </c>
      <c r="AI214" s="1170"/>
      <c r="AJ214" s="1170"/>
      <c r="AK214" s="1157">
        <f>+'661 440 CWF'!Q64</f>
        <v>1448644</v>
      </c>
      <c r="AL214" s="1170">
        <f t="shared" ref="AL214:AL216" si="771">ROUND(((+AK214-AE214)/AE214),4)</f>
        <v>6.6600000000000006E-2</v>
      </c>
      <c r="AM214" s="1156">
        <f>+'661 440 CWF'!R64</f>
        <v>578051.57000000007</v>
      </c>
      <c r="AN214" s="1170">
        <f t="shared" ref="AN214:AN216" si="772">ROUND(((+AM214-AG214)/AG214),4)</f>
        <v>-0.51290000000000002</v>
      </c>
      <c r="AO214" s="1170"/>
      <c r="AP214" s="1170"/>
      <c r="AQ214" s="1157">
        <f>+'661 440 CWF'!S64</f>
        <v>1523957</v>
      </c>
      <c r="AR214" s="1170">
        <f t="shared" ref="AR214:AR216" si="773">ROUND(((+AQ214-AK214)/AK214),4)</f>
        <v>5.1999999999999998E-2</v>
      </c>
      <c r="AS214" s="1170">
        <f t="shared" si="761"/>
        <v>0.1041</v>
      </c>
      <c r="AT214" s="1170">
        <f t="shared" si="762"/>
        <v>5.3600000000000002E-2</v>
      </c>
      <c r="AU214" s="1155"/>
      <c r="AV214" s="1215">
        <f t="shared" ref="AV214" si="774">ROUND((+AQ214*(1+AT214)),0)</f>
        <v>1605641</v>
      </c>
      <c r="AW214" s="1215">
        <f t="shared" ref="AW214" si="775">ROUND((+AV214*(1+AT214)),0)</f>
        <v>1691703</v>
      </c>
      <c r="AX214" s="1215">
        <f t="shared" ref="AX214" si="776">ROUND((+AW214*(1+AT214)),0)</f>
        <v>1782378</v>
      </c>
      <c r="AY214" s="1215">
        <f t="shared" ref="AY214" si="777">ROUND((+AX214*(1+AT214)),0)</f>
        <v>1877913</v>
      </c>
      <c r="AZ214" s="1215">
        <f t="shared" ref="AZ214" si="778">ROUND((+AY214*(1+AT214)),0)</f>
        <v>1978569</v>
      </c>
      <c r="BA214" s="1155"/>
      <c r="BB214" s="1155"/>
      <c r="BC214" s="1155"/>
      <c r="BD214" s="1155"/>
      <c r="BE214" s="1155"/>
      <c r="BF214" s="1155"/>
      <c r="BG214" s="1155"/>
      <c r="BH214" s="1155"/>
      <c r="BI214" s="1155"/>
      <c r="BJ214" s="1155"/>
      <c r="BK214" s="1155"/>
      <c r="BL214" s="1155"/>
      <c r="BM214" s="1155"/>
      <c r="BN214" s="1155"/>
      <c r="BO214" s="1155"/>
      <c r="BP214" s="1155"/>
      <c r="BQ214" s="1155"/>
      <c r="BR214" s="1155"/>
      <c r="BS214" s="1155"/>
      <c r="BT214" s="1155"/>
      <c r="BU214" s="1155"/>
      <c r="BV214" s="1155"/>
      <c r="BW214" s="1155"/>
      <c r="BX214" s="1155"/>
      <c r="BY214" s="1155"/>
      <c r="BZ214" s="1155"/>
      <c r="CA214" s="1155"/>
      <c r="CB214" s="1155"/>
      <c r="CC214" s="1155"/>
      <c r="CD214" s="1155"/>
      <c r="CE214" s="1155"/>
      <c r="CF214" s="1155"/>
      <c r="CG214" s="1155"/>
      <c r="CH214" s="1155"/>
      <c r="CI214" s="1155"/>
      <c r="CJ214" s="1155"/>
      <c r="CK214" s="1155"/>
      <c r="CL214" s="1155"/>
      <c r="CM214" s="1155"/>
      <c r="CN214" s="1155"/>
      <c r="CO214" s="1155"/>
      <c r="CP214" s="1155"/>
      <c r="CQ214" s="1155"/>
      <c r="CR214" s="1155"/>
      <c r="CS214" s="1155"/>
      <c r="CT214" s="1155"/>
      <c r="CU214" s="1155"/>
      <c r="CV214" s="1155"/>
      <c r="CW214" s="1155"/>
      <c r="CX214" s="1155"/>
      <c r="CY214" s="1155"/>
      <c r="CZ214" s="1155"/>
      <c r="DA214" s="1155"/>
      <c r="DB214" s="1155"/>
      <c r="DC214" s="1155"/>
      <c r="DD214" s="1155"/>
      <c r="DE214" s="1155"/>
      <c r="DF214" s="1155"/>
      <c r="DG214" s="1155"/>
      <c r="DH214" s="1155"/>
      <c r="DI214" s="1155"/>
      <c r="DJ214" s="1155"/>
      <c r="DK214" s="1155"/>
      <c r="DL214" s="1155"/>
      <c r="DM214" s="1155"/>
      <c r="DN214" s="1155"/>
      <c r="DO214" s="1155"/>
      <c r="DP214" s="1155"/>
      <c r="DQ214" s="1155"/>
      <c r="DR214" s="1155"/>
      <c r="DS214" s="1155"/>
      <c r="DT214" s="1155"/>
      <c r="DU214" s="1155"/>
      <c r="DV214" s="1155"/>
      <c r="DW214" s="1155"/>
      <c r="DX214" s="1155"/>
      <c r="DY214" s="1155"/>
      <c r="DZ214" s="1155"/>
      <c r="EA214" s="1155"/>
      <c r="EB214" s="1155"/>
      <c r="EC214" s="1155"/>
      <c r="ED214" s="1155"/>
      <c r="EE214" s="1155"/>
      <c r="EF214" s="1155"/>
      <c r="EG214" s="1155"/>
      <c r="EH214" s="1155"/>
      <c r="EI214" s="1155"/>
      <c r="EJ214" s="1155"/>
      <c r="EK214" s="1155"/>
      <c r="EL214" s="1155"/>
      <c r="EM214" s="1155"/>
      <c r="EN214" s="1155"/>
      <c r="EO214" s="1155"/>
      <c r="EP214" s="1155"/>
      <c r="EQ214" s="1155"/>
      <c r="ER214" s="1155"/>
      <c r="ES214" s="1155"/>
      <c r="ET214" s="1155"/>
      <c r="EU214" s="1155"/>
      <c r="EV214" s="1155"/>
      <c r="EW214" s="1155"/>
      <c r="EX214" s="1155"/>
      <c r="EY214" s="1155"/>
      <c r="EZ214" s="1155"/>
    </row>
    <row r="215" spans="1:156" s="1158" customFormat="1" x14ac:dyDescent="0.3">
      <c r="A215" s="1155"/>
      <c r="B215" s="1155" t="s">
        <v>2221</v>
      </c>
      <c r="C215" s="1159">
        <f>+'661 440 CWF'!C67</f>
        <v>0</v>
      </c>
      <c r="D215" s="1159">
        <f>+'661 440 CWF'!D67</f>
        <v>0</v>
      </c>
      <c r="E215" s="1174" t="e">
        <f t="shared" si="757"/>
        <v>#DIV/0!</v>
      </c>
      <c r="F215" s="1160"/>
      <c r="G215" s="1159">
        <f>+'661 440 CWF'!E67</f>
        <v>0</v>
      </c>
      <c r="H215" s="1174" t="e">
        <f t="shared" si="758"/>
        <v>#DIV/0!</v>
      </c>
      <c r="I215" s="1160"/>
      <c r="J215" s="1159">
        <f>+'661 440 CWF'!F67</f>
        <v>0</v>
      </c>
      <c r="K215" s="1174" t="e">
        <f>ROUND(((+J215-G215)/G215),4)</f>
        <v>#DIV/0!</v>
      </c>
      <c r="L215" s="1160"/>
      <c r="M215" s="1159">
        <f>+'661 440 CWF'!G67</f>
        <v>0</v>
      </c>
      <c r="N215" s="1174" t="e">
        <f>ROUND(((+M215-J215)/J215),4)</f>
        <v>#DIV/0!</v>
      </c>
      <c r="O215" s="1160"/>
      <c r="P215" s="1159">
        <f>+'661 440 CWF'!H67</f>
        <v>0</v>
      </c>
      <c r="Q215" s="1174" t="e">
        <f>ROUND(((+P215-M215)/M215),4)</f>
        <v>#DIV/0!</v>
      </c>
      <c r="R215" s="1160"/>
      <c r="S215" s="1159">
        <f>+'661 440 CWF'!I67</f>
        <v>0</v>
      </c>
      <c r="T215" s="1174" t="e">
        <f>ROUND(((+S215-P215)/P215),4)</f>
        <v>#DIV/0!</v>
      </c>
      <c r="U215" s="1160"/>
      <c r="V215" s="1159">
        <f>+'661 440 CWF'!J67</f>
        <v>0</v>
      </c>
      <c r="W215" s="1174" t="e">
        <f>ROUND(((+V215-S215)/S215),4)</f>
        <v>#DIV/0!</v>
      </c>
      <c r="X215" s="1160">
        <f>+'661 440 CWF'!K67</f>
        <v>0</v>
      </c>
      <c r="Y215" s="1159">
        <f>+'661 440 CWF'!L67</f>
        <v>0</v>
      </c>
      <c r="Z215" s="1174" t="e">
        <f t="shared" si="759"/>
        <v>#DIV/0!</v>
      </c>
      <c r="AA215" s="1160">
        <f>+'661 440 CWF'!M67</f>
        <v>0</v>
      </c>
      <c r="AB215" s="1174" t="e">
        <f t="shared" si="760"/>
        <v>#DIV/0!</v>
      </c>
      <c r="AC215" s="1159">
        <f>+'661 440 CWF'!N67</f>
        <v>0</v>
      </c>
      <c r="AD215" s="1174" t="e">
        <f t="shared" si="768"/>
        <v>#DIV/0!</v>
      </c>
      <c r="AE215" s="1160">
        <f>+'661 440 CWF'!O67</f>
        <v>0</v>
      </c>
      <c r="AF215" s="1174" t="e">
        <f t="shared" si="769"/>
        <v>#DIV/0!</v>
      </c>
      <c r="AG215" s="1159">
        <f>+'661 440 CWF'!P67</f>
        <v>0</v>
      </c>
      <c r="AH215" s="1174" t="e">
        <f t="shared" si="770"/>
        <v>#DIV/0!</v>
      </c>
      <c r="AI215" s="1174"/>
      <c r="AJ215" s="1174"/>
      <c r="AK215" s="1160">
        <f>+'661 440 CWF'!Q67</f>
        <v>0</v>
      </c>
      <c r="AL215" s="1174" t="e">
        <f t="shared" si="771"/>
        <v>#DIV/0!</v>
      </c>
      <c r="AM215" s="1159">
        <f>+'661 440 CWF'!R67</f>
        <v>0</v>
      </c>
      <c r="AN215" s="1174" t="e">
        <f t="shared" si="772"/>
        <v>#DIV/0!</v>
      </c>
      <c r="AO215" s="1174"/>
      <c r="AP215" s="1174"/>
      <c r="AQ215" s="1160">
        <f>+'661 440 CWF'!S67</f>
        <v>0</v>
      </c>
      <c r="AR215" s="1174" t="e">
        <f t="shared" si="773"/>
        <v>#DIV/0!</v>
      </c>
      <c r="AS215" s="1174" t="e">
        <f t="shared" si="761"/>
        <v>#DIV/0!</v>
      </c>
      <c r="AT215" s="1174" t="e">
        <f t="shared" si="762"/>
        <v>#DIV/0!</v>
      </c>
      <c r="AU215" s="1155"/>
      <c r="AV215" s="1160">
        <v>0</v>
      </c>
      <c r="AW215" s="1160">
        <v>0</v>
      </c>
      <c r="AX215" s="1160">
        <v>0</v>
      </c>
      <c r="AY215" s="1160">
        <v>0</v>
      </c>
      <c r="AZ215" s="1160">
        <v>0</v>
      </c>
      <c r="BA215" s="1155" t="s">
        <v>2272</v>
      </c>
      <c r="BB215" s="1155"/>
      <c r="BC215" s="1155"/>
      <c r="BD215" s="1155"/>
      <c r="BE215" s="1155"/>
      <c r="BF215" s="1155"/>
      <c r="BG215" s="1155"/>
      <c r="BH215" s="1155"/>
      <c r="BI215" s="1155"/>
      <c r="BJ215" s="1155"/>
      <c r="BK215" s="1155"/>
      <c r="BL215" s="1155"/>
      <c r="BM215" s="1155"/>
      <c r="BN215" s="1155"/>
      <c r="BO215" s="1155"/>
      <c r="BP215" s="1155"/>
      <c r="BQ215" s="1155"/>
      <c r="BR215" s="1155"/>
      <c r="BS215" s="1155"/>
      <c r="BT215" s="1155"/>
      <c r="BU215" s="1155"/>
      <c r="BV215" s="1155"/>
      <c r="BW215" s="1155"/>
      <c r="BX215" s="1155"/>
      <c r="BY215" s="1155"/>
      <c r="BZ215" s="1155"/>
      <c r="CA215" s="1155"/>
      <c r="CB215" s="1155"/>
      <c r="CC215" s="1155"/>
      <c r="CD215" s="1155"/>
      <c r="CE215" s="1155"/>
      <c r="CF215" s="1155"/>
      <c r="CG215" s="1155"/>
      <c r="CH215" s="1155"/>
      <c r="CI215" s="1155"/>
      <c r="CJ215" s="1155"/>
      <c r="CK215" s="1155"/>
      <c r="CL215" s="1155"/>
      <c r="CM215" s="1155"/>
      <c r="CN215" s="1155"/>
      <c r="CO215" s="1155"/>
      <c r="CP215" s="1155"/>
      <c r="CQ215" s="1155"/>
      <c r="CR215" s="1155"/>
      <c r="CS215" s="1155"/>
      <c r="CT215" s="1155"/>
      <c r="CU215" s="1155"/>
      <c r="CV215" s="1155"/>
      <c r="CW215" s="1155"/>
      <c r="CX215" s="1155"/>
      <c r="CY215" s="1155"/>
      <c r="CZ215" s="1155"/>
      <c r="DA215" s="1155"/>
      <c r="DB215" s="1155"/>
      <c r="DC215" s="1155"/>
      <c r="DD215" s="1155"/>
      <c r="DE215" s="1155"/>
      <c r="DF215" s="1155"/>
      <c r="DG215" s="1155"/>
      <c r="DH215" s="1155"/>
      <c r="DI215" s="1155"/>
      <c r="DJ215" s="1155"/>
      <c r="DK215" s="1155"/>
      <c r="DL215" s="1155"/>
      <c r="DM215" s="1155"/>
      <c r="DN215" s="1155"/>
      <c r="DO215" s="1155"/>
      <c r="DP215" s="1155"/>
      <c r="DQ215" s="1155"/>
      <c r="DR215" s="1155"/>
      <c r="DS215" s="1155"/>
      <c r="DT215" s="1155"/>
      <c r="DU215" s="1155"/>
      <c r="DV215" s="1155"/>
      <c r="DW215" s="1155"/>
      <c r="DX215" s="1155"/>
      <c r="DY215" s="1155"/>
      <c r="DZ215" s="1155"/>
      <c r="EA215" s="1155"/>
      <c r="EB215" s="1155"/>
      <c r="EC215" s="1155"/>
      <c r="ED215" s="1155"/>
      <c r="EE215" s="1155"/>
      <c r="EF215" s="1155"/>
      <c r="EG215" s="1155"/>
      <c r="EH215" s="1155"/>
      <c r="EI215" s="1155"/>
      <c r="EJ215" s="1155"/>
      <c r="EK215" s="1155"/>
      <c r="EL215" s="1155"/>
      <c r="EM215" s="1155"/>
      <c r="EN215" s="1155"/>
      <c r="EO215" s="1155"/>
      <c r="EP215" s="1155"/>
      <c r="EQ215" s="1155"/>
      <c r="ER215" s="1155"/>
      <c r="ES215" s="1155"/>
      <c r="ET215" s="1155"/>
      <c r="EU215" s="1155"/>
      <c r="EV215" s="1155"/>
      <c r="EW215" s="1155"/>
      <c r="EX215" s="1155"/>
      <c r="EY215" s="1155"/>
      <c r="EZ215" s="1155"/>
    </row>
    <row r="216" spans="1:156" s="1158" customFormat="1" x14ac:dyDescent="0.3">
      <c r="A216" s="1155"/>
      <c r="B216" s="1155" t="s">
        <v>887</v>
      </c>
      <c r="C216" s="1156">
        <f>SUM(C212:C215)</f>
        <v>1232852.1600000001</v>
      </c>
      <c r="D216" s="1156">
        <f t="shared" ref="D216:AQ216" si="779">SUM(D212:D215)</f>
        <v>1332110.5999999999</v>
      </c>
      <c r="E216" s="1170">
        <f t="shared" si="757"/>
        <v>8.0500000000000002E-2</v>
      </c>
      <c r="F216" s="1157">
        <f t="shared" si="779"/>
        <v>1428230</v>
      </c>
      <c r="G216" s="1156">
        <f t="shared" si="779"/>
        <v>1415714.64</v>
      </c>
      <c r="H216" s="1170">
        <f t="shared" si="758"/>
        <v>6.2799999999999995E-2</v>
      </c>
      <c r="I216" s="1157">
        <f t="shared" si="779"/>
        <v>1525575</v>
      </c>
      <c r="J216" s="1156">
        <f t="shared" si="779"/>
        <v>1411128.35</v>
      </c>
      <c r="K216" s="1170">
        <f>ROUND(((+J216-G216)/G216),4)</f>
        <v>-3.2000000000000002E-3</v>
      </c>
      <c r="L216" s="1157">
        <f t="shared" si="779"/>
        <v>1602016</v>
      </c>
      <c r="M216" s="1156">
        <f t="shared" si="779"/>
        <v>1411401.52</v>
      </c>
      <c r="N216" s="1170">
        <f>ROUND(((+M216-J216)/J216),4)</f>
        <v>2.0000000000000001E-4</v>
      </c>
      <c r="O216" s="1157">
        <f t="shared" si="779"/>
        <v>1573712</v>
      </c>
      <c r="P216" s="1156">
        <f t="shared" si="779"/>
        <v>1459773.7000000002</v>
      </c>
      <c r="Q216" s="1170">
        <f>ROUND(((+P216-M216)/M216),4)</f>
        <v>3.4299999999999997E-2</v>
      </c>
      <c r="R216" s="1157">
        <f t="shared" si="779"/>
        <v>1689656</v>
      </c>
      <c r="S216" s="1156">
        <f t="shared" si="779"/>
        <v>1523345.5699999998</v>
      </c>
      <c r="T216" s="1170">
        <f>ROUND(((+S216-P216)/P216),4)</f>
        <v>4.3499999999999997E-2</v>
      </c>
      <c r="U216" s="1157">
        <f t="shared" si="779"/>
        <v>1431562</v>
      </c>
      <c r="V216" s="1156">
        <f t="shared" si="779"/>
        <v>1546577.2100000002</v>
      </c>
      <c r="W216" s="1170">
        <f>ROUND(((+V216-S216)/S216),4)</f>
        <v>1.5299999999999999E-2</v>
      </c>
      <c r="X216" s="1157">
        <f t="shared" si="779"/>
        <v>1585763</v>
      </c>
      <c r="Y216" s="1156">
        <f t="shared" si="779"/>
        <v>1480090.73</v>
      </c>
      <c r="Z216" s="1170">
        <f t="shared" si="759"/>
        <v>-4.2999999999999997E-2</v>
      </c>
      <c r="AA216" s="1157">
        <f t="shared" si="779"/>
        <v>1693291</v>
      </c>
      <c r="AB216" s="1170">
        <f t="shared" si="760"/>
        <v>6.7799999999999999E-2</v>
      </c>
      <c r="AC216" s="1156">
        <f t="shared" si="779"/>
        <v>1626370.2800000003</v>
      </c>
      <c r="AD216" s="1170">
        <f t="shared" si="768"/>
        <v>9.8799999999999999E-2</v>
      </c>
      <c r="AE216" s="1157">
        <f t="shared" si="779"/>
        <v>1903930</v>
      </c>
      <c r="AF216" s="1170">
        <f t="shared" si="769"/>
        <v>0.1244</v>
      </c>
      <c r="AG216" s="1156">
        <f t="shared" si="779"/>
        <v>1676981.93</v>
      </c>
      <c r="AH216" s="1170">
        <f t="shared" si="770"/>
        <v>3.1099999999999999E-2</v>
      </c>
      <c r="AI216" s="1170"/>
      <c r="AJ216" s="1170"/>
      <c r="AK216" s="1157">
        <f t="shared" si="779"/>
        <v>2015729</v>
      </c>
      <c r="AL216" s="1170">
        <f t="shared" si="771"/>
        <v>5.8700000000000002E-2</v>
      </c>
      <c r="AM216" s="1156">
        <f t="shared" si="779"/>
        <v>857596.88000000012</v>
      </c>
      <c r="AN216" s="1170">
        <f t="shared" si="772"/>
        <v>-0.48859999999999998</v>
      </c>
      <c r="AO216" s="1170"/>
      <c r="AP216" s="1170"/>
      <c r="AQ216" s="1157">
        <f t="shared" si="779"/>
        <v>2116590</v>
      </c>
      <c r="AR216" s="1170">
        <f t="shared" si="773"/>
        <v>0.05</v>
      </c>
      <c r="AS216" s="1170">
        <f t="shared" si="761"/>
        <v>9.5699999999999993E-2</v>
      </c>
      <c r="AT216" s="1170">
        <f t="shared" si="762"/>
        <v>4.82E-2</v>
      </c>
      <c r="AU216" s="1155"/>
      <c r="AV216" s="1157">
        <f t="shared" ref="AV216:AZ216" si="780">SUM(AV212:AV215)</f>
        <v>2219490</v>
      </c>
      <c r="AW216" s="1157">
        <f t="shared" si="780"/>
        <v>2327528</v>
      </c>
      <c r="AX216" s="1157">
        <f t="shared" si="780"/>
        <v>2440966</v>
      </c>
      <c r="AY216" s="1157">
        <f t="shared" si="780"/>
        <v>2560078</v>
      </c>
      <c r="AZ216" s="1157">
        <f t="shared" si="780"/>
        <v>2685156</v>
      </c>
      <c r="BA216" s="1155"/>
      <c r="BB216" s="1155"/>
      <c r="BC216" s="1155"/>
      <c r="BD216" s="1155"/>
      <c r="BE216" s="1155"/>
      <c r="BF216" s="1155"/>
      <c r="BG216" s="1155"/>
      <c r="BH216" s="1155"/>
      <c r="BI216" s="1155"/>
      <c r="BJ216" s="1155"/>
      <c r="BK216" s="1155"/>
      <c r="BL216" s="1155"/>
      <c r="BM216" s="1155"/>
      <c r="BN216" s="1155"/>
      <c r="BO216" s="1155"/>
      <c r="BP216" s="1155"/>
      <c r="BQ216" s="1155"/>
      <c r="BR216" s="1155"/>
      <c r="BS216" s="1155"/>
      <c r="BT216" s="1155"/>
      <c r="BU216" s="1155"/>
      <c r="BV216" s="1155"/>
      <c r="BW216" s="1155"/>
      <c r="BX216" s="1155"/>
      <c r="BY216" s="1155"/>
      <c r="BZ216" s="1155"/>
      <c r="CA216" s="1155"/>
      <c r="CB216" s="1155"/>
      <c r="CC216" s="1155"/>
      <c r="CD216" s="1155"/>
      <c r="CE216" s="1155"/>
      <c r="CF216" s="1155"/>
      <c r="CG216" s="1155"/>
      <c r="CH216" s="1155"/>
      <c r="CI216" s="1155"/>
      <c r="CJ216" s="1155"/>
      <c r="CK216" s="1155"/>
      <c r="CL216" s="1155"/>
      <c r="CM216" s="1155"/>
      <c r="CN216" s="1155"/>
      <c r="CO216" s="1155"/>
      <c r="CP216" s="1155"/>
      <c r="CQ216" s="1155"/>
      <c r="CR216" s="1155"/>
      <c r="CS216" s="1155"/>
      <c r="CT216" s="1155"/>
      <c r="CU216" s="1155"/>
      <c r="CV216" s="1155"/>
      <c r="CW216" s="1155"/>
      <c r="CX216" s="1155"/>
      <c r="CY216" s="1155"/>
      <c r="CZ216" s="1155"/>
      <c r="DA216" s="1155"/>
      <c r="DB216" s="1155"/>
      <c r="DC216" s="1155"/>
      <c r="DD216" s="1155"/>
      <c r="DE216" s="1155"/>
      <c r="DF216" s="1155"/>
      <c r="DG216" s="1155"/>
      <c r="DH216" s="1155"/>
      <c r="DI216" s="1155"/>
      <c r="DJ216" s="1155"/>
      <c r="DK216" s="1155"/>
      <c r="DL216" s="1155"/>
      <c r="DM216" s="1155"/>
      <c r="DN216" s="1155"/>
      <c r="DO216" s="1155"/>
      <c r="DP216" s="1155"/>
      <c r="DQ216" s="1155"/>
      <c r="DR216" s="1155"/>
      <c r="DS216" s="1155"/>
      <c r="DT216" s="1155"/>
      <c r="DU216" s="1155"/>
      <c r="DV216" s="1155"/>
      <c r="DW216" s="1155"/>
      <c r="DX216" s="1155"/>
      <c r="DY216" s="1155"/>
      <c r="DZ216" s="1155"/>
      <c r="EA216" s="1155"/>
      <c r="EB216" s="1155"/>
      <c r="EC216" s="1155"/>
      <c r="ED216" s="1155"/>
      <c r="EE216" s="1155"/>
      <c r="EF216" s="1155"/>
      <c r="EG216" s="1155"/>
      <c r="EH216" s="1155"/>
      <c r="EI216" s="1155"/>
      <c r="EJ216" s="1155"/>
      <c r="EK216" s="1155"/>
      <c r="EL216" s="1155"/>
      <c r="EM216" s="1155"/>
      <c r="EN216" s="1155"/>
      <c r="EO216" s="1155"/>
      <c r="EP216" s="1155"/>
      <c r="EQ216" s="1155"/>
      <c r="ER216" s="1155"/>
      <c r="ES216" s="1155"/>
      <c r="ET216" s="1155"/>
      <c r="EU216" s="1155"/>
      <c r="EV216" s="1155"/>
      <c r="EW216" s="1155"/>
      <c r="EX216" s="1155"/>
      <c r="EY216" s="1155"/>
      <c r="EZ216" s="1155"/>
    </row>
    <row r="217" spans="1:156" s="1158" customFormat="1" x14ac:dyDescent="0.3">
      <c r="A217" s="1155"/>
      <c r="B217" s="1155"/>
      <c r="C217" s="1156"/>
      <c r="D217" s="1156"/>
      <c r="E217" s="1156"/>
      <c r="F217" s="1157"/>
      <c r="G217" s="1156"/>
      <c r="H217" s="1156"/>
      <c r="I217" s="1157"/>
      <c r="J217" s="1156"/>
      <c r="K217" s="1156"/>
      <c r="L217" s="1157"/>
      <c r="M217" s="1156"/>
      <c r="N217" s="1156"/>
      <c r="O217" s="1157"/>
      <c r="P217" s="1156"/>
      <c r="Q217" s="1156"/>
      <c r="R217" s="1157"/>
      <c r="S217" s="1156"/>
      <c r="T217" s="1156"/>
      <c r="U217" s="1157"/>
      <c r="V217" s="1156"/>
      <c r="W217" s="1156"/>
      <c r="X217" s="1157"/>
      <c r="Y217" s="1156"/>
      <c r="Z217" s="1156"/>
      <c r="AA217" s="1157"/>
      <c r="AB217" s="1157"/>
      <c r="AC217" s="1156"/>
      <c r="AD217" s="1156"/>
      <c r="AE217" s="1157"/>
      <c r="AF217" s="1157"/>
      <c r="AG217" s="1156"/>
      <c r="AH217" s="1156"/>
      <c r="AI217" s="1156"/>
      <c r="AJ217" s="1156"/>
      <c r="AK217" s="1157"/>
      <c r="AL217" s="1157"/>
      <c r="AM217" s="1156"/>
      <c r="AN217" s="1156"/>
      <c r="AO217" s="1156"/>
      <c r="AP217" s="1156"/>
      <c r="AQ217" s="1157"/>
      <c r="AR217" s="1157"/>
      <c r="AS217" s="1155"/>
      <c r="AT217" s="1155"/>
      <c r="AU217" s="1155"/>
      <c r="AV217" s="1155"/>
      <c r="AW217" s="1155"/>
      <c r="AX217" s="1155"/>
      <c r="AY217" s="1155"/>
      <c r="AZ217" s="1155"/>
      <c r="BA217" s="1155"/>
      <c r="BB217" s="1155"/>
      <c r="BC217" s="1155"/>
      <c r="BD217" s="1155"/>
      <c r="BE217" s="1155"/>
      <c r="BF217" s="1155"/>
      <c r="BG217" s="1155"/>
      <c r="BH217" s="1155"/>
      <c r="BI217" s="1155"/>
      <c r="BJ217" s="1155"/>
      <c r="BK217" s="1155"/>
      <c r="BL217" s="1155"/>
      <c r="BM217" s="1155"/>
      <c r="BN217" s="1155"/>
      <c r="BO217" s="1155"/>
      <c r="BP217" s="1155"/>
      <c r="BQ217" s="1155"/>
      <c r="BR217" s="1155"/>
      <c r="BS217" s="1155"/>
      <c r="BT217" s="1155"/>
      <c r="BU217" s="1155"/>
      <c r="BV217" s="1155"/>
      <c r="BW217" s="1155"/>
      <c r="BX217" s="1155"/>
      <c r="BY217" s="1155"/>
      <c r="BZ217" s="1155"/>
      <c r="CA217" s="1155"/>
      <c r="CB217" s="1155"/>
      <c r="CC217" s="1155"/>
      <c r="CD217" s="1155"/>
      <c r="CE217" s="1155"/>
      <c r="CF217" s="1155"/>
      <c r="CG217" s="1155"/>
      <c r="CH217" s="1155"/>
      <c r="CI217" s="1155"/>
      <c r="CJ217" s="1155"/>
      <c r="CK217" s="1155"/>
      <c r="CL217" s="1155"/>
      <c r="CM217" s="1155"/>
      <c r="CN217" s="1155"/>
      <c r="CO217" s="1155"/>
      <c r="CP217" s="1155"/>
      <c r="CQ217" s="1155"/>
      <c r="CR217" s="1155"/>
      <c r="CS217" s="1155"/>
      <c r="CT217" s="1155"/>
      <c r="CU217" s="1155"/>
      <c r="CV217" s="1155"/>
      <c r="CW217" s="1155"/>
      <c r="CX217" s="1155"/>
      <c r="CY217" s="1155"/>
      <c r="CZ217" s="1155"/>
      <c r="DA217" s="1155"/>
      <c r="DB217" s="1155"/>
      <c r="DC217" s="1155"/>
      <c r="DD217" s="1155"/>
      <c r="DE217" s="1155"/>
      <c r="DF217" s="1155"/>
      <c r="DG217" s="1155"/>
      <c r="DH217" s="1155"/>
      <c r="DI217" s="1155"/>
      <c r="DJ217" s="1155"/>
      <c r="DK217" s="1155"/>
      <c r="DL217" s="1155"/>
      <c r="DM217" s="1155"/>
      <c r="DN217" s="1155"/>
      <c r="DO217" s="1155"/>
      <c r="DP217" s="1155"/>
      <c r="DQ217" s="1155"/>
      <c r="DR217" s="1155"/>
      <c r="DS217" s="1155"/>
      <c r="DT217" s="1155"/>
      <c r="DU217" s="1155"/>
      <c r="DV217" s="1155"/>
      <c r="DW217" s="1155"/>
      <c r="DX217" s="1155"/>
      <c r="DY217" s="1155"/>
      <c r="DZ217" s="1155"/>
      <c r="EA217" s="1155"/>
      <c r="EB217" s="1155"/>
      <c r="EC217" s="1155"/>
      <c r="ED217" s="1155"/>
      <c r="EE217" s="1155"/>
      <c r="EF217" s="1155"/>
      <c r="EG217" s="1155"/>
      <c r="EH217" s="1155"/>
      <c r="EI217" s="1155"/>
      <c r="EJ217" s="1155"/>
      <c r="EK217" s="1155"/>
      <c r="EL217" s="1155"/>
      <c r="EM217" s="1155"/>
      <c r="EN217" s="1155"/>
      <c r="EO217" s="1155"/>
      <c r="EP217" s="1155"/>
      <c r="EQ217" s="1155"/>
      <c r="ER217" s="1155"/>
      <c r="ES217" s="1155"/>
      <c r="ET217" s="1155"/>
      <c r="EU217" s="1155"/>
      <c r="EV217" s="1155"/>
      <c r="EW217" s="1155"/>
      <c r="EX217" s="1155"/>
      <c r="EY217" s="1155"/>
      <c r="EZ217" s="1155"/>
    </row>
    <row r="218" spans="1:156" s="1158" customFormat="1" x14ac:dyDescent="0.3">
      <c r="A218" s="1154" t="s">
        <v>2216</v>
      </c>
      <c r="B218" s="1155"/>
      <c r="C218" s="1156"/>
      <c r="D218" s="1156"/>
      <c r="E218" s="1156"/>
      <c r="F218" s="1157"/>
      <c r="G218" s="1156"/>
      <c r="H218" s="1156"/>
      <c r="I218" s="1157"/>
      <c r="J218" s="1156"/>
      <c r="K218" s="1156"/>
      <c r="L218" s="1157"/>
      <c r="M218" s="1156"/>
      <c r="N218" s="1156"/>
      <c r="O218" s="1157"/>
      <c r="P218" s="1156"/>
      <c r="Q218" s="1156"/>
      <c r="R218" s="1157"/>
      <c r="S218" s="1156"/>
      <c r="T218" s="1156"/>
      <c r="U218" s="1157"/>
      <c r="V218" s="1156"/>
      <c r="W218" s="1156"/>
      <c r="X218" s="1157"/>
      <c r="Y218" s="1156"/>
      <c r="Z218" s="1156"/>
      <c r="AA218" s="1157"/>
      <c r="AB218" s="1157"/>
      <c r="AC218" s="1156"/>
      <c r="AD218" s="1156"/>
      <c r="AE218" s="1157"/>
      <c r="AF218" s="1157"/>
      <c r="AG218" s="1156"/>
      <c r="AH218" s="1156"/>
      <c r="AI218" s="1156"/>
      <c r="AJ218" s="1156"/>
      <c r="AK218" s="1157"/>
      <c r="AL218" s="1157"/>
      <c r="AM218" s="1156"/>
      <c r="AN218" s="1156"/>
      <c r="AO218" s="1156"/>
      <c r="AP218" s="1156"/>
      <c r="AQ218" s="1157"/>
      <c r="AR218" s="1157"/>
      <c r="AS218" s="1155"/>
      <c r="AT218" s="1155"/>
      <c r="AU218" s="1155"/>
      <c r="AV218" s="1155"/>
      <c r="AW218" s="1155"/>
      <c r="AX218" s="1155"/>
      <c r="AY218" s="1155"/>
      <c r="AZ218" s="1155"/>
      <c r="BA218" s="1155"/>
      <c r="BB218" s="1155"/>
      <c r="BC218" s="1155"/>
      <c r="BD218" s="1155"/>
      <c r="BE218" s="1155"/>
      <c r="BF218" s="1155"/>
      <c r="BG218" s="1155"/>
      <c r="BH218" s="1155"/>
      <c r="BI218" s="1155"/>
      <c r="BJ218" s="1155"/>
      <c r="BK218" s="1155"/>
      <c r="BL218" s="1155"/>
      <c r="BM218" s="1155"/>
      <c r="BN218" s="1155"/>
      <c r="BO218" s="1155"/>
      <c r="BP218" s="1155"/>
      <c r="BQ218" s="1155"/>
      <c r="BR218" s="1155"/>
      <c r="BS218" s="1155"/>
      <c r="BT218" s="1155"/>
      <c r="BU218" s="1155"/>
      <c r="BV218" s="1155"/>
      <c r="BW218" s="1155"/>
      <c r="BX218" s="1155"/>
      <c r="BY218" s="1155"/>
      <c r="BZ218" s="1155"/>
      <c r="CA218" s="1155"/>
      <c r="CB218" s="1155"/>
      <c r="CC218" s="1155"/>
      <c r="CD218" s="1155"/>
      <c r="CE218" s="1155"/>
      <c r="CF218" s="1155"/>
      <c r="CG218" s="1155"/>
      <c r="CH218" s="1155"/>
      <c r="CI218" s="1155"/>
      <c r="CJ218" s="1155"/>
      <c r="CK218" s="1155"/>
      <c r="CL218" s="1155"/>
      <c r="CM218" s="1155"/>
      <c r="CN218" s="1155"/>
      <c r="CO218" s="1155"/>
      <c r="CP218" s="1155"/>
      <c r="CQ218" s="1155"/>
      <c r="CR218" s="1155"/>
      <c r="CS218" s="1155"/>
      <c r="CT218" s="1155"/>
      <c r="CU218" s="1155"/>
      <c r="CV218" s="1155"/>
      <c r="CW218" s="1155"/>
      <c r="CX218" s="1155"/>
      <c r="CY218" s="1155"/>
      <c r="CZ218" s="1155"/>
      <c r="DA218" s="1155"/>
      <c r="DB218" s="1155"/>
      <c r="DC218" s="1155"/>
      <c r="DD218" s="1155"/>
      <c r="DE218" s="1155"/>
      <c r="DF218" s="1155"/>
      <c r="DG218" s="1155"/>
      <c r="DH218" s="1155"/>
      <c r="DI218" s="1155"/>
      <c r="DJ218" s="1155"/>
      <c r="DK218" s="1155"/>
      <c r="DL218" s="1155"/>
      <c r="DM218" s="1155"/>
      <c r="DN218" s="1155"/>
      <c r="DO218" s="1155"/>
      <c r="DP218" s="1155"/>
      <c r="DQ218" s="1155"/>
      <c r="DR218" s="1155"/>
      <c r="DS218" s="1155"/>
      <c r="DT218" s="1155"/>
      <c r="DU218" s="1155"/>
      <c r="DV218" s="1155"/>
      <c r="DW218" s="1155"/>
      <c r="DX218" s="1155"/>
      <c r="DY218" s="1155"/>
      <c r="DZ218" s="1155"/>
      <c r="EA218" s="1155"/>
      <c r="EB218" s="1155"/>
      <c r="EC218" s="1155"/>
      <c r="ED218" s="1155"/>
      <c r="EE218" s="1155"/>
      <c r="EF218" s="1155"/>
      <c r="EG218" s="1155"/>
      <c r="EH218" s="1155"/>
      <c r="EI218" s="1155"/>
      <c r="EJ218" s="1155"/>
      <c r="EK218" s="1155"/>
      <c r="EL218" s="1155"/>
      <c r="EM218" s="1155"/>
      <c r="EN218" s="1155"/>
      <c r="EO218" s="1155"/>
      <c r="EP218" s="1155"/>
      <c r="EQ218" s="1155"/>
      <c r="ER218" s="1155"/>
      <c r="ES218" s="1155"/>
      <c r="ET218" s="1155"/>
      <c r="EU218" s="1155"/>
      <c r="EV218" s="1155"/>
      <c r="EW218" s="1155"/>
      <c r="EX218" s="1155"/>
      <c r="EY218" s="1155"/>
      <c r="EZ218" s="1155"/>
    </row>
    <row r="219" spans="1:156" s="1158" customFormat="1" x14ac:dyDescent="0.3">
      <c r="A219" s="1155"/>
      <c r="B219" s="1155" t="s">
        <v>2218</v>
      </c>
      <c r="C219" s="1156">
        <f>+'661 449 Hwy'!C12</f>
        <v>7369.9000000000005</v>
      </c>
      <c r="D219" s="1156">
        <f>+'661 449 Hwy'!D12</f>
        <v>8453.2100000000009</v>
      </c>
      <c r="E219" s="1170">
        <f t="shared" ref="E219:E222" si="781">ROUND(((+D219-C219)/C219),4)</f>
        <v>0.14699999999999999</v>
      </c>
      <c r="F219" s="1157">
        <v>28555</v>
      </c>
      <c r="G219" s="1156">
        <f>+'661 449 Hwy'!E12</f>
        <v>20274.219999999998</v>
      </c>
      <c r="H219" s="1170">
        <f t="shared" ref="H219:H222" si="782">ROUND(((+G219-D219)/D219),4)</f>
        <v>1.3984000000000001</v>
      </c>
      <c r="I219" s="1157">
        <v>28555</v>
      </c>
      <c r="J219" s="1156">
        <f>+'661 449 Hwy'!F12</f>
        <v>15745.48</v>
      </c>
      <c r="K219" s="1170">
        <f>ROUND(((+J219-G219)/G219),4)</f>
        <v>-0.22339999999999999</v>
      </c>
      <c r="L219" s="1157">
        <v>24000</v>
      </c>
      <c r="M219" s="1156">
        <f>+'661 449 Hwy'!G12</f>
        <v>12079.99</v>
      </c>
      <c r="N219" s="1170">
        <f>ROUND(((+M219-J219)/J219),4)</f>
        <v>-0.23280000000000001</v>
      </c>
      <c r="O219" s="1157">
        <v>24000</v>
      </c>
      <c r="P219" s="1156">
        <f>+'661 449 Hwy'!H12</f>
        <v>13821.759999999998</v>
      </c>
      <c r="Q219" s="1170">
        <f>ROUND(((+P219-M219)/M219),4)</f>
        <v>0.14419999999999999</v>
      </c>
      <c r="R219" s="1157">
        <v>24800</v>
      </c>
      <c r="S219" s="1156">
        <f>+'661 449 Hwy'!I12</f>
        <v>19270.04</v>
      </c>
      <c r="T219" s="1170">
        <f>ROUND(((+S219-P219)/P219),4)</f>
        <v>0.39419999999999999</v>
      </c>
      <c r="U219" s="1157">
        <v>24800</v>
      </c>
      <c r="V219" s="1156">
        <f>+'661 449 Hwy'!J12</f>
        <v>3634.67</v>
      </c>
      <c r="W219" s="1170">
        <f>ROUND(((+V219-S219)/S219),4)</f>
        <v>-0.81140000000000001</v>
      </c>
      <c r="X219" s="1157">
        <f>+'661 449 Hwy'!K12</f>
        <v>24800</v>
      </c>
      <c r="Y219" s="1156">
        <f>+'661 449 Hwy'!L12</f>
        <v>14296.58</v>
      </c>
      <c r="Z219" s="1170">
        <f t="shared" ref="Z219:Z222" si="783">ROUND(((+Y219-V219)/V219),4)</f>
        <v>2.9333999999999998</v>
      </c>
      <c r="AA219" s="1157">
        <f>+'661 449 Hwy'!M12</f>
        <v>24800</v>
      </c>
      <c r="AB219" s="1170">
        <f t="shared" ref="AB219:AB222" si="784">ROUND(((+AA219-X219)/X219),4)</f>
        <v>0</v>
      </c>
      <c r="AC219" s="1156">
        <f>+'661 449 Hwy'!N12</f>
        <v>13286.029999999999</v>
      </c>
      <c r="AD219" s="1170">
        <f t="shared" ref="AD219:AD222" si="785">ROUND(((+AC219-Y219)/Y219),4)</f>
        <v>-7.0699999999999999E-2</v>
      </c>
      <c r="AE219" s="1157">
        <f>+'661 449 Hwy'!O12</f>
        <v>24800</v>
      </c>
      <c r="AF219" s="1170">
        <f t="shared" ref="AF219:AF222" si="786">ROUND(((+AE219-AA219)/AA219),4)</f>
        <v>0</v>
      </c>
      <c r="AG219" s="1156">
        <f>+'661 449 Hwy'!P12</f>
        <v>19138.29</v>
      </c>
      <c r="AH219" s="1170">
        <f t="shared" ref="AH219:AH222" si="787">ROUND(((+AG219-AC219)/AC219),4)</f>
        <v>0.4405</v>
      </c>
      <c r="AI219" s="1170"/>
      <c r="AJ219" s="1170"/>
      <c r="AK219" s="1157">
        <f>+'661 449 Hwy'!Q12</f>
        <v>32800</v>
      </c>
      <c r="AL219" s="1170">
        <f t="shared" ref="AL219:AL222" si="788">ROUND(((+AK219-AE219)/AE219),4)</f>
        <v>0.3226</v>
      </c>
      <c r="AM219" s="1156">
        <f>+'661 449 Hwy'!R12</f>
        <v>12499.54</v>
      </c>
      <c r="AN219" s="1170">
        <f t="shared" ref="AN219:AN222" si="789">ROUND(((+AM219-AG219)/AG219),4)</f>
        <v>-0.34689999999999999</v>
      </c>
      <c r="AO219" s="1170"/>
      <c r="AP219" s="1170"/>
      <c r="AQ219" s="1157">
        <f>+'661 449 Hwy'!S12</f>
        <v>32800</v>
      </c>
      <c r="AR219" s="1170">
        <f t="shared" ref="AR219:AR222" si="790">ROUND(((+AQ219-AK219)/AK219),4)</f>
        <v>0</v>
      </c>
      <c r="AS219" s="1170">
        <f t="shared" ref="AS219:AS222" si="791">ROUND((((+AQ219-U219)/U219)/5),4)</f>
        <v>6.4500000000000002E-2</v>
      </c>
      <c r="AT219" s="1170">
        <f t="shared" ref="AT219:AT222" si="792">ROUND((((+AQ219-F219)/F219)/10),4)</f>
        <v>1.49E-2</v>
      </c>
      <c r="AU219" s="1155"/>
      <c r="AV219" s="1157">
        <f t="shared" ref="AV219:AV221" si="793">ROUND((+AQ219*(1+AT219)),0)</f>
        <v>33289</v>
      </c>
      <c r="AW219" s="1157">
        <f t="shared" ref="AW219:AW221" si="794">ROUND((+AV219*(1+AT219)),0)</f>
        <v>33785</v>
      </c>
      <c r="AX219" s="1157">
        <f t="shared" ref="AX219:AX221" si="795">ROUND((+AW219*(1+AT219)),0)</f>
        <v>34288</v>
      </c>
      <c r="AY219" s="1157">
        <f t="shared" ref="AY219:AY221" si="796">ROUND((+AX219*(1+AT219)),0)</f>
        <v>34799</v>
      </c>
      <c r="AZ219" s="1157">
        <f t="shared" ref="AZ219:AZ221" si="797">ROUND((+AY219*(1+AT219)),0)</f>
        <v>35318</v>
      </c>
      <c r="BA219" s="1155"/>
      <c r="BB219" s="1155"/>
      <c r="BC219" s="1155"/>
      <c r="BD219" s="1155"/>
      <c r="BE219" s="1155"/>
      <c r="BF219" s="1155"/>
      <c r="BG219" s="1155"/>
      <c r="BH219" s="1155"/>
      <c r="BI219" s="1155"/>
      <c r="BJ219" s="1155"/>
      <c r="BK219" s="1155"/>
      <c r="BL219" s="1155"/>
      <c r="BM219" s="1155"/>
      <c r="BN219" s="1155"/>
      <c r="BO219" s="1155"/>
      <c r="BP219" s="1155"/>
      <c r="BQ219" s="1155"/>
      <c r="BR219" s="1155"/>
      <c r="BS219" s="1155"/>
      <c r="BT219" s="1155"/>
      <c r="BU219" s="1155"/>
      <c r="BV219" s="1155"/>
      <c r="BW219" s="1155"/>
      <c r="BX219" s="1155"/>
      <c r="BY219" s="1155"/>
      <c r="BZ219" s="1155"/>
      <c r="CA219" s="1155"/>
      <c r="CB219" s="1155"/>
      <c r="CC219" s="1155"/>
      <c r="CD219" s="1155"/>
      <c r="CE219" s="1155"/>
      <c r="CF219" s="1155"/>
      <c r="CG219" s="1155"/>
      <c r="CH219" s="1155"/>
      <c r="CI219" s="1155"/>
      <c r="CJ219" s="1155"/>
      <c r="CK219" s="1155"/>
      <c r="CL219" s="1155"/>
      <c r="CM219" s="1155"/>
      <c r="CN219" s="1155"/>
      <c r="CO219" s="1155"/>
      <c r="CP219" s="1155"/>
      <c r="CQ219" s="1155"/>
      <c r="CR219" s="1155"/>
      <c r="CS219" s="1155"/>
      <c r="CT219" s="1155"/>
      <c r="CU219" s="1155"/>
      <c r="CV219" s="1155"/>
      <c r="CW219" s="1155"/>
      <c r="CX219" s="1155"/>
      <c r="CY219" s="1155"/>
      <c r="CZ219" s="1155"/>
      <c r="DA219" s="1155"/>
      <c r="DB219" s="1155"/>
      <c r="DC219" s="1155"/>
      <c r="DD219" s="1155"/>
      <c r="DE219" s="1155"/>
      <c r="DF219" s="1155"/>
      <c r="DG219" s="1155"/>
      <c r="DH219" s="1155"/>
      <c r="DI219" s="1155"/>
      <c r="DJ219" s="1155"/>
      <c r="DK219" s="1155"/>
      <c r="DL219" s="1155"/>
      <c r="DM219" s="1155"/>
      <c r="DN219" s="1155"/>
      <c r="DO219" s="1155"/>
      <c r="DP219" s="1155"/>
      <c r="DQ219" s="1155"/>
      <c r="DR219" s="1155"/>
      <c r="DS219" s="1155"/>
      <c r="DT219" s="1155"/>
      <c r="DU219" s="1155"/>
      <c r="DV219" s="1155"/>
      <c r="DW219" s="1155"/>
      <c r="DX219" s="1155"/>
      <c r="DY219" s="1155"/>
      <c r="DZ219" s="1155"/>
      <c r="EA219" s="1155"/>
      <c r="EB219" s="1155"/>
      <c r="EC219" s="1155"/>
      <c r="ED219" s="1155"/>
      <c r="EE219" s="1155"/>
      <c r="EF219" s="1155"/>
      <c r="EG219" s="1155"/>
      <c r="EH219" s="1155"/>
      <c r="EI219" s="1155"/>
      <c r="EJ219" s="1155"/>
      <c r="EK219" s="1155"/>
      <c r="EL219" s="1155"/>
      <c r="EM219" s="1155"/>
      <c r="EN219" s="1155"/>
      <c r="EO219" s="1155"/>
      <c r="EP219" s="1155"/>
      <c r="EQ219" s="1155"/>
      <c r="ER219" s="1155"/>
      <c r="ES219" s="1155"/>
      <c r="ET219" s="1155"/>
      <c r="EU219" s="1155"/>
      <c r="EV219" s="1155"/>
      <c r="EW219" s="1155"/>
      <c r="EX219" s="1155"/>
      <c r="EY219" s="1155"/>
      <c r="EZ219" s="1155"/>
    </row>
    <row r="220" spans="1:156" s="1158" customFormat="1" x14ac:dyDescent="0.3">
      <c r="A220" s="1155"/>
      <c r="B220" s="1155" t="s">
        <v>1869</v>
      </c>
      <c r="C220" s="1156">
        <f>+'661 449 Hwy'!C24</f>
        <v>15024.749999999998</v>
      </c>
      <c r="D220" s="1156">
        <f>+'661 449 Hwy'!D24</f>
        <v>8886.11</v>
      </c>
      <c r="E220" s="1170">
        <f t="shared" si="781"/>
        <v>-0.40860000000000002</v>
      </c>
      <c r="F220" s="1157">
        <v>18404</v>
      </c>
      <c r="G220" s="1156">
        <f>+'661 449 Hwy'!E24</f>
        <v>21404.38</v>
      </c>
      <c r="H220" s="1170">
        <f t="shared" si="782"/>
        <v>1.4087000000000001</v>
      </c>
      <c r="I220" s="1157">
        <v>18404</v>
      </c>
      <c r="J220" s="1156">
        <f>+'661 449 Hwy'!F24</f>
        <v>31207.379999999997</v>
      </c>
      <c r="K220" s="1170">
        <f>ROUND(((+J220-G220)/G220),4)</f>
        <v>0.45800000000000002</v>
      </c>
      <c r="L220" s="1157">
        <v>18000</v>
      </c>
      <c r="M220" s="1156">
        <f>+'661 449 Hwy'!G24</f>
        <v>7526</v>
      </c>
      <c r="N220" s="1170">
        <f>ROUND(((+M220-J220)/J220),4)</f>
        <v>-0.75880000000000003</v>
      </c>
      <c r="O220" s="1157">
        <v>18000</v>
      </c>
      <c r="P220" s="1156">
        <f>+'661 449 Hwy'!H24</f>
        <v>5335.95</v>
      </c>
      <c r="Q220" s="1170">
        <f>ROUND(((+P220-M220)/M220),4)</f>
        <v>-0.29099999999999998</v>
      </c>
      <c r="R220" s="1157">
        <v>18000</v>
      </c>
      <c r="S220" s="1156">
        <f>+'661 449 Hwy'!I24</f>
        <v>7717.74</v>
      </c>
      <c r="T220" s="1170">
        <f>ROUND(((+S220-P220)/P220),4)</f>
        <v>0.44640000000000002</v>
      </c>
      <c r="U220" s="1157">
        <v>18000</v>
      </c>
      <c r="V220" s="1156">
        <f>+'661 449 Hwy'!J24</f>
        <v>7671.97</v>
      </c>
      <c r="W220" s="1170">
        <f>ROUND(((+V220-S220)/S220),4)</f>
        <v>-5.8999999999999999E-3</v>
      </c>
      <c r="X220" s="1157">
        <f>+'661 449 Hwy'!K24</f>
        <v>18000</v>
      </c>
      <c r="Y220" s="1156">
        <f>+'661 449 Hwy'!L24</f>
        <v>12786.8</v>
      </c>
      <c r="Z220" s="1170">
        <f t="shared" si="783"/>
        <v>0.66669999999999996</v>
      </c>
      <c r="AA220" s="1157">
        <f>+'661 449 Hwy'!M24</f>
        <v>18000</v>
      </c>
      <c r="AB220" s="1170">
        <f t="shared" si="784"/>
        <v>0</v>
      </c>
      <c r="AC220" s="1156">
        <f>+'661 449 Hwy'!N24</f>
        <v>21546.7</v>
      </c>
      <c r="AD220" s="1170">
        <f t="shared" si="785"/>
        <v>0.68510000000000004</v>
      </c>
      <c r="AE220" s="1157">
        <f>+'661 449 Hwy'!O24</f>
        <v>18000</v>
      </c>
      <c r="AF220" s="1170">
        <f t="shared" si="786"/>
        <v>0</v>
      </c>
      <c r="AG220" s="1156">
        <f>+'661 449 Hwy'!P24</f>
        <v>15045.099999999999</v>
      </c>
      <c r="AH220" s="1170">
        <f t="shared" si="787"/>
        <v>-0.30170000000000002</v>
      </c>
      <c r="AI220" s="1170"/>
      <c r="AJ220" s="1170"/>
      <c r="AK220" s="1157">
        <f>+'661 449 Hwy'!Q24</f>
        <v>51850</v>
      </c>
      <c r="AL220" s="1170">
        <f t="shared" si="788"/>
        <v>1.8806</v>
      </c>
      <c r="AM220" s="1156">
        <f>+'661 449 Hwy'!R24</f>
        <v>12913.500000000002</v>
      </c>
      <c r="AN220" s="1170">
        <f t="shared" si="789"/>
        <v>-0.14169999999999999</v>
      </c>
      <c r="AO220" s="1170"/>
      <c r="AP220" s="1170"/>
      <c r="AQ220" s="1157">
        <f>+'661 449 Hwy'!S24</f>
        <v>52350</v>
      </c>
      <c r="AR220" s="1170">
        <f t="shared" si="790"/>
        <v>9.5999999999999992E-3</v>
      </c>
      <c r="AS220" s="1170">
        <f t="shared" si="791"/>
        <v>0.38169999999999998</v>
      </c>
      <c r="AT220" s="1170">
        <f t="shared" si="792"/>
        <v>0.18440000000000001</v>
      </c>
      <c r="AU220" s="1155"/>
      <c r="AV220" s="1157">
        <f>ROUND((+AQ220*(1.052)),0)</f>
        <v>55072</v>
      </c>
      <c r="AW220" s="1157">
        <f>ROUND((+AV220*(1.05)),0)</f>
        <v>57826</v>
      </c>
      <c r="AX220" s="1157">
        <f>ROUND((+AW220*(1.05)),0)</f>
        <v>60717</v>
      </c>
      <c r="AY220" s="1157">
        <f>ROUND((+AX220*(1.05)),0)</f>
        <v>63753</v>
      </c>
      <c r="AZ220" s="1157">
        <f>ROUND((+AY220*(1.05)),0)</f>
        <v>66941</v>
      </c>
      <c r="BA220" s="1219">
        <v>0.05</v>
      </c>
      <c r="BB220" s="1155" t="s">
        <v>2274</v>
      </c>
      <c r="BC220" s="1155"/>
      <c r="BD220" s="1155"/>
      <c r="BE220" s="1155"/>
      <c r="BF220" s="1155"/>
      <c r="BG220" s="1155"/>
      <c r="BH220" s="1155"/>
      <c r="BI220" s="1155"/>
      <c r="BJ220" s="1155"/>
      <c r="BK220" s="1155"/>
      <c r="BL220" s="1155"/>
      <c r="BM220" s="1155"/>
      <c r="BN220" s="1155"/>
      <c r="BO220" s="1155"/>
      <c r="BP220" s="1155"/>
      <c r="BQ220" s="1155"/>
      <c r="BR220" s="1155"/>
      <c r="BS220" s="1155"/>
      <c r="BT220" s="1155"/>
      <c r="BU220" s="1155"/>
      <c r="BV220" s="1155"/>
      <c r="BW220" s="1155"/>
      <c r="BX220" s="1155"/>
      <c r="BY220" s="1155"/>
      <c r="BZ220" s="1155"/>
      <c r="CA220" s="1155"/>
      <c r="CB220" s="1155"/>
      <c r="CC220" s="1155"/>
      <c r="CD220" s="1155"/>
      <c r="CE220" s="1155"/>
      <c r="CF220" s="1155"/>
      <c r="CG220" s="1155"/>
      <c r="CH220" s="1155"/>
      <c r="CI220" s="1155"/>
      <c r="CJ220" s="1155"/>
      <c r="CK220" s="1155"/>
      <c r="CL220" s="1155"/>
      <c r="CM220" s="1155"/>
      <c r="CN220" s="1155"/>
      <c r="CO220" s="1155"/>
      <c r="CP220" s="1155"/>
      <c r="CQ220" s="1155"/>
      <c r="CR220" s="1155"/>
      <c r="CS220" s="1155"/>
      <c r="CT220" s="1155"/>
      <c r="CU220" s="1155"/>
      <c r="CV220" s="1155"/>
      <c r="CW220" s="1155"/>
      <c r="CX220" s="1155"/>
      <c r="CY220" s="1155"/>
      <c r="CZ220" s="1155"/>
      <c r="DA220" s="1155"/>
      <c r="DB220" s="1155"/>
      <c r="DC220" s="1155"/>
      <c r="DD220" s="1155"/>
      <c r="DE220" s="1155"/>
      <c r="DF220" s="1155"/>
      <c r="DG220" s="1155"/>
      <c r="DH220" s="1155"/>
      <c r="DI220" s="1155"/>
      <c r="DJ220" s="1155"/>
      <c r="DK220" s="1155"/>
      <c r="DL220" s="1155"/>
      <c r="DM220" s="1155"/>
      <c r="DN220" s="1155"/>
      <c r="DO220" s="1155"/>
      <c r="DP220" s="1155"/>
      <c r="DQ220" s="1155"/>
      <c r="DR220" s="1155"/>
      <c r="DS220" s="1155"/>
      <c r="DT220" s="1155"/>
      <c r="DU220" s="1155"/>
      <c r="DV220" s="1155"/>
      <c r="DW220" s="1155"/>
      <c r="DX220" s="1155"/>
      <c r="DY220" s="1155"/>
      <c r="DZ220" s="1155"/>
      <c r="EA220" s="1155"/>
      <c r="EB220" s="1155"/>
      <c r="EC220" s="1155"/>
      <c r="ED220" s="1155"/>
      <c r="EE220" s="1155"/>
      <c r="EF220" s="1155"/>
      <c r="EG220" s="1155"/>
      <c r="EH220" s="1155"/>
      <c r="EI220" s="1155"/>
      <c r="EJ220" s="1155"/>
      <c r="EK220" s="1155"/>
      <c r="EL220" s="1155"/>
      <c r="EM220" s="1155"/>
      <c r="EN220" s="1155"/>
      <c r="EO220" s="1155"/>
      <c r="EP220" s="1155"/>
      <c r="EQ220" s="1155"/>
      <c r="ER220" s="1155"/>
      <c r="ES220" s="1155"/>
      <c r="ET220" s="1155"/>
      <c r="EU220" s="1155"/>
      <c r="EV220" s="1155"/>
      <c r="EW220" s="1155"/>
      <c r="EX220" s="1155"/>
      <c r="EY220" s="1155"/>
      <c r="EZ220" s="1155"/>
    </row>
    <row r="221" spans="1:156" s="1158" customFormat="1" x14ac:dyDescent="0.3">
      <c r="A221" s="1155"/>
      <c r="B221" s="1155" t="s">
        <v>2221</v>
      </c>
      <c r="C221" s="1159">
        <f>+'661 449 Hwy'!C27</f>
        <v>2116.23</v>
      </c>
      <c r="D221" s="1159">
        <f>+'661 449 Hwy'!D27</f>
        <v>0</v>
      </c>
      <c r="E221" s="1174">
        <f t="shared" si="781"/>
        <v>-1</v>
      </c>
      <c r="F221" s="1160">
        <v>8000</v>
      </c>
      <c r="G221" s="1159">
        <f>+'661 449 Hwy'!E27</f>
        <v>0</v>
      </c>
      <c r="H221" s="1174" t="e">
        <f t="shared" si="782"/>
        <v>#DIV/0!</v>
      </c>
      <c r="I221" s="1160">
        <v>8000</v>
      </c>
      <c r="J221" s="1159">
        <f>+'661 449 Hwy'!F27</f>
        <v>6467.28</v>
      </c>
      <c r="K221" s="1174" t="e">
        <f>ROUND(((+J221-G221)/G221),4)</f>
        <v>#DIV/0!</v>
      </c>
      <c r="L221" s="1160">
        <v>8000</v>
      </c>
      <c r="M221" s="1159">
        <f>+'661 449 Hwy'!G27</f>
        <v>0</v>
      </c>
      <c r="N221" s="1174">
        <f>ROUND(((+M221-J221)/J221),4)</f>
        <v>-1</v>
      </c>
      <c r="O221" s="1160">
        <v>8000</v>
      </c>
      <c r="P221" s="1159">
        <f>+'661 449 Hwy'!H27</f>
        <v>0</v>
      </c>
      <c r="Q221" s="1174" t="e">
        <f>ROUND(((+P221-M221)/M221),4)</f>
        <v>#DIV/0!</v>
      </c>
      <c r="R221" s="1160">
        <v>8000</v>
      </c>
      <c r="S221" s="1159">
        <f>+'661 449 Hwy'!I27</f>
        <v>0</v>
      </c>
      <c r="T221" s="1174" t="e">
        <f>ROUND(((+S221-P221)/P221),4)</f>
        <v>#DIV/0!</v>
      </c>
      <c r="U221" s="1160">
        <v>8000</v>
      </c>
      <c r="V221" s="1159">
        <f>+'661 449 Hwy'!J27</f>
        <v>0</v>
      </c>
      <c r="W221" s="1174" t="e">
        <f>ROUND(((+V221-S221)/S221),4)</f>
        <v>#DIV/0!</v>
      </c>
      <c r="X221" s="1160">
        <f>+'661 449 Hwy'!K27</f>
        <v>8000</v>
      </c>
      <c r="Y221" s="1159">
        <f>+'661 449 Hwy'!L27</f>
        <v>0</v>
      </c>
      <c r="Z221" s="1174" t="e">
        <f t="shared" si="783"/>
        <v>#DIV/0!</v>
      </c>
      <c r="AA221" s="1160">
        <f>+'661 449 Hwy'!M27</f>
        <v>8000</v>
      </c>
      <c r="AB221" s="1174">
        <f t="shared" si="784"/>
        <v>0</v>
      </c>
      <c r="AC221" s="1159">
        <f>+'661 449 Hwy'!N27</f>
        <v>0</v>
      </c>
      <c r="AD221" s="1174" t="e">
        <f t="shared" si="785"/>
        <v>#DIV/0!</v>
      </c>
      <c r="AE221" s="1160">
        <f>+'661 449 Hwy'!O27</f>
        <v>8000</v>
      </c>
      <c r="AF221" s="1174">
        <f t="shared" si="786"/>
        <v>0</v>
      </c>
      <c r="AG221" s="1159">
        <f>+'661 449 Hwy'!P27</f>
        <v>0</v>
      </c>
      <c r="AH221" s="1174" t="e">
        <f t="shared" si="787"/>
        <v>#DIV/0!</v>
      </c>
      <c r="AI221" s="1174"/>
      <c r="AJ221" s="1174"/>
      <c r="AK221" s="1160">
        <f>+'661 449 Hwy'!Q27</f>
        <v>0</v>
      </c>
      <c r="AL221" s="1174">
        <f t="shared" si="788"/>
        <v>-1</v>
      </c>
      <c r="AM221" s="1159">
        <f>+'661 449 Hwy'!R27</f>
        <v>0</v>
      </c>
      <c r="AN221" s="1174" t="e">
        <f t="shared" si="789"/>
        <v>#DIV/0!</v>
      </c>
      <c r="AO221" s="1174"/>
      <c r="AP221" s="1174"/>
      <c r="AQ221" s="1160">
        <f>+'661 449 Hwy'!S27</f>
        <v>0</v>
      </c>
      <c r="AR221" s="1174" t="e">
        <f t="shared" si="790"/>
        <v>#DIV/0!</v>
      </c>
      <c r="AS221" s="1174">
        <f t="shared" si="791"/>
        <v>-0.2</v>
      </c>
      <c r="AT221" s="1174">
        <f t="shared" si="792"/>
        <v>-0.1</v>
      </c>
      <c r="AU221" s="1155"/>
      <c r="AV221" s="1160">
        <f t="shared" si="793"/>
        <v>0</v>
      </c>
      <c r="AW221" s="1160">
        <f t="shared" si="794"/>
        <v>0</v>
      </c>
      <c r="AX221" s="1160">
        <f t="shared" si="795"/>
        <v>0</v>
      </c>
      <c r="AY221" s="1160">
        <f t="shared" si="796"/>
        <v>0</v>
      </c>
      <c r="AZ221" s="1160">
        <f t="shared" si="797"/>
        <v>0</v>
      </c>
      <c r="BA221" s="1155"/>
      <c r="BB221" s="1155"/>
      <c r="BC221" s="1155"/>
      <c r="BD221" s="1155"/>
      <c r="BE221" s="1155"/>
      <c r="BF221" s="1155"/>
      <c r="BG221" s="1155"/>
      <c r="BH221" s="1155"/>
      <c r="BI221" s="1155"/>
      <c r="BJ221" s="1155"/>
      <c r="BK221" s="1155"/>
      <c r="BL221" s="1155"/>
      <c r="BM221" s="1155"/>
      <c r="BN221" s="1155"/>
      <c r="BO221" s="1155"/>
      <c r="BP221" s="1155"/>
      <c r="BQ221" s="1155"/>
      <c r="BR221" s="1155"/>
      <c r="BS221" s="1155"/>
      <c r="BT221" s="1155"/>
      <c r="BU221" s="1155"/>
      <c r="BV221" s="1155"/>
      <c r="BW221" s="1155"/>
      <c r="BX221" s="1155"/>
      <c r="BY221" s="1155"/>
      <c r="BZ221" s="1155"/>
      <c r="CA221" s="1155"/>
      <c r="CB221" s="1155"/>
      <c r="CC221" s="1155"/>
      <c r="CD221" s="1155"/>
      <c r="CE221" s="1155"/>
      <c r="CF221" s="1155"/>
      <c r="CG221" s="1155"/>
      <c r="CH221" s="1155"/>
      <c r="CI221" s="1155"/>
      <c r="CJ221" s="1155"/>
      <c r="CK221" s="1155"/>
      <c r="CL221" s="1155"/>
      <c r="CM221" s="1155"/>
      <c r="CN221" s="1155"/>
      <c r="CO221" s="1155"/>
      <c r="CP221" s="1155"/>
      <c r="CQ221" s="1155"/>
      <c r="CR221" s="1155"/>
      <c r="CS221" s="1155"/>
      <c r="CT221" s="1155"/>
      <c r="CU221" s="1155"/>
      <c r="CV221" s="1155"/>
      <c r="CW221" s="1155"/>
      <c r="CX221" s="1155"/>
      <c r="CY221" s="1155"/>
      <c r="CZ221" s="1155"/>
      <c r="DA221" s="1155"/>
      <c r="DB221" s="1155"/>
      <c r="DC221" s="1155"/>
      <c r="DD221" s="1155"/>
      <c r="DE221" s="1155"/>
      <c r="DF221" s="1155"/>
      <c r="DG221" s="1155"/>
      <c r="DH221" s="1155"/>
      <c r="DI221" s="1155"/>
      <c r="DJ221" s="1155"/>
      <c r="DK221" s="1155"/>
      <c r="DL221" s="1155"/>
      <c r="DM221" s="1155"/>
      <c r="DN221" s="1155"/>
      <c r="DO221" s="1155"/>
      <c r="DP221" s="1155"/>
      <c r="DQ221" s="1155"/>
      <c r="DR221" s="1155"/>
      <c r="DS221" s="1155"/>
      <c r="DT221" s="1155"/>
      <c r="DU221" s="1155"/>
      <c r="DV221" s="1155"/>
      <c r="DW221" s="1155"/>
      <c r="DX221" s="1155"/>
      <c r="DY221" s="1155"/>
      <c r="DZ221" s="1155"/>
      <c r="EA221" s="1155"/>
      <c r="EB221" s="1155"/>
      <c r="EC221" s="1155"/>
      <c r="ED221" s="1155"/>
      <c r="EE221" s="1155"/>
      <c r="EF221" s="1155"/>
      <c r="EG221" s="1155"/>
      <c r="EH221" s="1155"/>
      <c r="EI221" s="1155"/>
      <c r="EJ221" s="1155"/>
      <c r="EK221" s="1155"/>
      <c r="EL221" s="1155"/>
      <c r="EM221" s="1155"/>
      <c r="EN221" s="1155"/>
      <c r="EO221" s="1155"/>
      <c r="EP221" s="1155"/>
      <c r="EQ221" s="1155"/>
      <c r="ER221" s="1155"/>
      <c r="ES221" s="1155"/>
      <c r="ET221" s="1155"/>
      <c r="EU221" s="1155"/>
      <c r="EV221" s="1155"/>
      <c r="EW221" s="1155"/>
      <c r="EX221" s="1155"/>
      <c r="EY221" s="1155"/>
      <c r="EZ221" s="1155"/>
    </row>
    <row r="222" spans="1:156" s="1158" customFormat="1" x14ac:dyDescent="0.3">
      <c r="A222" s="1155"/>
      <c r="B222" s="1155" t="s">
        <v>887</v>
      </c>
      <c r="C222" s="1156">
        <f>SUM(C218:C221)</f>
        <v>24510.879999999997</v>
      </c>
      <c r="D222" s="1156">
        <f t="shared" ref="D222:AQ222" si="798">SUM(D218:D221)</f>
        <v>17339.32</v>
      </c>
      <c r="E222" s="1170">
        <f t="shared" si="781"/>
        <v>-0.29260000000000003</v>
      </c>
      <c r="F222" s="1157">
        <f t="shared" si="798"/>
        <v>54959</v>
      </c>
      <c r="G222" s="1156">
        <f t="shared" si="798"/>
        <v>41678.6</v>
      </c>
      <c r="H222" s="1170">
        <f t="shared" si="782"/>
        <v>1.4036999999999999</v>
      </c>
      <c r="I222" s="1157">
        <f t="shared" si="798"/>
        <v>54959</v>
      </c>
      <c r="J222" s="1156">
        <f t="shared" si="798"/>
        <v>53420.14</v>
      </c>
      <c r="K222" s="1170">
        <f>ROUND(((+J222-G222)/G222),4)</f>
        <v>0.28170000000000001</v>
      </c>
      <c r="L222" s="1157">
        <f t="shared" si="798"/>
        <v>50000</v>
      </c>
      <c r="M222" s="1156">
        <f t="shared" si="798"/>
        <v>19605.989999999998</v>
      </c>
      <c r="N222" s="1170">
        <f>ROUND(((+M222-J222)/J222),4)</f>
        <v>-0.63300000000000001</v>
      </c>
      <c r="O222" s="1157">
        <f t="shared" si="798"/>
        <v>50000</v>
      </c>
      <c r="P222" s="1156">
        <f t="shared" si="798"/>
        <v>19157.71</v>
      </c>
      <c r="Q222" s="1170">
        <f>ROUND(((+P222-M222)/M222),4)</f>
        <v>-2.29E-2</v>
      </c>
      <c r="R222" s="1157">
        <f t="shared" si="798"/>
        <v>50800</v>
      </c>
      <c r="S222" s="1156">
        <f t="shared" si="798"/>
        <v>26987.78</v>
      </c>
      <c r="T222" s="1170">
        <f>ROUND(((+S222-P222)/P222),4)</f>
        <v>0.40870000000000001</v>
      </c>
      <c r="U222" s="1157">
        <f t="shared" si="798"/>
        <v>50800</v>
      </c>
      <c r="V222" s="1156">
        <f t="shared" si="798"/>
        <v>11306.64</v>
      </c>
      <c r="W222" s="1170">
        <f>ROUND(((+V222-S222)/S222),4)</f>
        <v>-0.58099999999999996</v>
      </c>
      <c r="X222" s="1157">
        <f t="shared" si="798"/>
        <v>50800</v>
      </c>
      <c r="Y222" s="1156">
        <f t="shared" si="798"/>
        <v>27083.379999999997</v>
      </c>
      <c r="Z222" s="1170">
        <f t="shared" si="783"/>
        <v>1.3954</v>
      </c>
      <c r="AA222" s="1157">
        <f t="shared" si="798"/>
        <v>50800</v>
      </c>
      <c r="AB222" s="1170">
        <f t="shared" si="784"/>
        <v>0</v>
      </c>
      <c r="AC222" s="1156">
        <f t="shared" si="798"/>
        <v>34832.729999999996</v>
      </c>
      <c r="AD222" s="1170">
        <f t="shared" si="785"/>
        <v>0.28610000000000002</v>
      </c>
      <c r="AE222" s="1157">
        <f t="shared" si="798"/>
        <v>50800</v>
      </c>
      <c r="AF222" s="1170">
        <f t="shared" si="786"/>
        <v>0</v>
      </c>
      <c r="AG222" s="1156">
        <f t="shared" si="798"/>
        <v>34183.39</v>
      </c>
      <c r="AH222" s="1170">
        <f t="shared" si="787"/>
        <v>-1.8599999999999998E-2</v>
      </c>
      <c r="AI222" s="1170"/>
      <c r="AJ222" s="1170"/>
      <c r="AK222" s="1157">
        <f t="shared" si="798"/>
        <v>84650</v>
      </c>
      <c r="AL222" s="1170">
        <f t="shared" si="788"/>
        <v>0.6663</v>
      </c>
      <c r="AM222" s="1156">
        <f t="shared" si="798"/>
        <v>25413.040000000001</v>
      </c>
      <c r="AN222" s="1170">
        <f t="shared" si="789"/>
        <v>-0.25659999999999999</v>
      </c>
      <c r="AO222" s="1170"/>
      <c r="AP222" s="1170"/>
      <c r="AQ222" s="1157">
        <f t="shared" si="798"/>
        <v>85150</v>
      </c>
      <c r="AR222" s="1170">
        <f t="shared" si="790"/>
        <v>5.8999999999999999E-3</v>
      </c>
      <c r="AS222" s="1170">
        <f t="shared" si="791"/>
        <v>0.13519999999999999</v>
      </c>
      <c r="AT222" s="1170">
        <f t="shared" si="792"/>
        <v>5.4899999999999997E-2</v>
      </c>
      <c r="AU222" s="1155"/>
      <c r="AV222" s="1157">
        <f t="shared" ref="AV222:AZ222" si="799">SUM(AV218:AV221)</f>
        <v>88361</v>
      </c>
      <c r="AW222" s="1157">
        <f t="shared" si="799"/>
        <v>91611</v>
      </c>
      <c r="AX222" s="1157">
        <f t="shared" si="799"/>
        <v>95005</v>
      </c>
      <c r="AY222" s="1157">
        <f t="shared" si="799"/>
        <v>98552</v>
      </c>
      <c r="AZ222" s="1157">
        <f t="shared" si="799"/>
        <v>102259</v>
      </c>
      <c r="BA222" s="1155"/>
      <c r="BB222" s="1155"/>
      <c r="BC222" s="1155"/>
      <c r="BD222" s="1155"/>
      <c r="BE222" s="1155"/>
      <c r="BF222" s="1155"/>
      <c r="BG222" s="1155"/>
      <c r="BH222" s="1155"/>
      <c r="BI222" s="1155"/>
      <c r="BJ222" s="1155"/>
      <c r="BK222" s="1155"/>
      <c r="BL222" s="1155"/>
      <c r="BM222" s="1155"/>
      <c r="BN222" s="1155"/>
      <c r="BO222" s="1155"/>
      <c r="BP222" s="1155"/>
      <c r="BQ222" s="1155"/>
      <c r="BR222" s="1155"/>
      <c r="BS222" s="1155"/>
      <c r="BT222" s="1155"/>
      <c r="BU222" s="1155"/>
      <c r="BV222" s="1155"/>
      <c r="BW222" s="1155"/>
      <c r="BX222" s="1155"/>
      <c r="BY222" s="1155"/>
      <c r="BZ222" s="1155"/>
      <c r="CA222" s="1155"/>
      <c r="CB222" s="1155"/>
      <c r="CC222" s="1155"/>
      <c r="CD222" s="1155"/>
      <c r="CE222" s="1155"/>
      <c r="CF222" s="1155"/>
      <c r="CG222" s="1155"/>
      <c r="CH222" s="1155"/>
      <c r="CI222" s="1155"/>
      <c r="CJ222" s="1155"/>
      <c r="CK222" s="1155"/>
      <c r="CL222" s="1155"/>
      <c r="CM222" s="1155"/>
      <c r="CN222" s="1155"/>
      <c r="CO222" s="1155"/>
      <c r="CP222" s="1155"/>
      <c r="CQ222" s="1155"/>
      <c r="CR222" s="1155"/>
      <c r="CS222" s="1155"/>
      <c r="CT222" s="1155"/>
      <c r="CU222" s="1155"/>
      <c r="CV222" s="1155"/>
      <c r="CW222" s="1155"/>
      <c r="CX222" s="1155"/>
      <c r="CY222" s="1155"/>
      <c r="CZ222" s="1155"/>
      <c r="DA222" s="1155"/>
      <c r="DB222" s="1155"/>
      <c r="DC222" s="1155"/>
      <c r="DD222" s="1155"/>
      <c r="DE222" s="1155"/>
      <c r="DF222" s="1155"/>
      <c r="DG222" s="1155"/>
      <c r="DH222" s="1155"/>
      <c r="DI222" s="1155"/>
      <c r="DJ222" s="1155"/>
      <c r="DK222" s="1155"/>
      <c r="DL222" s="1155"/>
      <c r="DM222" s="1155"/>
      <c r="DN222" s="1155"/>
      <c r="DO222" s="1155"/>
      <c r="DP222" s="1155"/>
      <c r="DQ222" s="1155"/>
      <c r="DR222" s="1155"/>
      <c r="DS222" s="1155"/>
      <c r="DT222" s="1155"/>
      <c r="DU222" s="1155"/>
      <c r="DV222" s="1155"/>
      <c r="DW222" s="1155"/>
      <c r="DX222" s="1155"/>
      <c r="DY222" s="1155"/>
      <c r="DZ222" s="1155"/>
      <c r="EA222" s="1155"/>
      <c r="EB222" s="1155"/>
      <c r="EC222" s="1155"/>
      <c r="ED222" s="1155"/>
      <c r="EE222" s="1155"/>
      <c r="EF222" s="1155"/>
      <c r="EG222" s="1155"/>
      <c r="EH222" s="1155"/>
      <c r="EI222" s="1155"/>
      <c r="EJ222" s="1155"/>
      <c r="EK222" s="1155"/>
      <c r="EL222" s="1155"/>
      <c r="EM222" s="1155"/>
      <c r="EN222" s="1155"/>
      <c r="EO222" s="1155"/>
      <c r="EP222" s="1155"/>
      <c r="EQ222" s="1155"/>
      <c r="ER222" s="1155"/>
      <c r="ES222" s="1155"/>
      <c r="ET222" s="1155"/>
      <c r="EU222" s="1155"/>
      <c r="EV222" s="1155"/>
      <c r="EW222" s="1155"/>
      <c r="EX222" s="1155"/>
      <c r="EY222" s="1155"/>
      <c r="EZ222" s="1155"/>
    </row>
    <row r="223" spans="1:156" s="1158" customFormat="1" x14ac:dyDescent="0.3">
      <c r="A223" s="1155"/>
      <c r="B223" s="1155"/>
      <c r="C223" s="1156"/>
      <c r="D223" s="1156"/>
      <c r="E223" s="1156"/>
      <c r="F223" s="1157"/>
      <c r="G223" s="1156"/>
      <c r="H223" s="1156"/>
      <c r="I223" s="1157"/>
      <c r="J223" s="1156"/>
      <c r="K223" s="1156"/>
      <c r="L223" s="1157"/>
      <c r="M223" s="1156"/>
      <c r="N223" s="1156"/>
      <c r="O223" s="1157"/>
      <c r="P223" s="1156"/>
      <c r="Q223" s="1156"/>
      <c r="R223" s="1157"/>
      <c r="S223" s="1156"/>
      <c r="T223" s="1156"/>
      <c r="U223" s="1157"/>
      <c r="V223" s="1156"/>
      <c r="W223" s="1156"/>
      <c r="X223" s="1157"/>
      <c r="Y223" s="1156"/>
      <c r="Z223" s="1156"/>
      <c r="AA223" s="1157"/>
      <c r="AB223" s="1157"/>
      <c r="AC223" s="1156"/>
      <c r="AD223" s="1156"/>
      <c r="AE223" s="1157"/>
      <c r="AF223" s="1157"/>
      <c r="AG223" s="1156"/>
      <c r="AH223" s="1156"/>
      <c r="AI223" s="1156"/>
      <c r="AJ223" s="1156"/>
      <c r="AK223" s="1157"/>
      <c r="AL223" s="1157"/>
      <c r="AM223" s="1156"/>
      <c r="AN223" s="1156"/>
      <c r="AO223" s="1156"/>
      <c r="AP223" s="1156"/>
      <c r="AQ223" s="1157"/>
      <c r="AR223" s="1157"/>
      <c r="AS223" s="1155"/>
      <c r="AT223" s="1155"/>
      <c r="AU223" s="1155"/>
      <c r="AV223" s="1155"/>
      <c r="AW223" s="1155"/>
      <c r="AX223" s="1155"/>
      <c r="AY223" s="1155"/>
      <c r="AZ223" s="1155"/>
      <c r="BA223" s="1155"/>
      <c r="BB223" s="1155"/>
      <c r="BC223" s="1155"/>
      <c r="BD223" s="1155"/>
      <c r="BE223" s="1155"/>
      <c r="BF223" s="1155"/>
      <c r="BG223" s="1155"/>
      <c r="BH223" s="1155"/>
      <c r="BI223" s="1155"/>
      <c r="BJ223" s="1155"/>
      <c r="BK223" s="1155"/>
      <c r="BL223" s="1155"/>
      <c r="BM223" s="1155"/>
      <c r="BN223" s="1155"/>
      <c r="BO223" s="1155"/>
      <c r="BP223" s="1155"/>
      <c r="BQ223" s="1155"/>
      <c r="BR223" s="1155"/>
      <c r="BS223" s="1155"/>
      <c r="BT223" s="1155"/>
      <c r="BU223" s="1155"/>
      <c r="BV223" s="1155"/>
      <c r="BW223" s="1155"/>
      <c r="BX223" s="1155"/>
      <c r="BY223" s="1155"/>
      <c r="BZ223" s="1155"/>
      <c r="CA223" s="1155"/>
      <c r="CB223" s="1155"/>
      <c r="CC223" s="1155"/>
      <c r="CD223" s="1155"/>
      <c r="CE223" s="1155"/>
      <c r="CF223" s="1155"/>
      <c r="CG223" s="1155"/>
      <c r="CH223" s="1155"/>
      <c r="CI223" s="1155"/>
      <c r="CJ223" s="1155"/>
      <c r="CK223" s="1155"/>
      <c r="CL223" s="1155"/>
      <c r="CM223" s="1155"/>
      <c r="CN223" s="1155"/>
      <c r="CO223" s="1155"/>
      <c r="CP223" s="1155"/>
      <c r="CQ223" s="1155"/>
      <c r="CR223" s="1155"/>
      <c r="CS223" s="1155"/>
      <c r="CT223" s="1155"/>
      <c r="CU223" s="1155"/>
      <c r="CV223" s="1155"/>
      <c r="CW223" s="1155"/>
      <c r="CX223" s="1155"/>
      <c r="CY223" s="1155"/>
      <c r="CZ223" s="1155"/>
      <c r="DA223" s="1155"/>
      <c r="DB223" s="1155"/>
      <c r="DC223" s="1155"/>
      <c r="DD223" s="1155"/>
      <c r="DE223" s="1155"/>
      <c r="DF223" s="1155"/>
      <c r="DG223" s="1155"/>
      <c r="DH223" s="1155"/>
      <c r="DI223" s="1155"/>
      <c r="DJ223" s="1155"/>
      <c r="DK223" s="1155"/>
      <c r="DL223" s="1155"/>
      <c r="DM223" s="1155"/>
      <c r="DN223" s="1155"/>
      <c r="DO223" s="1155"/>
      <c r="DP223" s="1155"/>
      <c r="DQ223" s="1155"/>
      <c r="DR223" s="1155"/>
      <c r="DS223" s="1155"/>
      <c r="DT223" s="1155"/>
      <c r="DU223" s="1155"/>
      <c r="DV223" s="1155"/>
      <c r="DW223" s="1155"/>
      <c r="DX223" s="1155"/>
      <c r="DY223" s="1155"/>
      <c r="DZ223" s="1155"/>
      <c r="EA223" s="1155"/>
      <c r="EB223" s="1155"/>
      <c r="EC223" s="1155"/>
      <c r="ED223" s="1155"/>
      <c r="EE223" s="1155"/>
      <c r="EF223" s="1155"/>
      <c r="EG223" s="1155"/>
      <c r="EH223" s="1155"/>
      <c r="EI223" s="1155"/>
      <c r="EJ223" s="1155"/>
      <c r="EK223" s="1155"/>
      <c r="EL223" s="1155"/>
      <c r="EM223" s="1155"/>
      <c r="EN223" s="1155"/>
      <c r="EO223" s="1155"/>
      <c r="EP223" s="1155"/>
      <c r="EQ223" s="1155"/>
      <c r="ER223" s="1155"/>
      <c r="ES223" s="1155"/>
      <c r="ET223" s="1155"/>
      <c r="EU223" s="1155"/>
      <c r="EV223" s="1155"/>
      <c r="EW223" s="1155"/>
      <c r="EX223" s="1155"/>
      <c r="EY223" s="1155"/>
      <c r="EZ223" s="1155"/>
    </row>
    <row r="224" spans="1:156" s="1158" customFormat="1" x14ac:dyDescent="0.3">
      <c r="A224" s="1154" t="s">
        <v>1966</v>
      </c>
      <c r="B224" s="1155"/>
      <c r="C224" s="1156"/>
      <c r="D224" s="1156"/>
      <c r="E224" s="1156"/>
      <c r="F224" s="1157"/>
      <c r="G224" s="1156"/>
      <c r="H224" s="1156"/>
      <c r="I224" s="1157"/>
      <c r="J224" s="1156"/>
      <c r="K224" s="1156"/>
      <c r="L224" s="1157"/>
      <c r="M224" s="1156"/>
      <c r="N224" s="1156"/>
      <c r="O224" s="1157"/>
      <c r="P224" s="1156"/>
      <c r="Q224" s="1156"/>
      <c r="R224" s="1157"/>
      <c r="S224" s="1156"/>
      <c r="T224" s="1156"/>
      <c r="U224" s="1157"/>
      <c r="V224" s="1156"/>
      <c r="W224" s="1156"/>
      <c r="X224" s="1157"/>
      <c r="Y224" s="1156"/>
      <c r="Z224" s="1156"/>
      <c r="AA224" s="1157"/>
      <c r="AB224" s="1157"/>
      <c r="AC224" s="1156"/>
      <c r="AD224" s="1156"/>
      <c r="AE224" s="1157"/>
      <c r="AF224" s="1157"/>
      <c r="AG224" s="1156"/>
      <c r="AH224" s="1156"/>
      <c r="AI224" s="1156"/>
      <c r="AJ224" s="1156"/>
      <c r="AK224" s="1157"/>
      <c r="AL224" s="1157"/>
      <c r="AM224" s="1156"/>
      <c r="AN224" s="1156"/>
      <c r="AO224" s="1156"/>
      <c r="AP224" s="1156"/>
      <c r="AQ224" s="1157"/>
      <c r="AR224" s="1157"/>
      <c r="AS224" s="1155"/>
      <c r="AT224" s="1155"/>
      <c r="AU224" s="1155"/>
      <c r="AV224" s="1155"/>
      <c r="AW224" s="1155"/>
      <c r="AX224" s="1155"/>
      <c r="AY224" s="1155"/>
      <c r="AZ224" s="1155"/>
      <c r="BA224" s="1155"/>
      <c r="BB224" s="1155"/>
      <c r="BC224" s="1155"/>
      <c r="BD224" s="1155"/>
      <c r="BE224" s="1155"/>
      <c r="BF224" s="1155"/>
      <c r="BG224" s="1155"/>
      <c r="BH224" s="1155"/>
      <c r="BI224" s="1155"/>
      <c r="BJ224" s="1155"/>
      <c r="BK224" s="1155"/>
      <c r="BL224" s="1155"/>
      <c r="BM224" s="1155"/>
      <c r="BN224" s="1155"/>
      <c r="BO224" s="1155"/>
      <c r="BP224" s="1155"/>
      <c r="BQ224" s="1155"/>
      <c r="BR224" s="1155"/>
      <c r="BS224" s="1155"/>
      <c r="BT224" s="1155"/>
      <c r="BU224" s="1155"/>
      <c r="BV224" s="1155"/>
      <c r="BW224" s="1155"/>
      <c r="BX224" s="1155"/>
      <c r="BY224" s="1155"/>
      <c r="BZ224" s="1155"/>
      <c r="CA224" s="1155"/>
      <c r="CB224" s="1155"/>
      <c r="CC224" s="1155"/>
      <c r="CD224" s="1155"/>
      <c r="CE224" s="1155"/>
      <c r="CF224" s="1155"/>
      <c r="CG224" s="1155"/>
      <c r="CH224" s="1155"/>
      <c r="CI224" s="1155"/>
      <c r="CJ224" s="1155"/>
      <c r="CK224" s="1155"/>
      <c r="CL224" s="1155"/>
      <c r="CM224" s="1155"/>
      <c r="CN224" s="1155"/>
      <c r="CO224" s="1155"/>
      <c r="CP224" s="1155"/>
      <c r="CQ224" s="1155"/>
      <c r="CR224" s="1155"/>
      <c r="CS224" s="1155"/>
      <c r="CT224" s="1155"/>
      <c r="CU224" s="1155"/>
      <c r="CV224" s="1155"/>
      <c r="CW224" s="1155"/>
      <c r="CX224" s="1155"/>
      <c r="CY224" s="1155"/>
      <c r="CZ224" s="1155"/>
      <c r="DA224" s="1155"/>
      <c r="DB224" s="1155"/>
      <c r="DC224" s="1155"/>
      <c r="DD224" s="1155"/>
      <c r="DE224" s="1155"/>
      <c r="DF224" s="1155"/>
      <c r="DG224" s="1155"/>
      <c r="DH224" s="1155"/>
      <c r="DI224" s="1155"/>
      <c r="DJ224" s="1155"/>
      <c r="DK224" s="1155"/>
      <c r="DL224" s="1155"/>
      <c r="DM224" s="1155"/>
      <c r="DN224" s="1155"/>
      <c r="DO224" s="1155"/>
      <c r="DP224" s="1155"/>
      <c r="DQ224" s="1155"/>
      <c r="DR224" s="1155"/>
      <c r="DS224" s="1155"/>
      <c r="DT224" s="1155"/>
      <c r="DU224" s="1155"/>
      <c r="DV224" s="1155"/>
      <c r="DW224" s="1155"/>
      <c r="DX224" s="1155"/>
      <c r="DY224" s="1155"/>
      <c r="DZ224" s="1155"/>
      <c r="EA224" s="1155"/>
      <c r="EB224" s="1155"/>
      <c r="EC224" s="1155"/>
      <c r="ED224" s="1155"/>
      <c r="EE224" s="1155"/>
      <c r="EF224" s="1155"/>
      <c r="EG224" s="1155"/>
      <c r="EH224" s="1155"/>
      <c r="EI224" s="1155"/>
      <c r="EJ224" s="1155"/>
      <c r="EK224" s="1155"/>
      <c r="EL224" s="1155"/>
      <c r="EM224" s="1155"/>
      <c r="EN224" s="1155"/>
      <c r="EO224" s="1155"/>
      <c r="EP224" s="1155"/>
      <c r="EQ224" s="1155"/>
      <c r="ER224" s="1155"/>
      <c r="ES224" s="1155"/>
      <c r="ET224" s="1155"/>
      <c r="EU224" s="1155"/>
      <c r="EV224" s="1155"/>
      <c r="EW224" s="1155"/>
      <c r="EX224" s="1155"/>
      <c r="EY224" s="1155"/>
      <c r="EZ224" s="1155"/>
    </row>
    <row r="225" spans="1:156" s="1158" customFormat="1" x14ac:dyDescent="0.3">
      <c r="A225" s="1155"/>
      <c r="B225" s="1155" t="s">
        <v>1343</v>
      </c>
      <c r="C225" s="1159">
        <f>+'661 700 CWF Debt'!C61</f>
        <v>339561.32000000007</v>
      </c>
      <c r="D225" s="1159">
        <f>+'661 700 CWF Debt'!D61</f>
        <v>333169.57</v>
      </c>
      <c r="E225" s="1174">
        <f t="shared" ref="E225:E226" si="800">ROUND(((+D225-C225)/C225),4)</f>
        <v>-1.8800000000000001E-2</v>
      </c>
      <c r="F225" s="1160">
        <v>461198</v>
      </c>
      <c r="G225" s="1159">
        <f>+'661 700 CWF Debt'!E61</f>
        <v>430365.07</v>
      </c>
      <c r="H225" s="1174">
        <f t="shared" ref="H225:H226" si="801">ROUND(((+G225-D225)/D225),4)</f>
        <v>0.29170000000000001</v>
      </c>
      <c r="I225" s="1160">
        <v>437052</v>
      </c>
      <c r="J225" s="1159">
        <f>+'661 700 CWF Debt'!F61</f>
        <v>426045.84</v>
      </c>
      <c r="K225" s="1174">
        <f>ROUND(((+J225-G225)/G225),4)</f>
        <v>-0.01</v>
      </c>
      <c r="L225" s="1160">
        <v>430457</v>
      </c>
      <c r="M225" s="1159">
        <f>+'661 700 CWF Debt'!G61</f>
        <v>432071.62</v>
      </c>
      <c r="N225" s="1174">
        <f>ROUND(((+M225-J225)/J225),4)</f>
        <v>1.41E-2</v>
      </c>
      <c r="O225" s="1160">
        <v>495802</v>
      </c>
      <c r="P225" s="1159">
        <f>+'661 700 CWF Debt'!H61</f>
        <v>363646.25</v>
      </c>
      <c r="Q225" s="1174">
        <f>ROUND(((+P225-M225)/M225),4)</f>
        <v>-0.15840000000000001</v>
      </c>
      <c r="R225" s="1160">
        <v>390221</v>
      </c>
      <c r="S225" s="1159">
        <f>+'661 700 CWF Debt'!I61</f>
        <v>363127.97</v>
      </c>
      <c r="T225" s="1174">
        <f>ROUND(((+S225-P225)/P225),4)</f>
        <v>-1.4E-3</v>
      </c>
      <c r="U225" s="1160">
        <v>533163</v>
      </c>
      <c r="V225" s="1159">
        <f>+'661 700 CWF Debt'!J61</f>
        <v>513019.85</v>
      </c>
      <c r="W225" s="1174">
        <f>ROUND(((+V225-S225)/S225),4)</f>
        <v>0.4128</v>
      </c>
      <c r="X225" s="1160">
        <f>+'661 700 CWF Debt'!K61</f>
        <v>520551</v>
      </c>
      <c r="Y225" s="1159">
        <f>+'661 700 CWF Debt'!L61</f>
        <v>495060.53</v>
      </c>
      <c r="Z225" s="1174">
        <f t="shared" ref="Z225:Z226" si="802">ROUND(((+Y225-V225)/V225),4)</f>
        <v>-3.5000000000000003E-2</v>
      </c>
      <c r="AA225" s="1160">
        <f>+'661 700 CWF Debt'!M61</f>
        <v>514047</v>
      </c>
      <c r="AB225" s="1174">
        <f t="shared" ref="AB225:AB226" si="803">ROUND(((+AA225-X225)/X225),4)</f>
        <v>-1.2500000000000001E-2</v>
      </c>
      <c r="AC225" s="1159">
        <f>+'661 700 CWF Debt'!N61</f>
        <v>489041.95000000007</v>
      </c>
      <c r="AD225" s="1174">
        <f t="shared" ref="AD225:AD226" si="804">ROUND(((+AC225-Y225)/Y225),4)</f>
        <v>-1.2200000000000001E-2</v>
      </c>
      <c r="AE225" s="1160">
        <f>+'661 700 CWF Debt'!O61</f>
        <v>505270</v>
      </c>
      <c r="AF225" s="1174">
        <f t="shared" ref="AF225:AF226" si="805">ROUND(((+AE225-AA225)/AA225),4)</f>
        <v>-1.7100000000000001E-2</v>
      </c>
      <c r="AG225" s="1159">
        <f>+'661 700 CWF Debt'!P61</f>
        <v>480263.57000000007</v>
      </c>
      <c r="AH225" s="1174">
        <f t="shared" ref="AH225:AH226" si="806">ROUND(((+AG225-AC225)/AC225),4)</f>
        <v>-1.7999999999999999E-2</v>
      </c>
      <c r="AI225" s="1174"/>
      <c r="AJ225" s="1174"/>
      <c r="AK225" s="1160">
        <f>+'661 700 CWF Debt'!Q61</f>
        <v>483614</v>
      </c>
      <c r="AL225" s="1174">
        <f t="shared" ref="AL225:AL226" si="807">ROUND(((+AK225-AE225)/AE225),4)</f>
        <v>-4.2900000000000001E-2</v>
      </c>
      <c r="AM225" s="1159">
        <f>+'661 700 CWF Debt'!R61</f>
        <v>298854.74</v>
      </c>
      <c r="AN225" s="1174">
        <f t="shared" ref="AN225:AN226" si="808">ROUND(((+AM225-AG225)/AG225),4)</f>
        <v>-0.37769999999999998</v>
      </c>
      <c r="AO225" s="1174"/>
      <c r="AP225" s="1174"/>
      <c r="AQ225" s="1160">
        <f>+'661 700 CWF Debt'!S61</f>
        <v>478365.33</v>
      </c>
      <c r="AR225" s="1174">
        <f t="shared" ref="AR225:AR226" si="809">ROUND(((+AQ225-AK225)/AK225),4)</f>
        <v>-1.09E-2</v>
      </c>
      <c r="AS225" s="1174">
        <f t="shared" ref="AS225:AS226" si="810">ROUND((((+AQ225-U225)/U225)/5),4)</f>
        <v>-2.06E-2</v>
      </c>
      <c r="AT225" s="1174">
        <f t="shared" ref="AT225:AT226" si="811">ROUND((((+AQ225-F225)/F225)/10),4)</f>
        <v>3.7000000000000002E-3</v>
      </c>
      <c r="AU225" s="1155"/>
      <c r="AV225" s="1160">
        <f>+'661 700 CWF Debt'!AB61</f>
        <v>480025.65</v>
      </c>
      <c r="AW225" s="1160">
        <f>+'661 700 CWF Debt'!AC61</f>
        <v>475159.28</v>
      </c>
      <c r="AX225" s="1160">
        <f>+'661 700 CWF Debt'!AD61</f>
        <v>435005.62</v>
      </c>
      <c r="AY225" s="1160">
        <f>+'661 700 CWF Debt'!AE61</f>
        <v>432294.57</v>
      </c>
      <c r="AZ225" s="1160">
        <f>+'661 700 CWF Debt'!AF61</f>
        <v>432334.71</v>
      </c>
      <c r="BA225" s="1155" t="s">
        <v>2273</v>
      </c>
      <c r="BB225" s="1155"/>
      <c r="BC225" s="1155"/>
      <c r="BD225" s="1155"/>
      <c r="BE225" s="1155"/>
      <c r="BF225" s="1155"/>
      <c r="BG225" s="1155"/>
      <c r="BH225" s="1155"/>
      <c r="BI225" s="1155"/>
      <c r="BJ225" s="1155"/>
      <c r="BK225" s="1155"/>
      <c r="BL225" s="1155"/>
      <c r="BM225" s="1155"/>
      <c r="BN225" s="1155"/>
      <c r="BO225" s="1155"/>
      <c r="BP225" s="1155"/>
      <c r="BQ225" s="1155"/>
      <c r="BR225" s="1155"/>
      <c r="BS225" s="1155"/>
      <c r="BT225" s="1155"/>
      <c r="BU225" s="1155"/>
      <c r="BV225" s="1155"/>
      <c r="BW225" s="1155"/>
      <c r="BX225" s="1155"/>
      <c r="BY225" s="1155"/>
      <c r="BZ225" s="1155"/>
      <c r="CA225" s="1155"/>
      <c r="CB225" s="1155"/>
      <c r="CC225" s="1155"/>
      <c r="CD225" s="1155"/>
      <c r="CE225" s="1155"/>
      <c r="CF225" s="1155"/>
      <c r="CG225" s="1155"/>
      <c r="CH225" s="1155"/>
      <c r="CI225" s="1155"/>
      <c r="CJ225" s="1155"/>
      <c r="CK225" s="1155"/>
      <c r="CL225" s="1155"/>
      <c r="CM225" s="1155"/>
      <c r="CN225" s="1155"/>
      <c r="CO225" s="1155"/>
      <c r="CP225" s="1155"/>
      <c r="CQ225" s="1155"/>
      <c r="CR225" s="1155"/>
      <c r="CS225" s="1155"/>
      <c r="CT225" s="1155"/>
      <c r="CU225" s="1155"/>
      <c r="CV225" s="1155"/>
      <c r="CW225" s="1155"/>
      <c r="CX225" s="1155"/>
      <c r="CY225" s="1155"/>
      <c r="CZ225" s="1155"/>
      <c r="DA225" s="1155"/>
      <c r="DB225" s="1155"/>
      <c r="DC225" s="1155"/>
      <c r="DD225" s="1155"/>
      <c r="DE225" s="1155"/>
      <c r="DF225" s="1155"/>
      <c r="DG225" s="1155"/>
      <c r="DH225" s="1155"/>
      <c r="DI225" s="1155"/>
      <c r="DJ225" s="1155"/>
      <c r="DK225" s="1155"/>
      <c r="DL225" s="1155"/>
      <c r="DM225" s="1155"/>
      <c r="DN225" s="1155"/>
      <c r="DO225" s="1155"/>
      <c r="DP225" s="1155"/>
      <c r="DQ225" s="1155"/>
      <c r="DR225" s="1155"/>
      <c r="DS225" s="1155"/>
      <c r="DT225" s="1155"/>
      <c r="DU225" s="1155"/>
      <c r="DV225" s="1155"/>
      <c r="DW225" s="1155"/>
      <c r="DX225" s="1155"/>
      <c r="DY225" s="1155"/>
      <c r="DZ225" s="1155"/>
      <c r="EA225" s="1155"/>
      <c r="EB225" s="1155"/>
      <c r="EC225" s="1155"/>
      <c r="ED225" s="1155"/>
      <c r="EE225" s="1155"/>
      <c r="EF225" s="1155"/>
      <c r="EG225" s="1155"/>
      <c r="EH225" s="1155"/>
      <c r="EI225" s="1155"/>
      <c r="EJ225" s="1155"/>
      <c r="EK225" s="1155"/>
      <c r="EL225" s="1155"/>
      <c r="EM225" s="1155"/>
      <c r="EN225" s="1155"/>
      <c r="EO225" s="1155"/>
      <c r="EP225" s="1155"/>
      <c r="EQ225" s="1155"/>
      <c r="ER225" s="1155"/>
      <c r="ES225" s="1155"/>
      <c r="ET225" s="1155"/>
      <c r="EU225" s="1155"/>
      <c r="EV225" s="1155"/>
      <c r="EW225" s="1155"/>
      <c r="EX225" s="1155"/>
      <c r="EY225" s="1155"/>
      <c r="EZ225" s="1155"/>
    </row>
    <row r="226" spans="1:156" s="1158" customFormat="1" x14ac:dyDescent="0.3">
      <c r="A226" s="1155"/>
      <c r="B226" s="1155" t="s">
        <v>887</v>
      </c>
      <c r="C226" s="1156">
        <f>SUM(C224:C225)</f>
        <v>339561.32000000007</v>
      </c>
      <c r="D226" s="1156">
        <f t="shared" ref="D226:AQ226" si="812">SUM(D224:D225)</f>
        <v>333169.57</v>
      </c>
      <c r="E226" s="1170">
        <f t="shared" si="800"/>
        <v>-1.8800000000000001E-2</v>
      </c>
      <c r="F226" s="1157">
        <f t="shared" si="812"/>
        <v>461198</v>
      </c>
      <c r="G226" s="1156">
        <f t="shared" si="812"/>
        <v>430365.07</v>
      </c>
      <c r="H226" s="1170">
        <f t="shared" si="801"/>
        <v>0.29170000000000001</v>
      </c>
      <c r="I226" s="1157">
        <f t="shared" si="812"/>
        <v>437052</v>
      </c>
      <c r="J226" s="1156">
        <f t="shared" si="812"/>
        <v>426045.84</v>
      </c>
      <c r="K226" s="1170">
        <f>ROUND(((+J226-G226)/G226),4)</f>
        <v>-0.01</v>
      </c>
      <c r="L226" s="1157">
        <f t="shared" si="812"/>
        <v>430457</v>
      </c>
      <c r="M226" s="1156">
        <f t="shared" si="812"/>
        <v>432071.62</v>
      </c>
      <c r="N226" s="1170">
        <f>ROUND(((+M226-J226)/J226),4)</f>
        <v>1.41E-2</v>
      </c>
      <c r="O226" s="1157">
        <f t="shared" si="812"/>
        <v>495802</v>
      </c>
      <c r="P226" s="1156">
        <f t="shared" si="812"/>
        <v>363646.25</v>
      </c>
      <c r="Q226" s="1170">
        <f>ROUND(((+P226-M226)/M226),4)</f>
        <v>-0.15840000000000001</v>
      </c>
      <c r="R226" s="1157">
        <f t="shared" si="812"/>
        <v>390221</v>
      </c>
      <c r="S226" s="1156">
        <f t="shared" si="812"/>
        <v>363127.97</v>
      </c>
      <c r="T226" s="1170">
        <f>ROUND(((+S226-P226)/P226),4)</f>
        <v>-1.4E-3</v>
      </c>
      <c r="U226" s="1157">
        <f t="shared" si="812"/>
        <v>533163</v>
      </c>
      <c r="V226" s="1156">
        <f t="shared" si="812"/>
        <v>513019.85</v>
      </c>
      <c r="W226" s="1170">
        <f>ROUND(((+V226-S226)/S226),4)</f>
        <v>0.4128</v>
      </c>
      <c r="X226" s="1157">
        <f t="shared" si="812"/>
        <v>520551</v>
      </c>
      <c r="Y226" s="1156">
        <f t="shared" si="812"/>
        <v>495060.53</v>
      </c>
      <c r="Z226" s="1170">
        <f t="shared" si="802"/>
        <v>-3.5000000000000003E-2</v>
      </c>
      <c r="AA226" s="1157">
        <f t="shared" si="812"/>
        <v>514047</v>
      </c>
      <c r="AB226" s="1170">
        <f t="shared" si="803"/>
        <v>-1.2500000000000001E-2</v>
      </c>
      <c r="AC226" s="1156">
        <f t="shared" si="812"/>
        <v>489041.95000000007</v>
      </c>
      <c r="AD226" s="1170">
        <f t="shared" si="804"/>
        <v>-1.2200000000000001E-2</v>
      </c>
      <c r="AE226" s="1157">
        <f t="shared" si="812"/>
        <v>505270</v>
      </c>
      <c r="AF226" s="1170">
        <f t="shared" si="805"/>
        <v>-1.7100000000000001E-2</v>
      </c>
      <c r="AG226" s="1156">
        <f t="shared" si="812"/>
        <v>480263.57000000007</v>
      </c>
      <c r="AH226" s="1170">
        <f t="shared" si="806"/>
        <v>-1.7999999999999999E-2</v>
      </c>
      <c r="AI226" s="1170"/>
      <c r="AJ226" s="1170"/>
      <c r="AK226" s="1157">
        <f t="shared" si="812"/>
        <v>483614</v>
      </c>
      <c r="AL226" s="1170">
        <f t="shared" si="807"/>
        <v>-4.2900000000000001E-2</v>
      </c>
      <c r="AM226" s="1156">
        <f t="shared" si="812"/>
        <v>298854.74</v>
      </c>
      <c r="AN226" s="1170">
        <f t="shared" si="808"/>
        <v>-0.37769999999999998</v>
      </c>
      <c r="AO226" s="1170"/>
      <c r="AP226" s="1170"/>
      <c r="AQ226" s="1157">
        <f t="shared" si="812"/>
        <v>478365.33</v>
      </c>
      <c r="AR226" s="1170">
        <f t="shared" si="809"/>
        <v>-1.09E-2</v>
      </c>
      <c r="AS226" s="1170">
        <f t="shared" si="810"/>
        <v>-2.06E-2</v>
      </c>
      <c r="AT226" s="1170">
        <f t="shared" si="811"/>
        <v>3.7000000000000002E-3</v>
      </c>
      <c r="AU226" s="1155"/>
      <c r="AV226" s="1157">
        <f t="shared" ref="AV226:AZ226" si="813">SUM(AV224:AV225)</f>
        <v>480025.65</v>
      </c>
      <c r="AW226" s="1157">
        <f t="shared" si="813"/>
        <v>475159.28</v>
      </c>
      <c r="AX226" s="1157">
        <f t="shared" si="813"/>
        <v>435005.62</v>
      </c>
      <c r="AY226" s="1157">
        <f t="shared" si="813"/>
        <v>432294.57</v>
      </c>
      <c r="AZ226" s="1157">
        <f t="shared" si="813"/>
        <v>432334.71</v>
      </c>
      <c r="BA226" s="1155"/>
      <c r="BB226" s="1155"/>
      <c r="BC226" s="1155"/>
      <c r="BD226" s="1155"/>
      <c r="BE226" s="1155"/>
      <c r="BF226" s="1155"/>
      <c r="BG226" s="1155"/>
      <c r="BH226" s="1155"/>
      <c r="BI226" s="1155"/>
      <c r="BJ226" s="1155"/>
      <c r="BK226" s="1155"/>
      <c r="BL226" s="1155"/>
      <c r="BM226" s="1155"/>
      <c r="BN226" s="1155"/>
      <c r="BO226" s="1155"/>
      <c r="BP226" s="1155"/>
      <c r="BQ226" s="1155"/>
      <c r="BR226" s="1155"/>
      <c r="BS226" s="1155"/>
      <c r="BT226" s="1155"/>
      <c r="BU226" s="1155"/>
      <c r="BV226" s="1155"/>
      <c r="BW226" s="1155"/>
      <c r="BX226" s="1155"/>
      <c r="BY226" s="1155"/>
      <c r="BZ226" s="1155"/>
      <c r="CA226" s="1155"/>
      <c r="CB226" s="1155"/>
      <c r="CC226" s="1155"/>
      <c r="CD226" s="1155"/>
      <c r="CE226" s="1155"/>
      <c r="CF226" s="1155"/>
      <c r="CG226" s="1155"/>
      <c r="CH226" s="1155"/>
      <c r="CI226" s="1155"/>
      <c r="CJ226" s="1155"/>
      <c r="CK226" s="1155"/>
      <c r="CL226" s="1155"/>
      <c r="CM226" s="1155"/>
      <c r="CN226" s="1155"/>
      <c r="CO226" s="1155"/>
      <c r="CP226" s="1155"/>
      <c r="CQ226" s="1155"/>
      <c r="CR226" s="1155"/>
      <c r="CS226" s="1155"/>
      <c r="CT226" s="1155"/>
      <c r="CU226" s="1155"/>
      <c r="CV226" s="1155"/>
      <c r="CW226" s="1155"/>
      <c r="CX226" s="1155"/>
      <c r="CY226" s="1155"/>
      <c r="CZ226" s="1155"/>
      <c r="DA226" s="1155"/>
      <c r="DB226" s="1155"/>
      <c r="DC226" s="1155"/>
      <c r="DD226" s="1155"/>
      <c r="DE226" s="1155"/>
      <c r="DF226" s="1155"/>
      <c r="DG226" s="1155"/>
      <c r="DH226" s="1155"/>
      <c r="DI226" s="1155"/>
      <c r="DJ226" s="1155"/>
      <c r="DK226" s="1155"/>
      <c r="DL226" s="1155"/>
      <c r="DM226" s="1155"/>
      <c r="DN226" s="1155"/>
      <c r="DO226" s="1155"/>
      <c r="DP226" s="1155"/>
      <c r="DQ226" s="1155"/>
      <c r="DR226" s="1155"/>
      <c r="DS226" s="1155"/>
      <c r="DT226" s="1155"/>
      <c r="DU226" s="1155"/>
      <c r="DV226" s="1155"/>
      <c r="DW226" s="1155"/>
      <c r="DX226" s="1155"/>
      <c r="DY226" s="1155"/>
      <c r="DZ226" s="1155"/>
      <c r="EA226" s="1155"/>
      <c r="EB226" s="1155"/>
      <c r="EC226" s="1155"/>
      <c r="ED226" s="1155"/>
      <c r="EE226" s="1155"/>
      <c r="EF226" s="1155"/>
      <c r="EG226" s="1155"/>
      <c r="EH226" s="1155"/>
      <c r="EI226" s="1155"/>
      <c r="EJ226" s="1155"/>
      <c r="EK226" s="1155"/>
      <c r="EL226" s="1155"/>
      <c r="EM226" s="1155"/>
      <c r="EN226" s="1155"/>
      <c r="EO226" s="1155"/>
      <c r="EP226" s="1155"/>
      <c r="EQ226" s="1155"/>
      <c r="ER226" s="1155"/>
      <c r="ES226" s="1155"/>
      <c r="ET226" s="1155"/>
      <c r="EU226" s="1155"/>
      <c r="EV226" s="1155"/>
      <c r="EW226" s="1155"/>
      <c r="EX226" s="1155"/>
      <c r="EY226" s="1155"/>
      <c r="EZ226" s="1155"/>
    </row>
    <row r="227" spans="1:156" s="1158" customFormat="1" x14ac:dyDescent="0.3">
      <c r="A227" s="1155"/>
      <c r="B227" s="1155"/>
      <c r="C227" s="1156"/>
      <c r="D227" s="1156"/>
      <c r="E227" s="1156"/>
      <c r="F227" s="1157"/>
      <c r="G227" s="1156"/>
      <c r="H227" s="1156"/>
      <c r="I227" s="1157"/>
      <c r="J227" s="1156"/>
      <c r="K227" s="1156"/>
      <c r="L227" s="1157"/>
      <c r="M227" s="1156"/>
      <c r="N227" s="1156"/>
      <c r="O227" s="1157"/>
      <c r="P227" s="1156"/>
      <c r="Q227" s="1156"/>
      <c r="R227" s="1157"/>
      <c r="S227" s="1156"/>
      <c r="T227" s="1156"/>
      <c r="U227" s="1157"/>
      <c r="V227" s="1156"/>
      <c r="W227" s="1156"/>
      <c r="X227" s="1157"/>
      <c r="Y227" s="1156"/>
      <c r="Z227" s="1156"/>
      <c r="AA227" s="1157"/>
      <c r="AB227" s="1157"/>
      <c r="AC227" s="1156"/>
      <c r="AD227" s="1156"/>
      <c r="AE227" s="1157"/>
      <c r="AF227" s="1157"/>
      <c r="AG227" s="1156"/>
      <c r="AH227" s="1156"/>
      <c r="AI227" s="1156"/>
      <c r="AJ227" s="1156"/>
      <c r="AK227" s="1157"/>
      <c r="AL227" s="1157"/>
      <c r="AM227" s="1156"/>
      <c r="AN227" s="1156"/>
      <c r="AO227" s="1156"/>
      <c r="AP227" s="1156"/>
      <c r="AQ227" s="1157"/>
      <c r="AR227" s="1157"/>
      <c r="AS227" s="1155"/>
      <c r="AT227" s="1155"/>
      <c r="AU227" s="1155"/>
      <c r="AV227" s="1155"/>
      <c r="AW227" s="1155"/>
      <c r="AX227" s="1155"/>
      <c r="AY227" s="1155"/>
      <c r="AZ227" s="1155"/>
      <c r="BA227" s="1155"/>
      <c r="BB227" s="1155"/>
      <c r="BC227" s="1155"/>
      <c r="BD227" s="1155"/>
      <c r="BE227" s="1155"/>
      <c r="BF227" s="1155"/>
      <c r="BG227" s="1155"/>
      <c r="BH227" s="1155"/>
      <c r="BI227" s="1155"/>
      <c r="BJ227" s="1155"/>
      <c r="BK227" s="1155"/>
      <c r="BL227" s="1155"/>
      <c r="BM227" s="1155"/>
      <c r="BN227" s="1155"/>
      <c r="BO227" s="1155"/>
      <c r="BP227" s="1155"/>
      <c r="BQ227" s="1155"/>
      <c r="BR227" s="1155"/>
      <c r="BS227" s="1155"/>
      <c r="BT227" s="1155"/>
      <c r="BU227" s="1155"/>
      <c r="BV227" s="1155"/>
      <c r="BW227" s="1155"/>
      <c r="BX227" s="1155"/>
      <c r="BY227" s="1155"/>
      <c r="BZ227" s="1155"/>
      <c r="CA227" s="1155"/>
      <c r="CB227" s="1155"/>
      <c r="CC227" s="1155"/>
      <c r="CD227" s="1155"/>
      <c r="CE227" s="1155"/>
      <c r="CF227" s="1155"/>
      <c r="CG227" s="1155"/>
      <c r="CH227" s="1155"/>
      <c r="CI227" s="1155"/>
      <c r="CJ227" s="1155"/>
      <c r="CK227" s="1155"/>
      <c r="CL227" s="1155"/>
      <c r="CM227" s="1155"/>
      <c r="CN227" s="1155"/>
      <c r="CO227" s="1155"/>
      <c r="CP227" s="1155"/>
      <c r="CQ227" s="1155"/>
      <c r="CR227" s="1155"/>
      <c r="CS227" s="1155"/>
      <c r="CT227" s="1155"/>
      <c r="CU227" s="1155"/>
      <c r="CV227" s="1155"/>
      <c r="CW227" s="1155"/>
      <c r="CX227" s="1155"/>
      <c r="CY227" s="1155"/>
      <c r="CZ227" s="1155"/>
      <c r="DA227" s="1155"/>
      <c r="DB227" s="1155"/>
      <c r="DC227" s="1155"/>
      <c r="DD227" s="1155"/>
      <c r="DE227" s="1155"/>
      <c r="DF227" s="1155"/>
      <c r="DG227" s="1155"/>
      <c r="DH227" s="1155"/>
      <c r="DI227" s="1155"/>
      <c r="DJ227" s="1155"/>
      <c r="DK227" s="1155"/>
      <c r="DL227" s="1155"/>
      <c r="DM227" s="1155"/>
      <c r="DN227" s="1155"/>
      <c r="DO227" s="1155"/>
      <c r="DP227" s="1155"/>
      <c r="DQ227" s="1155"/>
      <c r="DR227" s="1155"/>
      <c r="DS227" s="1155"/>
      <c r="DT227" s="1155"/>
      <c r="DU227" s="1155"/>
      <c r="DV227" s="1155"/>
      <c r="DW227" s="1155"/>
      <c r="DX227" s="1155"/>
      <c r="DY227" s="1155"/>
      <c r="DZ227" s="1155"/>
      <c r="EA227" s="1155"/>
      <c r="EB227" s="1155"/>
      <c r="EC227" s="1155"/>
      <c r="ED227" s="1155"/>
      <c r="EE227" s="1155"/>
      <c r="EF227" s="1155"/>
      <c r="EG227" s="1155"/>
      <c r="EH227" s="1155"/>
      <c r="EI227" s="1155"/>
      <c r="EJ227" s="1155"/>
      <c r="EK227" s="1155"/>
      <c r="EL227" s="1155"/>
      <c r="EM227" s="1155"/>
      <c r="EN227" s="1155"/>
      <c r="EO227" s="1155"/>
      <c r="EP227" s="1155"/>
      <c r="EQ227" s="1155"/>
      <c r="ER227" s="1155"/>
      <c r="ES227" s="1155"/>
      <c r="ET227" s="1155"/>
      <c r="EU227" s="1155"/>
      <c r="EV227" s="1155"/>
      <c r="EW227" s="1155"/>
      <c r="EX227" s="1155"/>
      <c r="EY227" s="1155"/>
      <c r="EZ227" s="1155"/>
    </row>
    <row r="228" spans="1:156" s="1158" customFormat="1" x14ac:dyDescent="0.3">
      <c r="A228" s="1154" t="s">
        <v>1967</v>
      </c>
      <c r="B228" s="1155"/>
      <c r="C228" s="1156"/>
      <c r="D228" s="1156"/>
      <c r="E228" s="1156"/>
      <c r="F228" s="1157"/>
      <c r="G228" s="1156"/>
      <c r="H228" s="1156"/>
      <c r="I228" s="1157"/>
      <c r="J228" s="1156"/>
      <c r="K228" s="1156"/>
      <c r="L228" s="1157"/>
      <c r="M228" s="1156"/>
      <c r="N228" s="1156"/>
      <c r="O228" s="1157"/>
      <c r="P228" s="1156"/>
      <c r="Q228" s="1156"/>
      <c r="R228" s="1157"/>
      <c r="S228" s="1156"/>
      <c r="T228" s="1156"/>
      <c r="U228" s="1157"/>
      <c r="V228" s="1156"/>
      <c r="W228" s="1156"/>
      <c r="X228" s="1157"/>
      <c r="Y228" s="1156"/>
      <c r="Z228" s="1156"/>
      <c r="AA228" s="1157"/>
      <c r="AB228" s="1157"/>
      <c r="AC228" s="1156"/>
      <c r="AD228" s="1156"/>
      <c r="AE228" s="1157"/>
      <c r="AF228" s="1157"/>
      <c r="AG228" s="1156"/>
      <c r="AH228" s="1156"/>
      <c r="AI228" s="1156"/>
      <c r="AJ228" s="1156"/>
      <c r="AK228" s="1157"/>
      <c r="AL228" s="1157"/>
      <c r="AM228" s="1156"/>
      <c r="AN228" s="1156"/>
      <c r="AO228" s="1156"/>
      <c r="AP228" s="1156"/>
      <c r="AQ228" s="1157"/>
      <c r="AR228" s="1157"/>
      <c r="AS228" s="1155"/>
      <c r="AT228" s="1155"/>
      <c r="AU228" s="1155"/>
      <c r="AV228" s="1155"/>
      <c r="AW228" s="1155"/>
      <c r="AX228" s="1155"/>
      <c r="AY228" s="1155"/>
      <c r="AZ228" s="1155"/>
      <c r="BA228" s="1155"/>
      <c r="BB228" s="1155"/>
      <c r="BC228" s="1155"/>
      <c r="BD228" s="1155"/>
      <c r="BE228" s="1155"/>
      <c r="BF228" s="1155"/>
      <c r="BG228" s="1155"/>
      <c r="BH228" s="1155"/>
      <c r="BI228" s="1155"/>
      <c r="BJ228" s="1155"/>
      <c r="BK228" s="1155"/>
      <c r="BL228" s="1155"/>
      <c r="BM228" s="1155"/>
      <c r="BN228" s="1155"/>
      <c r="BO228" s="1155"/>
      <c r="BP228" s="1155"/>
      <c r="BQ228" s="1155"/>
      <c r="BR228" s="1155"/>
      <c r="BS228" s="1155"/>
      <c r="BT228" s="1155"/>
      <c r="BU228" s="1155"/>
      <c r="BV228" s="1155"/>
      <c r="BW228" s="1155"/>
      <c r="BX228" s="1155"/>
      <c r="BY228" s="1155"/>
      <c r="BZ228" s="1155"/>
      <c r="CA228" s="1155"/>
      <c r="CB228" s="1155"/>
      <c r="CC228" s="1155"/>
      <c r="CD228" s="1155"/>
      <c r="CE228" s="1155"/>
      <c r="CF228" s="1155"/>
      <c r="CG228" s="1155"/>
      <c r="CH228" s="1155"/>
      <c r="CI228" s="1155"/>
      <c r="CJ228" s="1155"/>
      <c r="CK228" s="1155"/>
      <c r="CL228" s="1155"/>
      <c r="CM228" s="1155"/>
      <c r="CN228" s="1155"/>
      <c r="CO228" s="1155"/>
      <c r="CP228" s="1155"/>
      <c r="CQ228" s="1155"/>
      <c r="CR228" s="1155"/>
      <c r="CS228" s="1155"/>
      <c r="CT228" s="1155"/>
      <c r="CU228" s="1155"/>
      <c r="CV228" s="1155"/>
      <c r="CW228" s="1155"/>
      <c r="CX228" s="1155"/>
      <c r="CY228" s="1155"/>
      <c r="CZ228" s="1155"/>
      <c r="DA228" s="1155"/>
      <c r="DB228" s="1155"/>
      <c r="DC228" s="1155"/>
      <c r="DD228" s="1155"/>
      <c r="DE228" s="1155"/>
      <c r="DF228" s="1155"/>
      <c r="DG228" s="1155"/>
      <c r="DH228" s="1155"/>
      <c r="DI228" s="1155"/>
      <c r="DJ228" s="1155"/>
      <c r="DK228" s="1155"/>
      <c r="DL228" s="1155"/>
      <c r="DM228" s="1155"/>
      <c r="DN228" s="1155"/>
      <c r="DO228" s="1155"/>
      <c r="DP228" s="1155"/>
      <c r="DQ228" s="1155"/>
      <c r="DR228" s="1155"/>
      <c r="DS228" s="1155"/>
      <c r="DT228" s="1155"/>
      <c r="DU228" s="1155"/>
      <c r="DV228" s="1155"/>
      <c r="DW228" s="1155"/>
      <c r="DX228" s="1155"/>
      <c r="DY228" s="1155"/>
      <c r="DZ228" s="1155"/>
      <c r="EA228" s="1155"/>
      <c r="EB228" s="1155"/>
      <c r="EC228" s="1155"/>
      <c r="ED228" s="1155"/>
      <c r="EE228" s="1155"/>
      <c r="EF228" s="1155"/>
      <c r="EG228" s="1155"/>
      <c r="EH228" s="1155"/>
      <c r="EI228" s="1155"/>
      <c r="EJ228" s="1155"/>
      <c r="EK228" s="1155"/>
      <c r="EL228" s="1155"/>
      <c r="EM228" s="1155"/>
      <c r="EN228" s="1155"/>
      <c r="EO228" s="1155"/>
      <c r="EP228" s="1155"/>
      <c r="EQ228" s="1155"/>
      <c r="ER228" s="1155"/>
      <c r="ES228" s="1155"/>
      <c r="ET228" s="1155"/>
      <c r="EU228" s="1155"/>
      <c r="EV228" s="1155"/>
      <c r="EW228" s="1155"/>
      <c r="EX228" s="1155"/>
      <c r="EY228" s="1155"/>
      <c r="EZ228" s="1155"/>
    </row>
    <row r="229" spans="1:156" s="1158" customFormat="1" x14ac:dyDescent="0.3">
      <c r="A229" s="1155"/>
      <c r="B229" s="1155" t="s">
        <v>2220</v>
      </c>
      <c r="C229" s="1159">
        <f>+'661 910 CWF Benefits'!C18</f>
        <v>162428.75000000003</v>
      </c>
      <c r="D229" s="1159">
        <f>+'661 910 CWF Benefits'!D18</f>
        <v>160893.16</v>
      </c>
      <c r="E229" s="1174">
        <f t="shared" ref="E229:E230" si="814">ROUND(((+D229-C229)/C229),4)</f>
        <v>-9.4999999999999998E-3</v>
      </c>
      <c r="F229" s="1160">
        <v>203804</v>
      </c>
      <c r="G229" s="1159">
        <f>+'661 910 CWF Benefits'!E18</f>
        <v>181400.05999999997</v>
      </c>
      <c r="H229" s="1174">
        <f t="shared" ref="H229:H230" si="815">ROUND(((+G229-D229)/D229),4)</f>
        <v>0.1275</v>
      </c>
      <c r="I229" s="1160">
        <v>227327</v>
      </c>
      <c r="J229" s="1159">
        <f>+'661 910 CWF Benefits'!F18</f>
        <v>194173.2</v>
      </c>
      <c r="K229" s="1174">
        <f>ROUND(((+J229-G229)/G229),4)</f>
        <v>7.0400000000000004E-2</v>
      </c>
      <c r="L229" s="1160">
        <v>249260</v>
      </c>
      <c r="M229" s="1159">
        <f>+'661 910 CWF Benefits'!G18</f>
        <v>221112.49</v>
      </c>
      <c r="N229" s="1174">
        <f>ROUND(((+M229-J229)/J229),4)</f>
        <v>0.13869999999999999</v>
      </c>
      <c r="O229" s="1160">
        <v>264700</v>
      </c>
      <c r="P229" s="1159">
        <f>+'661 910 CWF Benefits'!H18</f>
        <v>224380.71000000002</v>
      </c>
      <c r="Q229" s="1174">
        <f>ROUND(((+P229-M229)/M229),4)</f>
        <v>1.4800000000000001E-2</v>
      </c>
      <c r="R229" s="1160">
        <v>261702</v>
      </c>
      <c r="S229" s="1159">
        <f>+'661 910 CWF Benefits'!I18</f>
        <v>234658.48</v>
      </c>
      <c r="T229" s="1174">
        <f>ROUND(((+S229-P229)/P229),4)</f>
        <v>4.58E-2</v>
      </c>
      <c r="U229" s="1160">
        <v>279702</v>
      </c>
      <c r="V229" s="1159">
        <f>+'661 910 CWF Benefits'!J18</f>
        <v>225455.12</v>
      </c>
      <c r="W229" s="1174">
        <f>ROUND(((+V229-S229)/S229),4)</f>
        <v>-3.9199999999999999E-2</v>
      </c>
      <c r="X229" s="1160">
        <f>+'661 910 CWF Benefits'!K18</f>
        <v>291954</v>
      </c>
      <c r="Y229" s="1159">
        <f>+'661 910 CWF Benefits'!L18</f>
        <v>222372.35</v>
      </c>
      <c r="Z229" s="1174">
        <f t="shared" ref="Z229:Z230" si="816">ROUND(((+Y229-V229)/V229),4)</f>
        <v>-1.37E-2</v>
      </c>
      <c r="AA229" s="1160">
        <f>+'661 910 CWF Benefits'!M18</f>
        <v>270333</v>
      </c>
      <c r="AB229" s="1174">
        <f t="shared" ref="AB229:AB230" si="817">ROUND(((+AA229-X229)/X229),4)</f>
        <v>-7.4099999999999999E-2</v>
      </c>
      <c r="AC229" s="1159">
        <f>+'661 910 CWF Benefits'!N18</f>
        <v>228342.64</v>
      </c>
      <c r="AD229" s="1174">
        <f t="shared" ref="AD229:AD230" si="818">ROUND(((+AC229-Y229)/Y229),4)</f>
        <v>2.6800000000000001E-2</v>
      </c>
      <c r="AE229" s="1160">
        <f>+'661 910 CWF Benefits'!O18</f>
        <v>359152</v>
      </c>
      <c r="AF229" s="1174">
        <f t="shared" ref="AF229:AF230" si="819">ROUND(((+AE229-AA229)/AA229),4)</f>
        <v>0.3286</v>
      </c>
      <c r="AG229" s="1159">
        <f>+'661 910 CWF Benefits'!P18</f>
        <v>280039.43</v>
      </c>
      <c r="AH229" s="1174">
        <f t="shared" ref="AH229:AH230" si="820">ROUND(((+AG229-AC229)/AC229),4)</f>
        <v>0.22639999999999999</v>
      </c>
      <c r="AI229" s="1174"/>
      <c r="AJ229" s="1174"/>
      <c r="AK229" s="1160">
        <f>+'661 910 CWF Benefits'!Q18</f>
        <v>363631</v>
      </c>
      <c r="AL229" s="1174">
        <f t="shared" ref="AL229:AL230" si="821">ROUND(((+AK229-AE229)/AE229),4)</f>
        <v>1.2500000000000001E-2</v>
      </c>
      <c r="AM229" s="1159">
        <f>+'661 910 CWF Benefits'!R18</f>
        <v>200718.34999999998</v>
      </c>
      <c r="AN229" s="1174">
        <f t="shared" ref="AN229:AN230" si="822">ROUND(((+AM229-AG229)/AG229),4)</f>
        <v>-0.28320000000000001</v>
      </c>
      <c r="AO229" s="1174"/>
      <c r="AP229" s="1174"/>
      <c r="AQ229" s="1160">
        <f>+'661 910 CWF Benefits'!S18</f>
        <v>380719</v>
      </c>
      <c r="AR229" s="1174">
        <f t="shared" ref="AR229:AR230" si="823">ROUND(((+AQ229-AK229)/AK229),4)</f>
        <v>4.7E-2</v>
      </c>
      <c r="AS229" s="1174">
        <f t="shared" ref="AS229:AS230" si="824">ROUND((((+AQ229-U229)/U229)/5),4)</f>
        <v>7.22E-2</v>
      </c>
      <c r="AT229" s="1174">
        <f t="shared" ref="AT229:AT230" si="825">ROUND((((+AQ229-F229)/F229)/10),4)</f>
        <v>8.6800000000000002E-2</v>
      </c>
      <c r="AU229" s="1155"/>
      <c r="AV229" s="1160">
        <f>ROUND((+AQ229*(1.0374)),0)</f>
        <v>394958</v>
      </c>
      <c r="AW229" s="1160">
        <f>ROUND((+AV229*(1.0374)),0)</f>
        <v>409729</v>
      </c>
      <c r="AX229" s="1160">
        <f>ROUND((+AW229*(1.0374)),0)</f>
        <v>425053</v>
      </c>
      <c r="AY229" s="1160">
        <f>ROUND((+AX229*(1.0374)),0)</f>
        <v>440950</v>
      </c>
      <c r="AZ229" s="1160">
        <f>ROUND((+AY229*(1.0374)),0)</f>
        <v>457442</v>
      </c>
      <c r="BA229" s="1170">
        <v>3.7400000000000003E-2</v>
      </c>
      <c r="BB229" s="1155" t="s">
        <v>2271</v>
      </c>
      <c r="BC229" s="1155"/>
      <c r="BD229" s="1155"/>
      <c r="BE229" s="1155"/>
      <c r="BF229" s="1155"/>
      <c r="BG229" s="1155"/>
      <c r="BH229" s="1155"/>
      <c r="BI229" s="1155"/>
      <c r="BJ229" s="1155"/>
      <c r="BK229" s="1155"/>
      <c r="BL229" s="1155"/>
      <c r="BM229" s="1155"/>
      <c r="BN229" s="1155"/>
      <c r="BO229" s="1155"/>
      <c r="BP229" s="1155"/>
      <c r="BQ229" s="1155"/>
      <c r="BR229" s="1155"/>
      <c r="BS229" s="1155"/>
      <c r="BT229" s="1155"/>
      <c r="BU229" s="1155"/>
      <c r="BV229" s="1155"/>
      <c r="BW229" s="1155"/>
      <c r="BX229" s="1155"/>
      <c r="BY229" s="1155"/>
      <c r="BZ229" s="1155"/>
      <c r="CA229" s="1155"/>
      <c r="CB229" s="1155"/>
      <c r="CC229" s="1155"/>
      <c r="CD229" s="1155"/>
      <c r="CE229" s="1155"/>
      <c r="CF229" s="1155"/>
      <c r="CG229" s="1155"/>
      <c r="CH229" s="1155"/>
      <c r="CI229" s="1155"/>
      <c r="CJ229" s="1155"/>
      <c r="CK229" s="1155"/>
      <c r="CL229" s="1155"/>
      <c r="CM229" s="1155"/>
      <c r="CN229" s="1155"/>
      <c r="CO229" s="1155"/>
      <c r="CP229" s="1155"/>
      <c r="CQ229" s="1155"/>
      <c r="CR229" s="1155"/>
      <c r="CS229" s="1155"/>
      <c r="CT229" s="1155"/>
      <c r="CU229" s="1155"/>
      <c r="CV229" s="1155"/>
      <c r="CW229" s="1155"/>
      <c r="CX229" s="1155"/>
      <c r="CY229" s="1155"/>
      <c r="CZ229" s="1155"/>
      <c r="DA229" s="1155"/>
      <c r="DB229" s="1155"/>
      <c r="DC229" s="1155"/>
      <c r="DD229" s="1155"/>
      <c r="DE229" s="1155"/>
      <c r="DF229" s="1155"/>
      <c r="DG229" s="1155"/>
      <c r="DH229" s="1155"/>
      <c r="DI229" s="1155"/>
      <c r="DJ229" s="1155"/>
      <c r="DK229" s="1155"/>
      <c r="DL229" s="1155"/>
      <c r="DM229" s="1155"/>
      <c r="DN229" s="1155"/>
      <c r="DO229" s="1155"/>
      <c r="DP229" s="1155"/>
      <c r="DQ229" s="1155"/>
      <c r="DR229" s="1155"/>
      <c r="DS229" s="1155"/>
      <c r="DT229" s="1155"/>
      <c r="DU229" s="1155"/>
      <c r="DV229" s="1155"/>
      <c r="DW229" s="1155"/>
      <c r="DX229" s="1155"/>
      <c r="DY229" s="1155"/>
      <c r="DZ229" s="1155"/>
      <c r="EA229" s="1155"/>
      <c r="EB229" s="1155"/>
      <c r="EC229" s="1155"/>
      <c r="ED229" s="1155"/>
      <c r="EE229" s="1155"/>
      <c r="EF229" s="1155"/>
      <c r="EG229" s="1155"/>
      <c r="EH229" s="1155"/>
      <c r="EI229" s="1155"/>
      <c r="EJ229" s="1155"/>
      <c r="EK229" s="1155"/>
      <c r="EL229" s="1155"/>
      <c r="EM229" s="1155"/>
      <c r="EN229" s="1155"/>
      <c r="EO229" s="1155"/>
      <c r="EP229" s="1155"/>
      <c r="EQ229" s="1155"/>
      <c r="ER229" s="1155"/>
      <c r="ES229" s="1155"/>
      <c r="ET229" s="1155"/>
      <c r="EU229" s="1155"/>
      <c r="EV229" s="1155"/>
      <c r="EW229" s="1155"/>
      <c r="EX229" s="1155"/>
      <c r="EY229" s="1155"/>
      <c r="EZ229" s="1155"/>
    </row>
    <row r="230" spans="1:156" s="1158" customFormat="1" x14ac:dyDescent="0.3">
      <c r="A230" s="1155"/>
      <c r="B230" s="1155" t="s">
        <v>887</v>
      </c>
      <c r="C230" s="1156">
        <f>SUM(C228:C229)</f>
        <v>162428.75000000003</v>
      </c>
      <c r="D230" s="1156">
        <f t="shared" ref="D230:AQ230" si="826">SUM(D228:D229)</f>
        <v>160893.16</v>
      </c>
      <c r="E230" s="1170">
        <f t="shared" si="814"/>
        <v>-9.4999999999999998E-3</v>
      </c>
      <c r="F230" s="1157">
        <f t="shared" si="826"/>
        <v>203804</v>
      </c>
      <c r="G230" s="1156">
        <f t="shared" si="826"/>
        <v>181400.05999999997</v>
      </c>
      <c r="H230" s="1170">
        <f t="shared" si="815"/>
        <v>0.1275</v>
      </c>
      <c r="I230" s="1157">
        <f t="shared" si="826"/>
        <v>227327</v>
      </c>
      <c r="J230" s="1156">
        <f t="shared" si="826"/>
        <v>194173.2</v>
      </c>
      <c r="K230" s="1170">
        <f>ROUND(((+J230-G230)/G230),4)</f>
        <v>7.0400000000000004E-2</v>
      </c>
      <c r="L230" s="1157">
        <f t="shared" si="826"/>
        <v>249260</v>
      </c>
      <c r="M230" s="1156">
        <f t="shared" si="826"/>
        <v>221112.49</v>
      </c>
      <c r="N230" s="1170">
        <f>ROUND(((+M230-J230)/J230),4)</f>
        <v>0.13869999999999999</v>
      </c>
      <c r="O230" s="1157">
        <f t="shared" si="826"/>
        <v>264700</v>
      </c>
      <c r="P230" s="1156">
        <f t="shared" si="826"/>
        <v>224380.71000000002</v>
      </c>
      <c r="Q230" s="1170">
        <f>ROUND(((+P230-M230)/M230),4)</f>
        <v>1.4800000000000001E-2</v>
      </c>
      <c r="R230" s="1157">
        <f t="shared" si="826"/>
        <v>261702</v>
      </c>
      <c r="S230" s="1156">
        <f t="shared" si="826"/>
        <v>234658.48</v>
      </c>
      <c r="T230" s="1170">
        <f>ROUND(((+S230-P230)/P230),4)</f>
        <v>4.58E-2</v>
      </c>
      <c r="U230" s="1157">
        <f t="shared" si="826"/>
        <v>279702</v>
      </c>
      <c r="V230" s="1156">
        <f t="shared" si="826"/>
        <v>225455.12</v>
      </c>
      <c r="W230" s="1170">
        <f>ROUND(((+V230-S230)/S230),4)</f>
        <v>-3.9199999999999999E-2</v>
      </c>
      <c r="X230" s="1157">
        <f t="shared" si="826"/>
        <v>291954</v>
      </c>
      <c r="Y230" s="1156">
        <f t="shared" si="826"/>
        <v>222372.35</v>
      </c>
      <c r="Z230" s="1170">
        <f t="shared" si="816"/>
        <v>-1.37E-2</v>
      </c>
      <c r="AA230" s="1157">
        <f t="shared" si="826"/>
        <v>270333</v>
      </c>
      <c r="AB230" s="1170">
        <f t="shared" si="817"/>
        <v>-7.4099999999999999E-2</v>
      </c>
      <c r="AC230" s="1156">
        <f t="shared" si="826"/>
        <v>228342.64</v>
      </c>
      <c r="AD230" s="1170">
        <f t="shared" si="818"/>
        <v>2.6800000000000001E-2</v>
      </c>
      <c r="AE230" s="1157">
        <f t="shared" si="826"/>
        <v>359152</v>
      </c>
      <c r="AF230" s="1170">
        <f t="shared" si="819"/>
        <v>0.3286</v>
      </c>
      <c r="AG230" s="1156">
        <f t="shared" si="826"/>
        <v>280039.43</v>
      </c>
      <c r="AH230" s="1170">
        <f t="shared" si="820"/>
        <v>0.22639999999999999</v>
      </c>
      <c r="AI230" s="1170"/>
      <c r="AJ230" s="1170"/>
      <c r="AK230" s="1157">
        <f t="shared" si="826"/>
        <v>363631</v>
      </c>
      <c r="AL230" s="1170">
        <f t="shared" si="821"/>
        <v>1.2500000000000001E-2</v>
      </c>
      <c r="AM230" s="1156">
        <f t="shared" si="826"/>
        <v>200718.34999999998</v>
      </c>
      <c r="AN230" s="1170">
        <f t="shared" si="822"/>
        <v>-0.28320000000000001</v>
      </c>
      <c r="AO230" s="1170"/>
      <c r="AP230" s="1170"/>
      <c r="AQ230" s="1157">
        <f t="shared" si="826"/>
        <v>380719</v>
      </c>
      <c r="AR230" s="1170">
        <f t="shared" si="823"/>
        <v>4.7E-2</v>
      </c>
      <c r="AS230" s="1170">
        <f t="shared" si="824"/>
        <v>7.22E-2</v>
      </c>
      <c r="AT230" s="1170">
        <f t="shared" si="825"/>
        <v>8.6800000000000002E-2</v>
      </c>
      <c r="AU230" s="1155"/>
      <c r="AV230" s="1157">
        <f t="shared" ref="AV230:AZ230" si="827">SUM(AV228:AV229)</f>
        <v>394958</v>
      </c>
      <c r="AW230" s="1157">
        <f t="shared" si="827"/>
        <v>409729</v>
      </c>
      <c r="AX230" s="1157">
        <f t="shared" si="827"/>
        <v>425053</v>
      </c>
      <c r="AY230" s="1157">
        <f t="shared" si="827"/>
        <v>440950</v>
      </c>
      <c r="AZ230" s="1157">
        <f t="shared" si="827"/>
        <v>457442</v>
      </c>
      <c r="BA230" s="1155"/>
      <c r="BB230" s="1155"/>
      <c r="BC230" s="1155"/>
      <c r="BD230" s="1155"/>
      <c r="BE230" s="1155"/>
      <c r="BF230" s="1155"/>
      <c r="BG230" s="1155"/>
      <c r="BH230" s="1155"/>
      <c r="BI230" s="1155"/>
      <c r="BJ230" s="1155"/>
      <c r="BK230" s="1155"/>
      <c r="BL230" s="1155"/>
      <c r="BM230" s="1155"/>
      <c r="BN230" s="1155"/>
      <c r="BO230" s="1155"/>
      <c r="BP230" s="1155"/>
      <c r="BQ230" s="1155"/>
      <c r="BR230" s="1155"/>
      <c r="BS230" s="1155"/>
      <c r="BT230" s="1155"/>
      <c r="BU230" s="1155"/>
      <c r="BV230" s="1155"/>
      <c r="BW230" s="1155"/>
      <c r="BX230" s="1155"/>
      <c r="BY230" s="1155"/>
      <c r="BZ230" s="1155"/>
      <c r="CA230" s="1155"/>
      <c r="CB230" s="1155"/>
      <c r="CC230" s="1155"/>
      <c r="CD230" s="1155"/>
      <c r="CE230" s="1155"/>
      <c r="CF230" s="1155"/>
      <c r="CG230" s="1155"/>
      <c r="CH230" s="1155"/>
      <c r="CI230" s="1155"/>
      <c r="CJ230" s="1155"/>
      <c r="CK230" s="1155"/>
      <c r="CL230" s="1155"/>
      <c r="CM230" s="1155"/>
      <c r="CN230" s="1155"/>
      <c r="CO230" s="1155"/>
      <c r="CP230" s="1155"/>
      <c r="CQ230" s="1155"/>
      <c r="CR230" s="1155"/>
      <c r="CS230" s="1155"/>
      <c r="CT230" s="1155"/>
      <c r="CU230" s="1155"/>
      <c r="CV230" s="1155"/>
      <c r="CW230" s="1155"/>
      <c r="CX230" s="1155"/>
      <c r="CY230" s="1155"/>
      <c r="CZ230" s="1155"/>
      <c r="DA230" s="1155"/>
      <c r="DB230" s="1155"/>
      <c r="DC230" s="1155"/>
      <c r="DD230" s="1155"/>
      <c r="DE230" s="1155"/>
      <c r="DF230" s="1155"/>
      <c r="DG230" s="1155"/>
      <c r="DH230" s="1155"/>
      <c r="DI230" s="1155"/>
      <c r="DJ230" s="1155"/>
      <c r="DK230" s="1155"/>
      <c r="DL230" s="1155"/>
      <c r="DM230" s="1155"/>
      <c r="DN230" s="1155"/>
      <c r="DO230" s="1155"/>
      <c r="DP230" s="1155"/>
      <c r="DQ230" s="1155"/>
      <c r="DR230" s="1155"/>
      <c r="DS230" s="1155"/>
      <c r="DT230" s="1155"/>
      <c r="DU230" s="1155"/>
      <c r="DV230" s="1155"/>
      <c r="DW230" s="1155"/>
      <c r="DX230" s="1155"/>
      <c r="DY230" s="1155"/>
      <c r="DZ230" s="1155"/>
      <c r="EA230" s="1155"/>
      <c r="EB230" s="1155"/>
      <c r="EC230" s="1155"/>
      <c r="ED230" s="1155"/>
      <c r="EE230" s="1155"/>
      <c r="EF230" s="1155"/>
      <c r="EG230" s="1155"/>
      <c r="EH230" s="1155"/>
      <c r="EI230" s="1155"/>
      <c r="EJ230" s="1155"/>
      <c r="EK230" s="1155"/>
      <c r="EL230" s="1155"/>
      <c r="EM230" s="1155"/>
      <c r="EN230" s="1155"/>
      <c r="EO230" s="1155"/>
      <c r="EP230" s="1155"/>
      <c r="EQ230" s="1155"/>
      <c r="ER230" s="1155"/>
      <c r="ES230" s="1155"/>
      <c r="ET230" s="1155"/>
      <c r="EU230" s="1155"/>
      <c r="EV230" s="1155"/>
      <c r="EW230" s="1155"/>
      <c r="EX230" s="1155"/>
      <c r="EY230" s="1155"/>
      <c r="EZ230" s="1155"/>
    </row>
    <row r="231" spans="1:156" s="1158" customFormat="1" x14ac:dyDescent="0.3">
      <c r="A231" s="1155"/>
      <c r="B231" s="1155"/>
      <c r="C231" s="1156"/>
      <c r="D231" s="1156"/>
      <c r="E231" s="1156"/>
      <c r="F231" s="1157"/>
      <c r="G231" s="1156"/>
      <c r="H231" s="1156"/>
      <c r="I231" s="1157"/>
      <c r="J231" s="1156"/>
      <c r="K231" s="1156"/>
      <c r="L231" s="1157"/>
      <c r="M231" s="1156"/>
      <c r="N231" s="1156"/>
      <c r="O231" s="1157"/>
      <c r="P231" s="1156"/>
      <c r="Q231" s="1156"/>
      <c r="R231" s="1157"/>
      <c r="S231" s="1156"/>
      <c r="T231" s="1156"/>
      <c r="U231" s="1157"/>
      <c r="V231" s="1156"/>
      <c r="W231" s="1156"/>
      <c r="X231" s="1157"/>
      <c r="Y231" s="1156"/>
      <c r="Z231" s="1156"/>
      <c r="AA231" s="1157"/>
      <c r="AB231" s="1157"/>
      <c r="AC231" s="1156"/>
      <c r="AD231" s="1156"/>
      <c r="AE231" s="1157"/>
      <c r="AF231" s="1157"/>
      <c r="AG231" s="1156"/>
      <c r="AH231" s="1156"/>
      <c r="AI231" s="1156"/>
      <c r="AJ231" s="1156"/>
      <c r="AK231" s="1157"/>
      <c r="AL231" s="1157"/>
      <c r="AM231" s="1156"/>
      <c r="AN231" s="1156"/>
      <c r="AO231" s="1156"/>
      <c r="AP231" s="1156"/>
      <c r="AQ231" s="1157"/>
      <c r="AR231" s="1157"/>
      <c r="AS231" s="1155"/>
      <c r="AT231" s="1155"/>
      <c r="AU231" s="1155"/>
      <c r="AV231" s="1155"/>
      <c r="AW231" s="1155"/>
      <c r="AX231" s="1155"/>
      <c r="AY231" s="1155"/>
      <c r="AZ231" s="1155"/>
      <c r="BA231" s="1155"/>
      <c r="BB231" s="1155"/>
      <c r="BC231" s="1155"/>
      <c r="BD231" s="1155"/>
      <c r="BE231" s="1155"/>
      <c r="BF231" s="1155"/>
      <c r="BG231" s="1155"/>
      <c r="BH231" s="1155"/>
      <c r="BI231" s="1155"/>
      <c r="BJ231" s="1155"/>
      <c r="BK231" s="1155"/>
      <c r="BL231" s="1155"/>
      <c r="BM231" s="1155"/>
      <c r="BN231" s="1155"/>
      <c r="BO231" s="1155"/>
      <c r="BP231" s="1155"/>
      <c r="BQ231" s="1155"/>
      <c r="BR231" s="1155"/>
      <c r="BS231" s="1155"/>
      <c r="BT231" s="1155"/>
      <c r="BU231" s="1155"/>
      <c r="BV231" s="1155"/>
      <c r="BW231" s="1155"/>
      <c r="BX231" s="1155"/>
      <c r="BY231" s="1155"/>
      <c r="BZ231" s="1155"/>
      <c r="CA231" s="1155"/>
      <c r="CB231" s="1155"/>
      <c r="CC231" s="1155"/>
      <c r="CD231" s="1155"/>
      <c r="CE231" s="1155"/>
      <c r="CF231" s="1155"/>
      <c r="CG231" s="1155"/>
      <c r="CH231" s="1155"/>
      <c r="CI231" s="1155"/>
      <c r="CJ231" s="1155"/>
      <c r="CK231" s="1155"/>
      <c r="CL231" s="1155"/>
      <c r="CM231" s="1155"/>
      <c r="CN231" s="1155"/>
      <c r="CO231" s="1155"/>
      <c r="CP231" s="1155"/>
      <c r="CQ231" s="1155"/>
      <c r="CR231" s="1155"/>
      <c r="CS231" s="1155"/>
      <c r="CT231" s="1155"/>
      <c r="CU231" s="1155"/>
      <c r="CV231" s="1155"/>
      <c r="CW231" s="1155"/>
      <c r="CX231" s="1155"/>
      <c r="CY231" s="1155"/>
      <c r="CZ231" s="1155"/>
      <c r="DA231" s="1155"/>
      <c r="DB231" s="1155"/>
      <c r="DC231" s="1155"/>
      <c r="DD231" s="1155"/>
      <c r="DE231" s="1155"/>
      <c r="DF231" s="1155"/>
      <c r="DG231" s="1155"/>
      <c r="DH231" s="1155"/>
      <c r="DI231" s="1155"/>
      <c r="DJ231" s="1155"/>
      <c r="DK231" s="1155"/>
      <c r="DL231" s="1155"/>
      <c r="DM231" s="1155"/>
      <c r="DN231" s="1155"/>
      <c r="DO231" s="1155"/>
      <c r="DP231" s="1155"/>
      <c r="DQ231" s="1155"/>
      <c r="DR231" s="1155"/>
      <c r="DS231" s="1155"/>
      <c r="DT231" s="1155"/>
      <c r="DU231" s="1155"/>
      <c r="DV231" s="1155"/>
      <c r="DW231" s="1155"/>
      <c r="DX231" s="1155"/>
      <c r="DY231" s="1155"/>
      <c r="DZ231" s="1155"/>
      <c r="EA231" s="1155"/>
      <c r="EB231" s="1155"/>
      <c r="EC231" s="1155"/>
      <c r="ED231" s="1155"/>
      <c r="EE231" s="1155"/>
      <c r="EF231" s="1155"/>
      <c r="EG231" s="1155"/>
      <c r="EH231" s="1155"/>
      <c r="EI231" s="1155"/>
      <c r="EJ231" s="1155"/>
      <c r="EK231" s="1155"/>
      <c r="EL231" s="1155"/>
      <c r="EM231" s="1155"/>
      <c r="EN231" s="1155"/>
      <c r="EO231" s="1155"/>
      <c r="EP231" s="1155"/>
      <c r="EQ231" s="1155"/>
      <c r="ER231" s="1155"/>
      <c r="ES231" s="1155"/>
      <c r="ET231" s="1155"/>
      <c r="EU231" s="1155"/>
      <c r="EV231" s="1155"/>
      <c r="EW231" s="1155"/>
      <c r="EX231" s="1155"/>
      <c r="EY231" s="1155"/>
      <c r="EZ231" s="1155"/>
    </row>
    <row r="232" spans="1:156" s="1179" customFormat="1" x14ac:dyDescent="0.3">
      <c r="A232" s="1175" t="s">
        <v>1971</v>
      </c>
      <c r="B232" s="1175"/>
      <c r="C232" s="1176">
        <f>+C230+C226+C222+C216</f>
        <v>1759353.1100000003</v>
      </c>
      <c r="D232" s="1176">
        <f>+D230+D226+D222+D216</f>
        <v>1843512.65</v>
      </c>
      <c r="E232" s="1177">
        <f t="shared" ref="E232" si="828">ROUND(((+D232-C232)/C232),4)</f>
        <v>4.7800000000000002E-2</v>
      </c>
      <c r="F232" s="1178">
        <f t="shared" ref="F232:G232" si="829">+F230+F226+F222+F216</f>
        <v>2148191</v>
      </c>
      <c r="G232" s="1176">
        <f t="shared" si="829"/>
        <v>2069158.3699999999</v>
      </c>
      <c r="H232" s="1174">
        <f>ROUND(((+G232-D232)/D232),4)</f>
        <v>0.12239999999999999</v>
      </c>
      <c r="I232" s="1178">
        <f t="shared" ref="I232:J232" si="830">+I230+I226+I222+I216</f>
        <v>2244913</v>
      </c>
      <c r="J232" s="1176">
        <f t="shared" si="830"/>
        <v>2084767.5300000003</v>
      </c>
      <c r="K232" s="1174">
        <f>ROUND(((+J232-G232)/G232),4)</f>
        <v>7.4999999999999997E-3</v>
      </c>
      <c r="L232" s="1178">
        <f t="shared" ref="L232:M232" si="831">+L230+L226+L222+L216</f>
        <v>2331733</v>
      </c>
      <c r="M232" s="1176">
        <f t="shared" si="831"/>
        <v>2084191.62</v>
      </c>
      <c r="N232" s="1174">
        <f>ROUND(((+M232-J232)/J232),4)</f>
        <v>-2.9999999999999997E-4</v>
      </c>
      <c r="O232" s="1178">
        <f t="shared" ref="O232:P232" si="832">+O230+O226+O222+O216</f>
        <v>2384214</v>
      </c>
      <c r="P232" s="1176">
        <f t="shared" si="832"/>
        <v>2066958.37</v>
      </c>
      <c r="Q232" s="1174">
        <f>ROUND(((+P232-M232)/M232),4)</f>
        <v>-8.3000000000000001E-3</v>
      </c>
      <c r="R232" s="1178">
        <f t="shared" ref="R232:S232" si="833">+R230+R226+R222+R216</f>
        <v>2392379</v>
      </c>
      <c r="S232" s="1176">
        <f t="shared" si="833"/>
        <v>2148119.7999999998</v>
      </c>
      <c r="T232" s="1174">
        <f>ROUND(((+S232-P232)/P232),4)</f>
        <v>3.9300000000000002E-2</v>
      </c>
      <c r="U232" s="1178">
        <f t="shared" ref="U232:V232" si="834">+U230+U226+U222+U216</f>
        <v>2295227</v>
      </c>
      <c r="V232" s="1176">
        <f t="shared" si="834"/>
        <v>2296358.8200000003</v>
      </c>
      <c r="W232" s="1174">
        <f>ROUND(((+V232-S232)/S232),4)</f>
        <v>6.9000000000000006E-2</v>
      </c>
      <c r="X232" s="1176">
        <f t="shared" ref="X232:Y232" si="835">+X230+X226+X222+X216</f>
        <v>2449068</v>
      </c>
      <c r="Y232" s="1176">
        <f t="shared" si="835"/>
        <v>2224606.9900000002</v>
      </c>
      <c r="Z232" s="1174">
        <f>ROUND(((+Y232-V232)/V232),4)</f>
        <v>-3.1199999999999999E-2</v>
      </c>
      <c r="AA232" s="1178">
        <f t="shared" ref="AA232" si="836">SUM(AA230:AA231)</f>
        <v>270333</v>
      </c>
      <c r="AB232" s="1174">
        <f>ROUND(((+AA232-X232)/X232),4)</f>
        <v>-0.88959999999999995</v>
      </c>
      <c r="AC232" s="1176">
        <f>+AC230+AC226+AC222+AC216</f>
        <v>2378587.6000000006</v>
      </c>
      <c r="AD232" s="1174">
        <f>ROUND(((+AC232-Y232)/Y232),4)</f>
        <v>6.9199999999999998E-2</v>
      </c>
      <c r="AE232" s="1176">
        <f>+AE230+AE226+AE222+AE216</f>
        <v>2819152</v>
      </c>
      <c r="AF232" s="1174">
        <f>ROUND(((+AE232-AA232)/AA232),4)</f>
        <v>9.4283999999999999</v>
      </c>
      <c r="AG232" s="1176">
        <f>+AG230+AG226+AG222+AG216</f>
        <v>2471468.3199999998</v>
      </c>
      <c r="AH232" s="1174">
        <f>ROUND(((+AG232-AC232)/AC232),4)</f>
        <v>3.9E-2</v>
      </c>
      <c r="AI232" s="1174"/>
      <c r="AJ232" s="1174"/>
      <c r="AK232" s="1176">
        <f>+AK230+AK226+AK222+AK216</f>
        <v>2947624</v>
      </c>
      <c r="AL232" s="1174">
        <f>ROUND(((+AK232-AE232)/AE232),4)</f>
        <v>4.5600000000000002E-2</v>
      </c>
      <c r="AM232" s="1176">
        <f>+AM230+AM226+AM222+AM216</f>
        <v>1382583.0100000002</v>
      </c>
      <c r="AN232" s="1174">
        <f>ROUND(((+AM232-AG232)/AG232),4)</f>
        <v>-0.44059999999999999</v>
      </c>
      <c r="AO232" s="1174"/>
      <c r="AP232" s="1174"/>
      <c r="AQ232" s="1178">
        <f>+AQ230+AQ226+AQ222+AQ216</f>
        <v>3060824.33</v>
      </c>
      <c r="AR232" s="1174">
        <f>ROUND(((+AQ232-AK232)/AK232),4)</f>
        <v>3.8399999999999997E-2</v>
      </c>
      <c r="AS232" s="1174">
        <f t="shared" ref="AS232" si="837">ROUND((((+AQ232-U232)/U232)/5),4)</f>
        <v>6.6699999999999995E-2</v>
      </c>
      <c r="AT232" s="1174">
        <f t="shared" ref="AT232" si="838">ROUND((((+AQ232-F232)/F232)/10),4)</f>
        <v>4.2500000000000003E-2</v>
      </c>
      <c r="AU232" s="1175"/>
      <c r="AV232" s="1178">
        <f t="shared" ref="AV232:AZ232" si="839">+AV230+AV226+AV222+AV216</f>
        <v>3182834.65</v>
      </c>
      <c r="AW232" s="1178">
        <f t="shared" si="839"/>
        <v>3304027.2800000003</v>
      </c>
      <c r="AX232" s="1178">
        <f t="shared" si="839"/>
        <v>3396029.62</v>
      </c>
      <c r="AY232" s="1178">
        <f t="shared" si="839"/>
        <v>3531874.5700000003</v>
      </c>
      <c r="AZ232" s="1178">
        <f t="shared" si="839"/>
        <v>3677191.71</v>
      </c>
      <c r="BA232" s="1175"/>
      <c r="BB232" s="1175"/>
      <c r="BC232" s="1175"/>
      <c r="BD232" s="1175"/>
      <c r="BE232" s="1175"/>
      <c r="BF232" s="1175"/>
      <c r="BG232" s="1175"/>
      <c r="BH232" s="1175"/>
      <c r="BI232" s="1175"/>
      <c r="BJ232" s="1175"/>
      <c r="BK232" s="1175"/>
      <c r="BL232" s="1175"/>
      <c r="BM232" s="1175"/>
      <c r="BN232" s="1175"/>
      <c r="BO232" s="1175"/>
      <c r="BP232" s="1175"/>
      <c r="BQ232" s="1175"/>
      <c r="BR232" s="1175"/>
      <c r="BS232" s="1175"/>
      <c r="BT232" s="1175"/>
      <c r="BU232" s="1175"/>
      <c r="BV232" s="1175"/>
      <c r="BW232" s="1175"/>
      <c r="BX232" s="1175"/>
      <c r="BY232" s="1175"/>
      <c r="BZ232" s="1175"/>
      <c r="CA232" s="1175"/>
      <c r="CB232" s="1175"/>
      <c r="CC232" s="1175"/>
      <c r="CD232" s="1175"/>
      <c r="CE232" s="1175"/>
      <c r="CF232" s="1175"/>
      <c r="CG232" s="1175"/>
      <c r="CH232" s="1175"/>
      <c r="CI232" s="1175"/>
      <c r="CJ232" s="1175"/>
      <c r="CK232" s="1175"/>
      <c r="CL232" s="1175"/>
      <c r="CM232" s="1175"/>
      <c r="CN232" s="1175"/>
      <c r="CO232" s="1175"/>
      <c r="CP232" s="1175"/>
      <c r="CQ232" s="1175"/>
      <c r="CR232" s="1175"/>
      <c r="CS232" s="1175"/>
      <c r="CT232" s="1175"/>
      <c r="CU232" s="1175"/>
      <c r="CV232" s="1175"/>
      <c r="CW232" s="1175"/>
      <c r="CX232" s="1175"/>
      <c r="CY232" s="1175"/>
      <c r="CZ232" s="1175"/>
      <c r="DA232" s="1175"/>
      <c r="DB232" s="1175"/>
      <c r="DC232" s="1175"/>
      <c r="DD232" s="1175"/>
      <c r="DE232" s="1175"/>
      <c r="DF232" s="1175"/>
      <c r="DG232" s="1175"/>
      <c r="DH232" s="1175"/>
      <c r="DI232" s="1175"/>
      <c r="DJ232" s="1175"/>
      <c r="DK232" s="1175"/>
      <c r="DL232" s="1175"/>
      <c r="DM232" s="1175"/>
      <c r="DN232" s="1175"/>
      <c r="DO232" s="1175"/>
      <c r="DP232" s="1175"/>
      <c r="DQ232" s="1175"/>
      <c r="DR232" s="1175"/>
      <c r="DS232" s="1175"/>
      <c r="DT232" s="1175"/>
      <c r="DU232" s="1175"/>
      <c r="DV232" s="1175"/>
      <c r="DW232" s="1175"/>
      <c r="DX232" s="1175"/>
      <c r="DY232" s="1175"/>
      <c r="DZ232" s="1175"/>
      <c r="EA232" s="1175"/>
      <c r="EB232" s="1175"/>
      <c r="EC232" s="1175"/>
      <c r="ED232" s="1175"/>
      <c r="EE232" s="1175"/>
      <c r="EF232" s="1175"/>
      <c r="EG232" s="1175"/>
      <c r="EH232" s="1175"/>
      <c r="EI232" s="1175"/>
      <c r="EJ232" s="1175"/>
      <c r="EK232" s="1175"/>
      <c r="EL232" s="1175"/>
      <c r="EM232" s="1175"/>
      <c r="EN232" s="1175"/>
      <c r="EO232" s="1175"/>
      <c r="EP232" s="1175"/>
      <c r="EQ232" s="1175"/>
      <c r="ER232" s="1175"/>
      <c r="ES232" s="1175"/>
      <c r="ET232" s="1175"/>
      <c r="EU232" s="1175"/>
      <c r="EV232" s="1175"/>
      <c r="EW232" s="1175"/>
      <c r="EX232" s="1175"/>
      <c r="EY232" s="1175"/>
      <c r="EZ232" s="1175"/>
    </row>
    <row r="233" spans="1:156" x14ac:dyDescent="0.3">
      <c r="AL233" s="1151"/>
      <c r="AQ233" s="1151"/>
      <c r="AR233" s="1151"/>
      <c r="AV233" s="1151"/>
      <c r="AW233" s="1151"/>
      <c r="AX233" s="1151"/>
      <c r="AY233" s="1151"/>
      <c r="AZ233" s="1151"/>
    </row>
    <row r="234" spans="1:156" x14ac:dyDescent="0.3">
      <c r="A234" s="954" t="s">
        <v>2217</v>
      </c>
      <c r="C234" s="1146">
        <f>+C232+C210+C193</f>
        <v>9157351.540000001</v>
      </c>
      <c r="D234" s="1146">
        <f>+D232+D210+D193</f>
        <v>9538043.7300000004</v>
      </c>
      <c r="E234" s="1171">
        <f>ROUND(((+D234-C234)/C234),4)</f>
        <v>4.1599999999999998E-2</v>
      </c>
      <c r="F234" s="1151">
        <f>+F232+F210+F193</f>
        <v>10370046</v>
      </c>
      <c r="G234" s="1146">
        <f>+G232+G210+G193</f>
        <v>10121855.430000002</v>
      </c>
      <c r="H234" s="1168">
        <f>ROUND(((+G234-D234)/D234),4)</f>
        <v>6.1199999999999997E-2</v>
      </c>
      <c r="I234" s="1151">
        <f>+I232+I210+I193</f>
        <v>10673186</v>
      </c>
      <c r="J234" s="1146">
        <f>+J232+J210+J193</f>
        <v>10188321.829999998</v>
      </c>
      <c r="K234" s="1168">
        <f>ROUND(((+J234-G234)/G234),4)</f>
        <v>6.6E-3</v>
      </c>
      <c r="L234" s="1151">
        <f>+L232+L210+L193</f>
        <v>11034739</v>
      </c>
      <c r="M234" s="1146">
        <f>+M232+M210+M193</f>
        <v>10487437.67</v>
      </c>
      <c r="N234" s="1168">
        <f>ROUND(((+M234-J234)/J234),4)</f>
        <v>2.9399999999999999E-2</v>
      </c>
      <c r="O234" s="1151">
        <f>+O232+O210+O193</f>
        <v>11218989</v>
      </c>
      <c r="P234" s="1146">
        <f>+P232+P210+P193</f>
        <v>10590119.080000002</v>
      </c>
      <c r="Q234" s="1168">
        <f>ROUND(((+P234-M234)/M234),4)</f>
        <v>9.7999999999999997E-3</v>
      </c>
      <c r="R234" s="1151">
        <f>+R232+R210+R193</f>
        <v>11793797</v>
      </c>
      <c r="S234" s="1146">
        <f>+S232+S210+S193</f>
        <v>11094712.100000001</v>
      </c>
      <c r="T234" s="1168">
        <f>ROUND(((+S234-P234)/P234),4)</f>
        <v>4.7600000000000003E-2</v>
      </c>
      <c r="U234" s="1151">
        <f>+U232+U210+U193</f>
        <v>12120826</v>
      </c>
      <c r="V234" s="1146">
        <f>+V232+V210+V193</f>
        <v>11641723.850000001</v>
      </c>
      <c r="W234" s="1168">
        <f>ROUND(((+V234-S234)/S234),4)</f>
        <v>4.9299999999999997E-2</v>
      </c>
      <c r="X234" s="1151">
        <f>+X232+X210+X193</f>
        <v>12930425</v>
      </c>
      <c r="Y234" s="1146">
        <f>+Y232+Y210+Y193</f>
        <v>12003170.820000002</v>
      </c>
      <c r="Z234" s="1168">
        <f>ROUND(((+Y234-V234)/V234),4)</f>
        <v>3.1E-2</v>
      </c>
      <c r="AA234" s="1151">
        <f>+AA232+AA210+AA193</f>
        <v>11259894</v>
      </c>
      <c r="AB234" s="1168">
        <f>ROUND(((+AA234-X234)/X234),4)</f>
        <v>-0.12920000000000001</v>
      </c>
      <c r="AC234" s="1146">
        <f>+AC232+AC210+AC193</f>
        <v>12614920.400000002</v>
      </c>
      <c r="AD234" s="1168">
        <f>ROUND(((+AC234-Y234)/Y234),4)</f>
        <v>5.0999999999999997E-2</v>
      </c>
      <c r="AE234" s="1151">
        <f>+AE232+AE210+AE193</f>
        <v>14516605</v>
      </c>
      <c r="AF234" s="1168">
        <f>ROUND(((+AE234-AA234)/AA234),4)</f>
        <v>0.28920000000000001</v>
      </c>
      <c r="AG234" s="1146">
        <f>+AG232+AG210+AG193</f>
        <v>13635677.220000003</v>
      </c>
      <c r="AH234" s="1168">
        <f>ROUND(((+AG234-AC234)/AC234),4)</f>
        <v>8.09E-2</v>
      </c>
      <c r="AI234" s="1168"/>
      <c r="AJ234" s="1168"/>
      <c r="AK234" s="1151">
        <f>+AK232+AK210+AK193</f>
        <v>15339285</v>
      </c>
      <c r="AL234" s="1168">
        <f>ROUND(((+AK234-AE234)/AE234),4)</f>
        <v>5.67E-2</v>
      </c>
      <c r="AM234" s="1146">
        <f>+AM232+AM210+AM193</f>
        <v>7513913.25</v>
      </c>
      <c r="AN234" s="1168">
        <f>ROUND(((+AM234-AG234)/AG234),4)</f>
        <v>-0.44900000000000001</v>
      </c>
      <c r="AO234" s="1168"/>
      <c r="AP234" s="1168"/>
      <c r="AQ234" s="1151">
        <f>+AQ232+AQ210+AQ193</f>
        <v>15888228.965</v>
      </c>
      <c r="AR234" s="1168">
        <f>ROUND(((+AQ234-AK234)/AK234),4)</f>
        <v>3.5799999999999998E-2</v>
      </c>
      <c r="AS234" s="1171">
        <f t="shared" ref="AS234" si="840">ROUND((((+AQ234-U234)/U234)/5),4)</f>
        <v>6.2199999999999998E-2</v>
      </c>
      <c r="AT234" s="1171">
        <f t="shared" ref="AT234" si="841">ROUND((((+AQ234-F234)/F234)/10),4)</f>
        <v>5.3199999999999997E-2</v>
      </c>
      <c r="AV234" s="1151">
        <f t="shared" ref="AV234:AZ234" si="842">+AV232+AV210+AV193</f>
        <v>16512745.65</v>
      </c>
      <c r="AW234" s="1151">
        <f t="shared" si="842"/>
        <v>17194669.280000001</v>
      </c>
      <c r="AX234" s="1151">
        <f t="shared" si="842"/>
        <v>17848186.620000001</v>
      </c>
      <c r="AY234" s="1151">
        <f t="shared" si="842"/>
        <v>18263737.57</v>
      </c>
      <c r="AZ234" s="1151">
        <f t="shared" si="842"/>
        <v>19106588.710000001</v>
      </c>
    </row>
    <row r="235" spans="1:156" x14ac:dyDescent="0.3">
      <c r="AV235" s="1201">
        <f>+AV234-AQ234</f>
        <v>624516.68500000052</v>
      </c>
      <c r="AW235" s="1201">
        <f>+AW234-AV234</f>
        <v>681923.63000000082</v>
      </c>
      <c r="AX235" s="1201">
        <f t="shared" ref="AX235:AZ235" si="843">+AX234-AW234</f>
        <v>653517.33999999985</v>
      </c>
      <c r="AY235" s="1201">
        <f t="shared" si="843"/>
        <v>415550.94999999925</v>
      </c>
      <c r="AZ235" s="1201">
        <f t="shared" si="843"/>
        <v>842851.1400000006</v>
      </c>
    </row>
    <row r="236" spans="1:156" x14ac:dyDescent="0.3">
      <c r="AV236" s="1168">
        <f>ROUND((+AV235/AQ234),4)</f>
        <v>3.9300000000000002E-2</v>
      </c>
      <c r="AW236" s="1214">
        <f>ROUND((+AW235/AV234),4)</f>
        <v>4.1300000000000003E-2</v>
      </c>
      <c r="AX236" s="1214">
        <f t="shared" ref="AX236:AZ236" si="844">ROUND((+AX235/AW234),4)</f>
        <v>3.7999999999999999E-2</v>
      </c>
      <c r="AY236" s="1214">
        <f t="shared" si="844"/>
        <v>2.3300000000000001E-2</v>
      </c>
      <c r="AZ236" s="1214">
        <f t="shared" si="844"/>
        <v>4.6100000000000002E-2</v>
      </c>
    </row>
    <row r="237" spans="1:156" x14ac:dyDescent="0.3">
      <c r="AV237" s="1168"/>
      <c r="AW237" s="1214"/>
      <c r="AX237" s="1214"/>
      <c r="AY237" s="1214"/>
      <c r="AZ237" s="1214"/>
    </row>
    <row r="238" spans="1:156" x14ac:dyDescent="0.3">
      <c r="A238" s="1233" t="s">
        <v>575</v>
      </c>
      <c r="B238" s="1190"/>
      <c r="C238" s="1191">
        <f>+'300 Schools'!C11</f>
        <v>737865</v>
      </c>
      <c r="D238" s="1191">
        <f>+'300 Schools'!D11</f>
        <v>731659</v>
      </c>
      <c r="E238" s="1234">
        <f t="shared" ref="E238:E239" si="845">ROUND(((+D238-C238)/C238),4)</f>
        <v>-8.3999999999999995E-3</v>
      </c>
      <c r="F238" s="1191">
        <f>+'300 Schools'!E11</f>
        <v>682601</v>
      </c>
      <c r="G238" s="1191">
        <f>+F238</f>
        <v>682601</v>
      </c>
      <c r="H238" s="1235">
        <f>ROUND(((+G238-D238)/D238),4)</f>
        <v>-6.7100000000000007E-2</v>
      </c>
      <c r="I238" s="1191">
        <f>+'300 Schools'!F11</f>
        <v>760615</v>
      </c>
      <c r="J238" s="1191">
        <f>+I238</f>
        <v>760615</v>
      </c>
      <c r="K238" s="1235">
        <f t="shared" ref="K238:K239" si="846">ROUND(((+J238-G238)/G238),4)</f>
        <v>0.1143</v>
      </c>
      <c r="L238" s="1191">
        <f>+'300 Schools'!G9</f>
        <v>659356</v>
      </c>
      <c r="M238" s="1191">
        <f>+L238</f>
        <v>659356</v>
      </c>
      <c r="N238" s="1235">
        <f t="shared" ref="N238:N239" si="847">ROUND(((+M238-J238)/J238),4)</f>
        <v>-0.1331</v>
      </c>
      <c r="O238" s="1191">
        <f>+'300 Schools'!H11</f>
        <v>747340</v>
      </c>
      <c r="P238" s="1191">
        <f>+O238</f>
        <v>747340</v>
      </c>
      <c r="Q238" s="1235">
        <f t="shared" ref="Q238:Q239" si="848">ROUND(((+P238-M238)/M238),4)</f>
        <v>0.13339999999999999</v>
      </c>
      <c r="R238" s="1191">
        <f>+'300 Schools'!I11</f>
        <v>974337.89</v>
      </c>
      <c r="S238" s="1191">
        <f>+R238</f>
        <v>974337.89</v>
      </c>
      <c r="T238" s="1235">
        <f t="shared" ref="T238:T239" si="849">ROUND(((+S238-P238)/P238),4)</f>
        <v>0.30370000000000003</v>
      </c>
      <c r="U238" s="1191">
        <f>+'300 Schools'!J11</f>
        <v>1085003.6299999999</v>
      </c>
      <c r="V238" s="1191">
        <f>+U238</f>
        <v>1085003.6299999999</v>
      </c>
      <c r="W238" s="1235">
        <f t="shared" ref="W238:W239" si="850">ROUND(((+V238-S238)/S238),4)</f>
        <v>0.11360000000000001</v>
      </c>
      <c r="X238" s="1191">
        <f>+'300 Schools'!K11</f>
        <v>1255456</v>
      </c>
      <c r="Y238" s="1191">
        <f>+X238</f>
        <v>1255456</v>
      </c>
      <c r="Z238" s="1235">
        <f t="shared" ref="Z238:Z239" si="851">ROUND(((+Y238-V238)/V238),4)</f>
        <v>0.15709999999999999</v>
      </c>
      <c r="AA238" s="1191">
        <f>+'300 Schools'!M11</f>
        <v>1221005</v>
      </c>
      <c r="AB238" s="1235">
        <f t="shared" ref="AB238:AB239" si="852">ROUND(((+AA238-X238)/X238),4)</f>
        <v>-2.7400000000000001E-2</v>
      </c>
      <c r="AC238" s="1191">
        <f>+AA238</f>
        <v>1221005</v>
      </c>
      <c r="AD238" s="1235">
        <f t="shared" ref="AD238:AD239" si="853">ROUND(((+AC238-Y238)/Y238),4)</f>
        <v>-2.7400000000000001E-2</v>
      </c>
      <c r="AE238" s="1191">
        <f>+'300 Schools'!O11</f>
        <v>1029566</v>
      </c>
      <c r="AF238" s="1235">
        <f t="shared" ref="AF238:AF239" si="854">ROUND(((+AE238-AA238)/AA238),4)</f>
        <v>-0.15679999999999999</v>
      </c>
      <c r="AG238" s="1191">
        <f>+AE238</f>
        <v>1029566</v>
      </c>
      <c r="AH238" s="1235">
        <f t="shared" ref="AH238:AH239" si="855">ROUND(((+AG238-AC238)/AC238),4)</f>
        <v>-0.15679999999999999</v>
      </c>
      <c r="AI238" s="1236"/>
      <c r="AJ238" s="1236"/>
      <c r="AK238" s="1191">
        <f>+'300 Schools'!Q11</f>
        <v>1053018</v>
      </c>
      <c r="AL238" s="1235">
        <f t="shared" ref="AL238:AL239" si="856">ROUND(((+AK238-AE238)/AE238),4)</f>
        <v>2.2800000000000001E-2</v>
      </c>
      <c r="AM238" s="1191">
        <f>+AK238</f>
        <v>1053018</v>
      </c>
      <c r="AN238" s="1235">
        <f t="shared" ref="AN238:AN239" si="857">ROUND(((+AM238-AG238)/AG238),4)</f>
        <v>2.2800000000000001E-2</v>
      </c>
      <c r="AO238" s="1236"/>
      <c r="AP238" s="1236"/>
      <c r="AQ238" s="1237">
        <f>+'300 Schools'!S11</f>
        <v>837356</v>
      </c>
      <c r="AR238" s="1235">
        <f t="shared" ref="AR238:AR239" si="858">ROUND(((+AQ238-AK238)/AK238),4)</f>
        <v>-0.20480000000000001</v>
      </c>
      <c r="AS238" s="1234">
        <f t="shared" ref="AS238:AS239" si="859">ROUND((((+AQ238-U238)/U238)/5),4)</f>
        <v>-4.5600000000000002E-2</v>
      </c>
      <c r="AT238" s="1234">
        <f t="shared" ref="AT238:AT239" si="860">ROUND((((+AQ238-F238)/F238)/10),4)</f>
        <v>2.2700000000000001E-2</v>
      </c>
      <c r="AU238" s="1190"/>
      <c r="AV238" s="1238">
        <f t="shared" ref="AV238:AV239" si="861">ROUND((+AQ238*(1+AT238)),0)</f>
        <v>856364</v>
      </c>
      <c r="AW238" s="1238">
        <f t="shared" ref="AW238:AW239" si="862">ROUND((+AV238*(1+AT238)),0)</f>
        <v>875803</v>
      </c>
      <c r="AX238" s="1238">
        <f t="shared" ref="AX238:AX239" si="863">ROUND((+AW238*(1+AT238)),0)</f>
        <v>895684</v>
      </c>
      <c r="AY238" s="1238">
        <f t="shared" ref="AY238:AY239" si="864">ROUND((+AX238*(1+AT238)),0)</f>
        <v>916016</v>
      </c>
      <c r="AZ238" s="1239">
        <f t="shared" ref="AZ238:AZ239" si="865">ROUND((+AY238*(1+AT238)),0)</f>
        <v>936810</v>
      </c>
    </row>
    <row r="239" spans="1:156" x14ac:dyDescent="0.3">
      <c r="A239" s="1240" t="s">
        <v>2279</v>
      </c>
      <c r="B239" s="1198"/>
      <c r="C239" s="1152">
        <f>+'300 Schools'!C14</f>
        <v>7850604</v>
      </c>
      <c r="D239" s="1152">
        <f>+'300 Schools'!D14</f>
        <v>7965557</v>
      </c>
      <c r="E239" s="1213">
        <f t="shared" si="845"/>
        <v>1.46E-2</v>
      </c>
      <c r="F239" s="1152">
        <f>+'300 Schools'!E14</f>
        <v>8293458</v>
      </c>
      <c r="G239" s="1152">
        <f>+F239</f>
        <v>8293458</v>
      </c>
      <c r="H239" s="1172">
        <f>ROUND(((+G239-D239)/D239),4)</f>
        <v>4.1200000000000001E-2</v>
      </c>
      <c r="I239" s="1152">
        <f>+'300 Schools'!F14</f>
        <v>8498343</v>
      </c>
      <c r="J239" s="1152">
        <f>+I239</f>
        <v>8498343</v>
      </c>
      <c r="K239" s="1172">
        <f t="shared" si="846"/>
        <v>2.47E-2</v>
      </c>
      <c r="L239" s="1152">
        <f>+'300 Schools'!G13</f>
        <v>8852114</v>
      </c>
      <c r="M239" s="1152">
        <f>+L239</f>
        <v>8852114</v>
      </c>
      <c r="N239" s="1172">
        <f t="shared" si="847"/>
        <v>4.1599999999999998E-2</v>
      </c>
      <c r="O239" s="1152">
        <f>+'300 Schools'!H14</f>
        <v>9356560</v>
      </c>
      <c r="P239" s="1152">
        <f>+O239</f>
        <v>9356560</v>
      </c>
      <c r="Q239" s="1172">
        <f t="shared" si="848"/>
        <v>5.7000000000000002E-2</v>
      </c>
      <c r="R239" s="1152">
        <f>+'300 Schools'!I14</f>
        <v>9811160</v>
      </c>
      <c r="S239" s="1152">
        <f>+R239</f>
        <v>9811160</v>
      </c>
      <c r="T239" s="1172">
        <f t="shared" si="849"/>
        <v>4.8599999999999997E-2</v>
      </c>
      <c r="U239" s="1152">
        <f>+'300 Schools'!J14</f>
        <v>10229737</v>
      </c>
      <c r="V239" s="1152">
        <f>+U239</f>
        <v>10229737</v>
      </c>
      <c r="W239" s="1172">
        <f t="shared" si="850"/>
        <v>4.2700000000000002E-2</v>
      </c>
      <c r="X239" s="1152">
        <f>+'300 Schools'!J14</f>
        <v>10229737</v>
      </c>
      <c r="Y239" s="1152">
        <f>+X239</f>
        <v>10229737</v>
      </c>
      <c r="Z239" s="1172">
        <f t="shared" si="851"/>
        <v>0</v>
      </c>
      <c r="AA239" s="1152">
        <f>+'300 Schools'!M14</f>
        <v>10950854</v>
      </c>
      <c r="AB239" s="1172">
        <f t="shared" si="852"/>
        <v>7.0499999999999993E-2</v>
      </c>
      <c r="AC239" s="1152">
        <f>+AA239</f>
        <v>10950854</v>
      </c>
      <c r="AD239" s="1172">
        <f t="shared" si="853"/>
        <v>7.0499999999999993E-2</v>
      </c>
      <c r="AE239" s="1152">
        <f>+'300 Schools'!O14</f>
        <v>11341466</v>
      </c>
      <c r="AF239" s="1172">
        <f t="shared" si="854"/>
        <v>3.5700000000000003E-2</v>
      </c>
      <c r="AG239" s="1152">
        <f>+AE239</f>
        <v>11341466</v>
      </c>
      <c r="AH239" s="1172">
        <f t="shared" si="855"/>
        <v>3.5700000000000003E-2</v>
      </c>
      <c r="AI239" s="1148"/>
      <c r="AJ239" s="1148"/>
      <c r="AK239" s="1152">
        <f>+'300 Schools'!Q14</f>
        <v>11809191</v>
      </c>
      <c r="AL239" s="1172">
        <f t="shared" si="856"/>
        <v>4.1200000000000001E-2</v>
      </c>
      <c r="AM239" s="1152">
        <f>+AK239</f>
        <v>11809191</v>
      </c>
      <c r="AN239" s="1172">
        <f t="shared" si="857"/>
        <v>4.1200000000000001E-2</v>
      </c>
      <c r="AO239" s="1148"/>
      <c r="AP239" s="1148"/>
      <c r="AQ239" s="1241">
        <f>+'300 Schools'!S14</f>
        <v>12143442</v>
      </c>
      <c r="AR239" s="1172">
        <f t="shared" si="858"/>
        <v>2.8299999999999999E-2</v>
      </c>
      <c r="AS239" s="1213">
        <f t="shared" si="859"/>
        <v>3.7400000000000003E-2</v>
      </c>
      <c r="AT239" s="1213">
        <f t="shared" si="860"/>
        <v>4.6399999999999997E-2</v>
      </c>
      <c r="AU239" s="1198"/>
      <c r="AV239" s="1152">
        <f t="shared" si="861"/>
        <v>12706898</v>
      </c>
      <c r="AW239" s="1152">
        <f t="shared" si="862"/>
        <v>13296498</v>
      </c>
      <c r="AX239" s="1152">
        <f t="shared" si="863"/>
        <v>13913456</v>
      </c>
      <c r="AY239" s="1152">
        <f t="shared" si="864"/>
        <v>14559040</v>
      </c>
      <c r="AZ239" s="1242">
        <f t="shared" si="865"/>
        <v>15234579</v>
      </c>
    </row>
    <row r="240" spans="1:156" x14ac:dyDescent="0.3">
      <c r="AV240" s="1168"/>
      <c r="AW240" s="1214"/>
      <c r="AX240" s="1214"/>
      <c r="AY240" s="1214"/>
      <c r="AZ240" s="1214"/>
    </row>
    <row r="241" spans="1:156" x14ac:dyDescent="0.3">
      <c r="AV241" s="1168"/>
      <c r="AW241" s="1214"/>
      <c r="AX241" s="1214"/>
      <c r="AY241" s="1214"/>
      <c r="AZ241" s="1214"/>
    </row>
    <row r="242" spans="1:156" x14ac:dyDescent="0.3">
      <c r="A242" s="1220" t="s">
        <v>2251</v>
      </c>
      <c r="B242" s="1220"/>
      <c r="C242" s="1221"/>
      <c r="D242" s="1221"/>
      <c r="E242" s="1221"/>
      <c r="F242" s="1222"/>
      <c r="G242" s="1221"/>
      <c r="H242" s="1221"/>
      <c r="I242" s="1222"/>
      <c r="J242" s="1221"/>
      <c r="K242" s="1221"/>
      <c r="L242" s="1222"/>
      <c r="M242" s="1221"/>
      <c r="N242" s="1221"/>
      <c r="O242" s="1222"/>
      <c r="P242" s="1221"/>
      <c r="Q242" s="1221"/>
      <c r="R242" s="1222"/>
      <c r="S242" s="1221"/>
      <c r="T242" s="1221"/>
      <c r="U242" s="1222"/>
      <c r="V242" s="1221"/>
      <c r="W242" s="1221"/>
      <c r="X242" s="1222"/>
      <c r="Y242" s="1221"/>
      <c r="Z242" s="1221"/>
      <c r="AA242" s="1222"/>
      <c r="AB242" s="1222"/>
      <c r="AC242" s="1221"/>
      <c r="AD242" s="1221"/>
      <c r="AE242" s="1222"/>
      <c r="AF242" s="1222"/>
      <c r="AG242" s="1221"/>
      <c r="AH242" s="1221"/>
      <c r="AI242" s="1221"/>
      <c r="AJ242" s="1221"/>
      <c r="AK242" s="1222"/>
      <c r="AL242" s="1221"/>
      <c r="AM242" s="1221"/>
      <c r="AN242" s="1221"/>
      <c r="AO242" s="1221"/>
      <c r="AP242" s="1221"/>
      <c r="AQ242" s="1223"/>
      <c r="AR242" s="1220"/>
      <c r="AS242" s="1220"/>
      <c r="AT242" s="1220"/>
      <c r="AU242" s="1220"/>
      <c r="AV242" s="1223"/>
      <c r="AW242" s="1223"/>
      <c r="AX242" s="1223"/>
      <c r="AY242" s="1223"/>
      <c r="AZ242" s="1223"/>
    </row>
    <row r="243" spans="1:156" x14ac:dyDescent="0.3">
      <c r="A243" s="1220"/>
      <c r="B243" s="1220" t="s">
        <v>2218</v>
      </c>
      <c r="C243" s="1221">
        <f>+C5+C10+C23+C28+C33+C38+C43+C48+C53+C58+C75+C80+C86+C91+C100+C105+C110+C115+C120+C126+C131+C140+C146+C151+C160+C165</f>
        <v>3141758.7300000004</v>
      </c>
      <c r="D243" s="1221">
        <f>+D5+D10+D23+D28+D33+D38+D43+D48+D53+D58+D75+D80+D86+D91+D100+D105+D110+D115+D120+D126+D131+D140+D146+D151+D160+D165</f>
        <v>3351561.3200000003</v>
      </c>
      <c r="E243" s="1221"/>
      <c r="F243" s="1221">
        <f t="shared" ref="F243:G243" si="866">+F5+F10+F23+F28+F33+F38+F43+F48+F53+F58+F75+F80+F86+F91+F100+F105+F110+F115+F120+F126+F131+F140+F146+F151+F160+F165</f>
        <v>3641556</v>
      </c>
      <c r="G243" s="1221">
        <f t="shared" si="866"/>
        <v>3553421.71</v>
      </c>
      <c r="H243" s="1221"/>
      <c r="I243" s="1221">
        <f t="shared" ref="I243:J243" si="867">+I5+I10+I23+I28+I33+I38+I43+I48+I53+I58+I75+I80+I86+I91+I100+I105+I110+I115+I120+I126+I131+I140+I146+I151+I160+I165</f>
        <v>3784835</v>
      </c>
      <c r="J243" s="1221">
        <f t="shared" si="867"/>
        <v>3595178.3699999996</v>
      </c>
      <c r="K243" s="1221"/>
      <c r="L243" s="1221">
        <f t="shared" ref="L243:M243" si="868">+L5+L10+L23+L28+L33+L38+L43+L48+L53+L58+L75+L80+L86+L91+L100+L105+L110+L115+L120+L126+L131+L140+L146+L151+L160+L165</f>
        <v>3970352</v>
      </c>
      <c r="M243" s="1221">
        <f t="shared" si="868"/>
        <v>3820841.6000000006</v>
      </c>
      <c r="N243" s="1221"/>
      <c r="O243" s="1221">
        <f>+O5+O10+O23+O28+O33+O38+O43+O48+O53+O58+O75+O80+O86+O91+O100+O105+O110+O115+O120+O126+O131+O140+O146+O151+O160+O165</f>
        <v>3959908</v>
      </c>
      <c r="P243" s="1221">
        <f>+P5+P10+P23+P28+P33+P38+P43+P48+P53+P58+P75+P80+P86+P91+P100+P105+P110+P115+P120+P126+P131+P140+P146+P151+P160+P165</f>
        <v>3730215.5900000008</v>
      </c>
      <c r="Q243" s="1221"/>
      <c r="R243" s="1221">
        <f t="shared" ref="R243:S243" si="869">+R5+R10+R23+R28+R33+R38+R43+R48+R53+R58+R75+R80+R86+R91+R100+R105+R110+R115+R120+R126+R131+R140+R146+R151+R160+R165</f>
        <v>4228942</v>
      </c>
      <c r="S243" s="1221">
        <f t="shared" si="869"/>
        <v>4042758.9499999997</v>
      </c>
      <c r="T243" s="1221"/>
      <c r="U243" s="1221">
        <f t="shared" ref="U243:V243" si="870">+U5+U10+U23+U28+U33+U38+U43+U48+U53+U58+U75+U80+U86+U91+U100+U105+U110+U115+U120+U126+U131+U140+U146+U151+U160+U165</f>
        <v>4254599</v>
      </c>
      <c r="V243" s="1221">
        <f t="shared" si="870"/>
        <v>4183549.4499999997</v>
      </c>
      <c r="W243" s="1221"/>
      <c r="X243" s="1221">
        <f t="shared" ref="X243:Y243" si="871">+X5+X10+X23+X28+X33+X38+X43+X48+X53+X58+X75+X80+X86+X91+X100+X105+X110+X115+X120+X126+X131+X140+X146+X151+X160+X165</f>
        <v>4423313</v>
      </c>
      <c r="Y243" s="1221">
        <f t="shared" si="871"/>
        <v>4230101.7</v>
      </c>
      <c r="Z243" s="1221"/>
      <c r="AA243" s="1221">
        <f>+AA5+AA10+AA23+AA28+AA33+AA38+AA43+AA48+AA53+AA58+AA75+AA80+AA86+AA91+AA100+AA105+AA110+AA115+AA120+AA126+AA131+AA140+AA146+AA151+AA160+AA165</f>
        <v>4539237</v>
      </c>
      <c r="AB243" s="1222"/>
      <c r="AC243" s="1221">
        <f>+AC5+AC10+AC23+AC28+AC33+AC38+AC43+AC48+AC53+AC58+AC75+AC80+AC86+AC91+AC100+AC105+AC110+AC115+AC120+AC126+AC131+AC140+AC146+AC151+AC160+AC165</f>
        <v>4359762.7500000009</v>
      </c>
      <c r="AD243" s="1221"/>
      <c r="AE243" s="1221">
        <f>+AE5+AE10+AE23+AE28+AE33+AE38+AE43+AE48+AE53+AE58+AE75+AE80+AE86+AE91+AE100+AE105+AE110+AE115+AE120+AE126+AE131+AE140+AE146+AE151+AE160+AE165</f>
        <v>4862437</v>
      </c>
      <c r="AF243" s="1222"/>
      <c r="AG243" s="1221">
        <f>+AG5+AG10+AG23+AG28+AG33+AG38+AG43+AG48+AG53+AG58+AG75+AG80+AG86+AG91+AG100+AG105+AG110+AG115+AG120+AG126+AG131+AG140+AG146+AG151+AG160+AG165</f>
        <v>4642424.25</v>
      </c>
      <c r="AH243" s="1221"/>
      <c r="AI243" s="1221"/>
      <c r="AJ243" s="1221"/>
      <c r="AK243" s="1221">
        <f>+AK5+AK10+AK23+AK28+AK33+AK38+AK43+AK48+AK53+AK58+AK75+AK80+AK86+AK91+AK100+AK105+AK110+AK115+AK120+AK126+AK131+AK140+AK146+AK151+AK160+AK165</f>
        <v>5231848</v>
      </c>
      <c r="AL243" s="1221"/>
      <c r="AM243" s="1221">
        <f>+AM5+AM10+AM23+AM28+AM33+AM38+AM43+AM48+AM53+AM58+AM75+AM80+AM86+AM91+AM100+AM105+AM110+AM115+AM120+AM126+AM131+AM140+AM146+AM151+AM160+AM165</f>
        <v>2284286.7100000004</v>
      </c>
      <c r="AN243" s="1221"/>
      <c r="AO243" s="1221"/>
      <c r="AP243" s="1221"/>
      <c r="AQ243" s="1221">
        <f>+AQ5+AQ10+AQ23+AQ28+AQ33+AQ38+AQ43+AQ48+AQ53+AQ58+AQ75+AQ80+AQ86+AQ91+AQ100+AQ105+AQ110+AQ115+AQ120+AQ126+AQ131+AQ140+AQ146+AQ151+AQ160+AQ165</f>
        <v>5315955.6349999998</v>
      </c>
      <c r="AR243" s="1220"/>
      <c r="AS243" s="1220"/>
      <c r="AT243" s="1220"/>
      <c r="AU243" s="1220"/>
      <c r="AV243" s="1224">
        <f t="shared" ref="AV243:AZ243" si="872">+AV5+AV10+AV23+AV28+AV33+AV38+AV43+AV48+AV53+AV58+AV75+AV80+AV86+AV91+AV100+AV105+AV110+AV115+AV120+AV126+AV131+AV140+AV146+AV151+AV160+AV165</f>
        <v>5498481</v>
      </c>
      <c r="AW243" s="1224">
        <f t="shared" si="872"/>
        <v>5687891</v>
      </c>
      <c r="AX243" s="1224">
        <f t="shared" si="872"/>
        <v>5881729</v>
      </c>
      <c r="AY243" s="1224">
        <f t="shared" si="872"/>
        <v>6085617</v>
      </c>
      <c r="AZ243" s="1224">
        <f t="shared" si="872"/>
        <v>6297269</v>
      </c>
    </row>
    <row r="244" spans="1:156" x14ac:dyDescent="0.3">
      <c r="A244" s="1220"/>
      <c r="B244" s="1220" t="s">
        <v>1869</v>
      </c>
      <c r="C244" s="1221">
        <f>+C6+C11+C15+C19+C24+C29+C34+C39+C44+C49+C54+C59+C63+C67+C71+C76+C81+C87+C92+C96+C100+C106+C111+C116+C121+C127+C132+C136+C141+C147+C152+C156+C161+C166+C170+C174+C182+C190</f>
        <v>1803050.4000000001</v>
      </c>
      <c r="D244" s="1221">
        <f>+D6+D11+D15+D19+D24+D29+D34+D39+D44+D49+D54+D59+D63+D67+D71+D76+D81+D87+D92+D96+D100+D106+D111+D116+D121+D127+D132+D136+D141+D147+D152+D156+D161+D166+D170+D174+D182+D190</f>
        <v>1906325.4</v>
      </c>
      <c r="E244" s="1221"/>
      <c r="F244" s="1221">
        <f t="shared" ref="F244:G244" si="873">+F6+F11+F15+F19+F24+F29+F34+F39+F44+F49+F54+F59+F63+F67+F71+F76+F81+F87+F92+F96+F100+F106+F111+F116+F121+F127+F132+F136+F141+F147+F152+F156+F161+F166+F170+F174+F182+F190</f>
        <v>2001668</v>
      </c>
      <c r="G244" s="1221">
        <f t="shared" si="873"/>
        <v>2017923.05</v>
      </c>
      <c r="H244" s="1221"/>
      <c r="I244" s="1221">
        <f t="shared" ref="I244:J244" si="874">+I6+I11+I15+I19+I24+I29+I34+I39+I44+I49+I54+I59+I63+I67+I71+I76+I81+I87+I92+I96+I100+I106+I111+I116+I121+I127+I132+I136+I141+I147+I152+I156+I161+I166+I170+I174+I182+I190</f>
        <v>2096706</v>
      </c>
      <c r="J244" s="1221">
        <f t="shared" si="874"/>
        <v>1989314.0499999998</v>
      </c>
      <c r="K244" s="1221"/>
      <c r="L244" s="1221">
        <f t="shared" ref="L244:M244" si="875">+L6+L11+L15+L19+L24+L29+L34+L39+L44+L49+L54+L59+L63+L67+L71+L76+L81+L87+L92+L96+L100+L106+L111+L116+L121+L127+L132+L136+L141+L147+L152+L156+L161+L166+L170+L174+L182+L190</f>
        <v>2076277</v>
      </c>
      <c r="M244" s="1221">
        <f t="shared" si="875"/>
        <v>1962466.4899999995</v>
      </c>
      <c r="N244" s="1221"/>
      <c r="O244" s="1221">
        <f>+O6+O11+O15+O19+O24+O29+O34+O39+O44+O49+O54+O59+O63+O67+O71+O76+O81+O87+O92+O96+O100+O106+O111+O116+O121+O127+O132+O136+O141+O147+O152+O156+O161+O166+O170+O174+O182+O190</f>
        <v>2240372</v>
      </c>
      <c r="P244" s="1221">
        <f>+P6+P11+P15+P19+P24+P29+P34+P39+P44+P49+P54+P59+P63+P67+P71+P76+P81+P87+P92+P96+P100+P106+P111+P116+P121+P127+P132+P136+P141+P147+P152+P156+P161+P166+P170+P174+P182+P190</f>
        <v>2068903.17</v>
      </c>
      <c r="Q244" s="1221"/>
      <c r="R244" s="1221">
        <f t="shared" ref="R244:S244" si="876">+R6+R11+R15+R19+R24+R29+R34+R39+R44+R49+R54+R59+R63+R67+R71+R76+R81+R87+R92+R96+R100+R106+R111+R116+R121+R127+R132+R136+R141+R147+R152+R156+R161+R166+R170+R174+R182+R190</f>
        <v>2281268</v>
      </c>
      <c r="S244" s="1221">
        <f t="shared" si="876"/>
        <v>2111275.41</v>
      </c>
      <c r="T244" s="1221"/>
      <c r="U244" s="1221">
        <f t="shared" ref="U244:V244" si="877">+U6+U11+U15+U19+U24+U29+U34+U39+U44+U49+U54+U59+U63+U67+U71+U76+U81+U87+U92+U96+U100+U106+U111+U116+U121+U127+U132+U136+U141+U147+U152+U156+U161+U166+U170+U174+U182+U190</f>
        <v>2386901</v>
      </c>
      <c r="V244" s="1221">
        <f t="shared" si="877"/>
        <v>2189694.2400000002</v>
      </c>
      <c r="W244" s="1221"/>
      <c r="X244" s="1221">
        <f t="shared" ref="X244:Y244" si="878">+X6+X11+X15+X19+X24+X29+X34+X39+X44+X49+X54+X59+X63+X67+X71+X76+X81+X87+X92+X96+X100+X106+X111+X116+X121+X127+X132+X136+X141+X147+X152+X156+X161+X166+X170+X174+X182+X190</f>
        <v>2524668</v>
      </c>
      <c r="Y244" s="1221">
        <f t="shared" si="878"/>
        <v>2240506.5399999996</v>
      </c>
      <c r="Z244" s="1221"/>
      <c r="AA244" s="1221">
        <f>+AA6+AA11+AA15+AA19+AA24+AA29+AA34+AA39+AA44+AA49+AA54+AA59+AA63+AA67+AA71+AA76+AA81+AA87+AA92+AA96+AA100+AA106+AA111+AA116+AA121+AA127+AA132+AA136+AA141+AA147+AA152+AA156+AA161+AA166+AA170+AA174+AA182+AA190</f>
        <v>2693057</v>
      </c>
      <c r="AB244" s="1222"/>
      <c r="AC244" s="1221">
        <f>+AC6+AC11+AC15+AC19+AC24+AC29+AC34+AC39+AC44+AC49+AC54+AC59+AC63+AC67+AC71+AC76+AC81+AC87+AC92+AC96+AC100+AC106+AC111+AC116+AC121+AC127+AC132+AC136+AC141+AC147+AC152+AC156+AC161+AC166+AC170+AC174+AC182+AC190</f>
        <v>2385883.85</v>
      </c>
      <c r="AD244" s="1221"/>
      <c r="AE244" s="1221">
        <f>+AE6+AE11+AE15+AE19+AE24+AE29+AE34+AE39+AE44+AE49+AE54+AE59+AE63+AE67+AE71+AE76+AE81+AE87+AE92+AE96+AE100+AE106+AE111+AE116+AE121+AE127+AE132+AE136+AE141+AE147+AE152+AE156+AE161+AE166+AE170+AE174+AE182+AE190</f>
        <v>2846609</v>
      </c>
      <c r="AF244" s="1222"/>
      <c r="AG244" s="1221">
        <f>+AG6+AG11+AG15+AG19+AG24+AG29+AG34+AG39+AG44+AG49+AG54+AG59+AG63+AG67+AG71+AG76+AG81+AG87+AG92+AG96+AG100+AG106+AG111+AG116+AG121+AG127+AG132+AG136+AG141+AG147+AG152+AG156+AG161+AG166+AG170+AG174+AG182+AG190</f>
        <v>2712355.94</v>
      </c>
      <c r="AH244" s="1221"/>
      <c r="AI244" s="1221"/>
      <c r="AJ244" s="1221"/>
      <c r="AK244" s="1221">
        <f>+AK6+AK11+AK15+AK19+AK24+AK29+AK34+AK39+AK44+AK49+AK54+AK59+AK63+AK67+AK71+AK76+AK81+AK87+AK92+AK96+AK100+AK106+AK111+AK116+AK121+AK127+AK132+AK136+AK141+AK147+AK152+AK156+AK161+AK166+AK170+AK174+AK182+AK190</f>
        <v>3025360</v>
      </c>
      <c r="AL244" s="1221"/>
      <c r="AM244" s="1221">
        <f>+AM6+AM11+AM15+AM19+AM24+AM29+AM34+AM39+AM44+AM49+AM54+AM59+AM63+AM67+AM71+AM76+AM81+AM87+AM92+AM96+AM100+AM106+AM111+AM116+AM121+AM127+AM132+AM136+AM141+AM147+AM152+AM156+AM161+AM166+AM170+AM174+AM182+AM190</f>
        <v>1286349.8700000001</v>
      </c>
      <c r="AN244" s="1221"/>
      <c r="AO244" s="1221"/>
      <c r="AP244" s="1221"/>
      <c r="AQ244" s="1221">
        <f>+AQ6+AQ11+AQ15+AQ19+AQ24+AQ29+AQ34+AQ39+AQ44+AQ49+AQ54+AQ59+AQ63+AQ67+AQ71+AQ76+AQ81+AQ87+AQ92+AQ96+AQ100+AQ106+AQ111+AQ116+AQ121+AQ127+AQ132+AQ136+AQ141+AQ147+AQ152+AQ156+AQ161+AQ166+AQ170+AQ174+AQ182+AQ190</f>
        <v>3221776</v>
      </c>
      <c r="AR244" s="1220"/>
      <c r="AS244" s="1220"/>
      <c r="AT244" s="1220"/>
      <c r="AU244" s="1220"/>
      <c r="AV244" s="1224">
        <f t="shared" ref="AV244:AZ244" si="879">+AV6+AV11+AV15+AV19+AV24+AV29+AV34+AV39+AV44+AV49+AV54+AV59+AV63+AV67+AV71+AV76+AV81+AV87+AV92+AV96+AV100+AV106+AV111+AV116+AV121+AV127+AV132+AV136+AV141+AV147+AV152+AV156+AV161+AV166+AV170+AV174+AV182+AV190</f>
        <v>3448584</v>
      </c>
      <c r="AW244" s="1224">
        <f t="shared" si="879"/>
        <v>3697991</v>
      </c>
      <c r="AX244" s="1224">
        <f t="shared" si="879"/>
        <v>3973657</v>
      </c>
      <c r="AY244" s="1224">
        <f t="shared" si="879"/>
        <v>4280221</v>
      </c>
      <c r="AZ244" s="1224">
        <f t="shared" si="879"/>
        <v>4624573</v>
      </c>
    </row>
    <row r="245" spans="1:156" x14ac:dyDescent="0.3">
      <c r="A245" s="1220"/>
      <c r="B245" s="1220" t="s">
        <v>2221</v>
      </c>
      <c r="C245" s="1221">
        <f>+C82+C122+C142</f>
        <v>36895.4</v>
      </c>
      <c r="D245" s="1221">
        <f>+D82+D122+D142</f>
        <v>39483.5</v>
      </c>
      <c r="E245" s="1221"/>
      <c r="F245" s="1221">
        <f t="shared" ref="F245:G245" si="880">+F82+F122+F142</f>
        <v>39500</v>
      </c>
      <c r="G245" s="1221">
        <f t="shared" si="880"/>
        <v>39102.5</v>
      </c>
      <c r="H245" s="1221"/>
      <c r="I245" s="1221">
        <f t="shared" ref="I245:J245" si="881">+I82+I122+I142</f>
        <v>39500</v>
      </c>
      <c r="J245" s="1221">
        <f t="shared" si="881"/>
        <v>39498.1</v>
      </c>
      <c r="K245" s="1221"/>
      <c r="L245" s="1221">
        <f t="shared" ref="L245:M245" si="882">+L82+L122+L142</f>
        <v>39500</v>
      </c>
      <c r="M245" s="1221">
        <f t="shared" si="882"/>
        <v>39500</v>
      </c>
      <c r="N245" s="1221"/>
      <c r="O245" s="1221">
        <f>+O82+O122+O142</f>
        <v>42000</v>
      </c>
      <c r="P245" s="1221">
        <f>+P82+P122+P142</f>
        <v>41424</v>
      </c>
      <c r="Q245" s="1221"/>
      <c r="R245" s="1221">
        <f t="shared" ref="R245:S245" si="883">+R82+R122+R142</f>
        <v>58090</v>
      </c>
      <c r="S245" s="1221">
        <f t="shared" si="883"/>
        <v>55320.41</v>
      </c>
      <c r="T245" s="1221"/>
      <c r="U245" s="1221">
        <f t="shared" ref="U245:V245" si="884">+U82+U122+U142</f>
        <v>75690</v>
      </c>
      <c r="V245" s="1221">
        <f t="shared" si="884"/>
        <v>72920.41</v>
      </c>
      <c r="W245" s="1221"/>
      <c r="X245" s="1221">
        <f t="shared" ref="X245:Y245" si="885">+X82+X122+X142</f>
        <v>77090</v>
      </c>
      <c r="Y245" s="1221">
        <f t="shared" si="885"/>
        <v>44220.41</v>
      </c>
      <c r="Z245" s="1221"/>
      <c r="AA245" s="1221">
        <f>+AA82+AA122+AA142</f>
        <v>74321</v>
      </c>
      <c r="AB245" s="1222"/>
      <c r="AC245" s="1221">
        <f>+AC82+AC122+AC142</f>
        <v>66303.149999999994</v>
      </c>
      <c r="AD245" s="1221"/>
      <c r="AE245" s="1221">
        <f>+AE82+AE122+AE142</f>
        <v>94000</v>
      </c>
      <c r="AF245" s="1222"/>
      <c r="AG245" s="1221">
        <f>+AG82+AG122+AG142</f>
        <v>92715</v>
      </c>
      <c r="AH245" s="1221"/>
      <c r="AI245" s="1221"/>
      <c r="AJ245" s="1221"/>
      <c r="AK245" s="1221">
        <f>+AK82+AK122+AK142</f>
        <v>68100</v>
      </c>
      <c r="AL245" s="1221"/>
      <c r="AM245" s="1221">
        <f>+AM82+AM122+AM142</f>
        <v>62683.25</v>
      </c>
      <c r="AN245" s="1221"/>
      <c r="AO245" s="1221"/>
      <c r="AP245" s="1221"/>
      <c r="AQ245" s="1221">
        <f>+AQ82+AQ122+AQ142</f>
        <v>60000</v>
      </c>
      <c r="AR245" s="1220"/>
      <c r="AS245" s="1220"/>
      <c r="AT245" s="1220"/>
      <c r="AU245" s="1220"/>
      <c r="AV245" s="1224">
        <f t="shared" ref="AV245:AZ245" si="886">+AV82+AV122+AV142</f>
        <v>63114</v>
      </c>
      <c r="AW245" s="1224">
        <f t="shared" si="886"/>
        <v>66390</v>
      </c>
      <c r="AX245" s="1224">
        <f t="shared" si="886"/>
        <v>69836</v>
      </c>
      <c r="AY245" s="1224">
        <f t="shared" si="886"/>
        <v>73460</v>
      </c>
      <c r="AZ245" s="1224">
        <f t="shared" si="886"/>
        <v>77273</v>
      </c>
    </row>
    <row r="246" spans="1:156" x14ac:dyDescent="0.3">
      <c r="A246" s="1220"/>
      <c r="B246" s="1220" t="s">
        <v>1343</v>
      </c>
      <c r="C246" s="1221">
        <f>+C178</f>
        <v>624059.19999999995</v>
      </c>
      <c r="D246" s="1221">
        <f>+D178</f>
        <v>627106.03000000014</v>
      </c>
      <c r="E246" s="1221"/>
      <c r="F246" s="1221">
        <f t="shared" ref="F246:G246" si="887">+F178</f>
        <v>662036</v>
      </c>
      <c r="G246" s="1221">
        <f t="shared" si="887"/>
        <v>653275.82999999996</v>
      </c>
      <c r="H246" s="1221"/>
      <c r="I246" s="1221">
        <f t="shared" ref="I246:J246" si="888">+I178</f>
        <v>661201</v>
      </c>
      <c r="J246" s="1221">
        <f t="shared" si="888"/>
        <v>651031.29</v>
      </c>
      <c r="K246" s="1221"/>
      <c r="L246" s="1221">
        <f t="shared" ref="L246:M246" si="889">+L178</f>
        <v>659072</v>
      </c>
      <c r="M246" s="1221">
        <f t="shared" si="889"/>
        <v>655052.56000000006</v>
      </c>
      <c r="N246" s="1221"/>
      <c r="O246" s="1221">
        <f>+O178</f>
        <v>639218</v>
      </c>
      <c r="P246" s="1221">
        <f>+P178</f>
        <v>630911.34</v>
      </c>
      <c r="Q246" s="1221"/>
      <c r="R246" s="1221">
        <f t="shared" ref="R246:S246" si="890">+R178</f>
        <v>629774</v>
      </c>
      <c r="S246" s="1221">
        <f t="shared" si="890"/>
        <v>625348.28</v>
      </c>
      <c r="T246" s="1221"/>
      <c r="U246" s="1221">
        <f t="shared" ref="U246:V246" si="891">+U178</f>
        <v>888793</v>
      </c>
      <c r="V246" s="1221">
        <f t="shared" si="891"/>
        <v>824346.28999999992</v>
      </c>
      <c r="W246" s="1221"/>
      <c r="X246" s="1221">
        <f t="shared" ref="X246:Y246" si="892">+X178</f>
        <v>1128500</v>
      </c>
      <c r="Y246" s="1221">
        <f t="shared" si="892"/>
        <v>1057873.57</v>
      </c>
      <c r="Z246" s="1221"/>
      <c r="AA246" s="1221">
        <f>+AA178</f>
        <v>1066809</v>
      </c>
      <c r="AB246" s="1222"/>
      <c r="AC246" s="1221">
        <f>+AC178</f>
        <v>1054154.5900000001</v>
      </c>
      <c r="AD246" s="1221"/>
      <c r="AE246" s="1221">
        <f>+AE178</f>
        <v>1162190</v>
      </c>
      <c r="AF246" s="1222"/>
      <c r="AG246" s="1221">
        <f>+AG178</f>
        <v>1135979.8400000001</v>
      </c>
      <c r="AH246" s="1221"/>
      <c r="AI246" s="1221"/>
      <c r="AJ246" s="1221"/>
      <c r="AK246" s="1221">
        <f>+AK178</f>
        <v>1154319</v>
      </c>
      <c r="AL246" s="1221"/>
      <c r="AM246" s="1221">
        <f>+AM178</f>
        <v>472629.04000000004</v>
      </c>
      <c r="AN246" s="1221"/>
      <c r="AO246" s="1221"/>
      <c r="AP246" s="1221"/>
      <c r="AQ246" s="1221">
        <f>+AQ178</f>
        <v>1158857</v>
      </c>
      <c r="AR246" s="1220"/>
      <c r="AS246" s="1220"/>
      <c r="AT246" s="1220"/>
      <c r="AU246" s="1220"/>
      <c r="AV246" s="1224">
        <f t="shared" ref="AV246:AZ246" si="893">+AV178</f>
        <v>1140024</v>
      </c>
      <c r="AW246" s="1224">
        <f t="shared" si="893"/>
        <v>1135422</v>
      </c>
      <c r="AX246" s="1224">
        <f t="shared" si="893"/>
        <v>1100888</v>
      </c>
      <c r="AY246" s="1224">
        <f t="shared" si="893"/>
        <v>728458</v>
      </c>
      <c r="AZ246" s="1224">
        <f t="shared" si="893"/>
        <v>732948</v>
      </c>
    </row>
    <row r="247" spans="1:156" s="55" customFormat="1" x14ac:dyDescent="0.3">
      <c r="A247" s="1225"/>
      <c r="B247" s="1225" t="s">
        <v>2220</v>
      </c>
      <c r="C247" s="1226">
        <f>+C186</f>
        <v>1760819.2100000002</v>
      </c>
      <c r="D247" s="1226">
        <f>+D186</f>
        <v>1730791.4</v>
      </c>
      <c r="E247" s="1226"/>
      <c r="F247" s="1226">
        <f t="shared" ref="F247:G247" si="894">+F186</f>
        <v>1882335</v>
      </c>
      <c r="G247" s="1226">
        <f t="shared" si="894"/>
        <v>1748594.09</v>
      </c>
      <c r="H247" s="1226"/>
      <c r="I247" s="1226">
        <f t="shared" ref="I247:J247" si="895">+I186</f>
        <v>1851271</v>
      </c>
      <c r="J247" s="1226">
        <f t="shared" si="895"/>
        <v>1789352.1499999997</v>
      </c>
      <c r="K247" s="1226"/>
      <c r="L247" s="1226">
        <f t="shared" ref="L247:M247" si="896">+L186</f>
        <v>1963295</v>
      </c>
      <c r="M247" s="1226">
        <f t="shared" si="896"/>
        <v>1878957.3699999999</v>
      </c>
      <c r="N247" s="1226"/>
      <c r="O247" s="1226">
        <f>+O186</f>
        <v>2083243</v>
      </c>
      <c r="P247" s="1226">
        <f>+P186</f>
        <v>2008426.33</v>
      </c>
      <c r="Q247" s="1226"/>
      <c r="R247" s="1226">
        <f t="shared" ref="R247:S247" si="897">+R186</f>
        <v>2211404</v>
      </c>
      <c r="S247" s="1226">
        <f t="shared" si="897"/>
        <v>2068987.7100000002</v>
      </c>
      <c r="T247" s="1226"/>
      <c r="U247" s="1226">
        <f t="shared" ref="U247:V247" si="898">+U186</f>
        <v>2227951</v>
      </c>
      <c r="V247" s="1226">
        <f t="shared" si="898"/>
        <v>2040807.01</v>
      </c>
      <c r="W247" s="1226"/>
      <c r="X247" s="1226">
        <f t="shared" ref="X247:Y247" si="899">+X186</f>
        <v>2238057</v>
      </c>
      <c r="Y247" s="1226">
        <f t="shared" si="899"/>
        <v>2116132.61</v>
      </c>
      <c r="Z247" s="1226"/>
      <c r="AA247" s="1226">
        <f>+AA186</f>
        <v>2397861</v>
      </c>
      <c r="AB247" s="1227"/>
      <c r="AC247" s="1226">
        <f>+AC186</f>
        <v>2161814.6400000006</v>
      </c>
      <c r="AD247" s="1226"/>
      <c r="AE247" s="1226">
        <f>+AE186</f>
        <v>2391280</v>
      </c>
      <c r="AF247" s="1227"/>
      <c r="AG247" s="1226">
        <f>+AG186</f>
        <v>2250863.0599999996</v>
      </c>
      <c r="AH247" s="1226"/>
      <c r="AI247" s="1226"/>
      <c r="AJ247" s="1226"/>
      <c r="AK247" s="1226">
        <f>+AK186</f>
        <v>2490334</v>
      </c>
      <c r="AL247" s="1226"/>
      <c r="AM247" s="1226">
        <f>+AM186</f>
        <v>1751758.3499999996</v>
      </c>
      <c r="AN247" s="1226"/>
      <c r="AO247" s="1226"/>
      <c r="AP247" s="1226"/>
      <c r="AQ247" s="1226">
        <f>+AQ186</f>
        <v>2657083</v>
      </c>
      <c r="AR247" s="1225"/>
      <c r="AS247" s="1225"/>
      <c r="AT247" s="1225"/>
      <c r="AU247" s="1225"/>
      <c r="AV247" s="1228">
        <f t="shared" ref="AV247:AZ247" si="900">+AV186</f>
        <v>2766555</v>
      </c>
      <c r="AW247" s="1228">
        <f t="shared" si="900"/>
        <v>2880537</v>
      </c>
      <c r="AX247" s="1228">
        <f t="shared" si="900"/>
        <v>2999215</v>
      </c>
      <c r="AY247" s="1228">
        <f t="shared" si="900"/>
        <v>3122783</v>
      </c>
      <c r="AZ247" s="1228">
        <f t="shared" si="900"/>
        <v>3251442</v>
      </c>
      <c r="BA247" s="1198"/>
      <c r="BB247" s="1198"/>
      <c r="BC247" s="1198"/>
      <c r="BD247" s="1198"/>
      <c r="BE247" s="1198"/>
      <c r="BF247" s="1198"/>
      <c r="BG247" s="1198"/>
      <c r="BH247" s="1198"/>
      <c r="BI247" s="1198"/>
      <c r="BJ247" s="1198"/>
      <c r="BK247" s="1198"/>
      <c r="BL247" s="1198"/>
      <c r="BM247" s="1198"/>
      <c r="BN247" s="1198"/>
      <c r="BO247" s="1198"/>
      <c r="BP247" s="1198"/>
      <c r="BQ247" s="1198"/>
      <c r="BR247" s="1198"/>
      <c r="BS247" s="1198"/>
      <c r="BT247" s="1198"/>
      <c r="BU247" s="1198"/>
      <c r="BV247" s="1198"/>
      <c r="BW247" s="1198"/>
      <c r="BX247" s="1198"/>
      <c r="BY247" s="1198"/>
      <c r="BZ247" s="1198"/>
      <c r="CA247" s="1198"/>
      <c r="CB247" s="1198"/>
      <c r="CC247" s="1198"/>
      <c r="CD247" s="1198"/>
      <c r="CE247" s="1198"/>
      <c r="CF247" s="1198"/>
      <c r="CG247" s="1198"/>
      <c r="CH247" s="1198"/>
      <c r="CI247" s="1198"/>
      <c r="CJ247" s="1198"/>
      <c r="CK247" s="1198"/>
      <c r="CL247" s="1198"/>
      <c r="CM247" s="1198"/>
      <c r="CN247" s="1198"/>
      <c r="CO247" s="1198"/>
      <c r="CP247" s="1198"/>
      <c r="CQ247" s="1198"/>
      <c r="CR247" s="1198"/>
      <c r="CS247" s="1198"/>
      <c r="CT247" s="1198"/>
      <c r="CU247" s="1198"/>
      <c r="CV247" s="1198"/>
      <c r="CW247" s="1198"/>
      <c r="CX247" s="1198"/>
      <c r="CY247" s="1198"/>
      <c r="CZ247" s="1198"/>
      <c r="DA247" s="1198"/>
      <c r="DB247" s="1198"/>
      <c r="DC247" s="1198"/>
      <c r="DD247" s="1198"/>
      <c r="DE247" s="1198"/>
      <c r="DF247" s="1198"/>
      <c r="DG247" s="1198"/>
      <c r="DH247" s="1198"/>
      <c r="DI247" s="1198"/>
      <c r="DJ247" s="1198"/>
      <c r="DK247" s="1198"/>
      <c r="DL247" s="1198"/>
      <c r="DM247" s="1198"/>
      <c r="DN247" s="1198"/>
      <c r="DO247" s="1198"/>
      <c r="DP247" s="1198"/>
      <c r="DQ247" s="1198"/>
      <c r="DR247" s="1198"/>
      <c r="DS247" s="1198"/>
      <c r="DT247" s="1198"/>
      <c r="DU247" s="1198"/>
      <c r="DV247" s="1198"/>
      <c r="DW247" s="1198"/>
      <c r="DX247" s="1198"/>
      <c r="DY247" s="1198"/>
      <c r="DZ247" s="1198"/>
      <c r="EA247" s="1198"/>
      <c r="EB247" s="1198"/>
      <c r="EC247" s="1198"/>
      <c r="ED247" s="1198"/>
      <c r="EE247" s="1198"/>
      <c r="EF247" s="1198"/>
      <c r="EG247" s="1198"/>
      <c r="EH247" s="1198"/>
      <c r="EI247" s="1198"/>
      <c r="EJ247" s="1198"/>
      <c r="EK247" s="1198"/>
      <c r="EL247" s="1198"/>
      <c r="EM247" s="1198"/>
      <c r="EN247" s="1198"/>
      <c r="EO247" s="1198"/>
      <c r="EP247" s="1198"/>
      <c r="EQ247" s="1198"/>
      <c r="ER247" s="1198"/>
      <c r="ES247" s="1198"/>
      <c r="ET247" s="1198"/>
      <c r="EU247" s="1198"/>
      <c r="EV247" s="1198"/>
      <c r="EW247" s="1198"/>
      <c r="EX247" s="1198"/>
      <c r="EY247" s="1198"/>
      <c r="EZ247" s="1198"/>
    </row>
    <row r="248" spans="1:156" x14ac:dyDescent="0.3">
      <c r="A248" s="1220"/>
      <c r="B248" s="1220" t="s">
        <v>887</v>
      </c>
      <c r="C248" s="1221">
        <f>SUM(C243:C247)</f>
        <v>7366582.9400000013</v>
      </c>
      <c r="D248" s="1221">
        <f>SUM(D243:D247)</f>
        <v>7655267.6500000004</v>
      </c>
      <c r="E248" s="1221"/>
      <c r="F248" s="1221">
        <f t="shared" ref="F248:G248" si="901">SUM(F243:F247)</f>
        <v>8227095</v>
      </c>
      <c r="G248" s="1221">
        <f t="shared" si="901"/>
        <v>8012317.1799999997</v>
      </c>
      <c r="H248" s="1221"/>
      <c r="I248" s="1221">
        <f t="shared" ref="I248:J248" si="902">SUM(I243:I247)</f>
        <v>8433513</v>
      </c>
      <c r="J248" s="1221">
        <f t="shared" si="902"/>
        <v>8064373.959999999</v>
      </c>
      <c r="K248" s="1221"/>
      <c r="L248" s="1221">
        <f t="shared" ref="L248:M248" si="903">SUM(L243:L247)</f>
        <v>8708496</v>
      </c>
      <c r="M248" s="1221">
        <f t="shared" si="903"/>
        <v>8356818.0200000005</v>
      </c>
      <c r="N248" s="1221"/>
      <c r="O248" s="1221">
        <f>SUM(O243:O247)</f>
        <v>8964741</v>
      </c>
      <c r="P248" s="1221">
        <f>SUM(P243:P247)</f>
        <v>8479880.4299999997</v>
      </c>
      <c r="Q248" s="1221"/>
      <c r="R248" s="1221">
        <f t="shared" ref="R248:S248" si="904">SUM(R243:R247)</f>
        <v>9409478</v>
      </c>
      <c r="S248" s="1221">
        <f t="shared" si="904"/>
        <v>8903690.7599999998</v>
      </c>
      <c r="T248" s="1221"/>
      <c r="U248" s="1221">
        <f t="shared" ref="U248:V248" si="905">SUM(U243:U247)</f>
        <v>9833934</v>
      </c>
      <c r="V248" s="1221">
        <f t="shared" si="905"/>
        <v>9311317.4000000004</v>
      </c>
      <c r="W248" s="1221"/>
      <c r="X248" s="1221">
        <f t="shared" ref="X248:Y248" si="906">SUM(X243:X247)</f>
        <v>10391628</v>
      </c>
      <c r="Y248" s="1221">
        <f t="shared" si="906"/>
        <v>9688834.8300000001</v>
      </c>
      <c r="Z248" s="1221"/>
      <c r="AA248" s="1221">
        <f>SUM(AA243:AA247)</f>
        <v>10771285</v>
      </c>
      <c r="AB248" s="1222"/>
      <c r="AC248" s="1221">
        <f>SUM(AC243:AC247)</f>
        <v>10027918.980000002</v>
      </c>
      <c r="AD248" s="1221"/>
      <c r="AE248" s="1221">
        <f>SUM(AE243:AE247)</f>
        <v>11356516</v>
      </c>
      <c r="AF248" s="1222"/>
      <c r="AG248" s="1221">
        <f>SUM(AG243:AG247)</f>
        <v>10834338.09</v>
      </c>
      <c r="AH248" s="1221"/>
      <c r="AI248" s="1221"/>
      <c r="AJ248" s="1221"/>
      <c r="AK248" s="1221">
        <f>SUM(AK243:AK247)</f>
        <v>11969961</v>
      </c>
      <c r="AL248" s="1221"/>
      <c r="AM248" s="1221">
        <f>SUM(AM243:AM247)</f>
        <v>5857707.2200000007</v>
      </c>
      <c r="AN248" s="1221"/>
      <c r="AO248" s="1221"/>
      <c r="AP248" s="1221"/>
      <c r="AQ248" s="1221">
        <f>SUM(AQ243:AQ247)</f>
        <v>12413671.635</v>
      </c>
      <c r="AR248" s="1220"/>
      <c r="AS248" s="1220"/>
      <c r="AT248" s="1220"/>
      <c r="AU248" s="1220"/>
      <c r="AV248" s="1224">
        <f t="shared" ref="AV248:AZ248" si="907">SUM(AV243:AV247)</f>
        <v>12916758</v>
      </c>
      <c r="AW248" s="1224">
        <f t="shared" si="907"/>
        <v>13468231</v>
      </c>
      <c r="AX248" s="1224">
        <f t="shared" si="907"/>
        <v>14025325</v>
      </c>
      <c r="AY248" s="1224">
        <f t="shared" si="907"/>
        <v>14290539</v>
      </c>
      <c r="AZ248" s="1224">
        <f t="shared" si="907"/>
        <v>14983505</v>
      </c>
    </row>
    <row r="249" spans="1:156" x14ac:dyDescent="0.3">
      <c r="A249" s="1220"/>
      <c r="B249" s="1220"/>
      <c r="C249" s="1221"/>
      <c r="D249" s="1221"/>
      <c r="E249" s="1221"/>
      <c r="F249" s="1221"/>
      <c r="G249" s="1221"/>
      <c r="H249" s="1221"/>
      <c r="I249" s="1221"/>
      <c r="J249" s="1221"/>
      <c r="K249" s="1221"/>
      <c r="L249" s="1221"/>
      <c r="M249" s="1221"/>
      <c r="N249" s="1221"/>
      <c r="O249" s="1221"/>
      <c r="P249" s="1221"/>
      <c r="Q249" s="1221"/>
      <c r="R249" s="1221"/>
      <c r="S249" s="1221"/>
      <c r="T249" s="1221"/>
      <c r="U249" s="1221"/>
      <c r="V249" s="1221"/>
      <c r="W249" s="1221"/>
      <c r="X249" s="1221"/>
      <c r="Y249" s="1221"/>
      <c r="Z249" s="1221"/>
      <c r="AA249" s="1221"/>
      <c r="AB249" s="1222"/>
      <c r="AC249" s="1221"/>
      <c r="AD249" s="1221"/>
      <c r="AE249" s="1221"/>
      <c r="AF249" s="1222"/>
      <c r="AG249" s="1221"/>
      <c r="AH249" s="1221"/>
      <c r="AI249" s="1221"/>
      <c r="AJ249" s="1221"/>
      <c r="AK249" s="1221"/>
      <c r="AL249" s="1221"/>
      <c r="AM249" s="1221"/>
      <c r="AN249" s="1221"/>
      <c r="AO249" s="1221"/>
      <c r="AP249" s="1221"/>
      <c r="AQ249" s="1221"/>
      <c r="AR249" s="1220"/>
      <c r="AS249" s="1220"/>
      <c r="AT249" s="1220"/>
      <c r="AU249" s="1220"/>
      <c r="AV249" s="1224"/>
      <c r="AW249" s="1224"/>
      <c r="AX249" s="1224"/>
      <c r="AY249" s="1224"/>
      <c r="AZ249" s="1224"/>
    </row>
    <row r="250" spans="1:156" x14ac:dyDescent="0.3">
      <c r="A250" s="1220" t="s">
        <v>2254</v>
      </c>
      <c r="B250" s="1220"/>
      <c r="C250" s="1221"/>
      <c r="D250" s="1221"/>
      <c r="E250" s="1221"/>
      <c r="F250" s="1221"/>
      <c r="G250" s="1221"/>
      <c r="H250" s="1221"/>
      <c r="I250" s="1221"/>
      <c r="J250" s="1221"/>
      <c r="K250" s="1221"/>
      <c r="L250" s="1221"/>
      <c r="M250" s="1221"/>
      <c r="N250" s="1221"/>
      <c r="O250" s="1221"/>
      <c r="P250" s="1221"/>
      <c r="Q250" s="1221"/>
      <c r="R250" s="1221"/>
      <c r="S250" s="1221"/>
      <c r="T250" s="1221"/>
      <c r="U250" s="1221"/>
      <c r="V250" s="1221"/>
      <c r="W250" s="1221"/>
      <c r="X250" s="1221"/>
      <c r="Y250" s="1221"/>
      <c r="Z250" s="1221"/>
      <c r="AA250" s="1221"/>
      <c r="AB250" s="1222"/>
      <c r="AC250" s="1221"/>
      <c r="AD250" s="1221"/>
      <c r="AE250" s="1221"/>
      <c r="AF250" s="1222"/>
      <c r="AG250" s="1221"/>
      <c r="AH250" s="1221"/>
      <c r="AI250" s="1221"/>
      <c r="AJ250" s="1221"/>
      <c r="AK250" s="1221"/>
      <c r="AL250" s="1221"/>
      <c r="AM250" s="1221"/>
      <c r="AN250" s="1221"/>
      <c r="AO250" s="1221"/>
      <c r="AP250" s="1221"/>
      <c r="AQ250" s="1221"/>
      <c r="AR250" s="1220"/>
      <c r="AS250" s="1220"/>
      <c r="AT250" s="1220"/>
      <c r="AU250" s="1220"/>
      <c r="AV250" s="1224"/>
      <c r="AW250" s="1224"/>
      <c r="AX250" s="1224"/>
      <c r="AY250" s="1224"/>
      <c r="AZ250" s="1224"/>
    </row>
    <row r="251" spans="1:156" x14ac:dyDescent="0.3">
      <c r="A251" s="1220"/>
      <c r="B251" s="1220" t="s">
        <v>2218</v>
      </c>
      <c r="C251" s="1229">
        <f>ROUND((+C243/C248),4)</f>
        <v>0.42649999999999999</v>
      </c>
      <c r="D251" s="1229">
        <f>ROUND((+D243/D248),4)</f>
        <v>0.43780000000000002</v>
      </c>
      <c r="E251" s="1221"/>
      <c r="F251" s="1229">
        <f t="shared" ref="F251:G251" si="908">ROUND((+F243/F248),4)</f>
        <v>0.44259999999999999</v>
      </c>
      <c r="G251" s="1229">
        <f t="shared" si="908"/>
        <v>0.44350000000000001</v>
      </c>
      <c r="H251" s="1221"/>
      <c r="I251" s="1229">
        <f t="shared" ref="I251:J251" si="909">ROUND((+I243/I248),4)</f>
        <v>0.44879999999999998</v>
      </c>
      <c r="J251" s="1229">
        <f t="shared" si="909"/>
        <v>0.44579999999999997</v>
      </c>
      <c r="K251" s="1221"/>
      <c r="L251" s="1229">
        <f t="shared" ref="L251:M251" si="910">ROUND((+L243/L248),4)</f>
        <v>0.45590000000000003</v>
      </c>
      <c r="M251" s="1229">
        <f t="shared" si="910"/>
        <v>0.4572</v>
      </c>
      <c r="N251" s="1221"/>
      <c r="O251" s="1229">
        <f>ROUND((+O243/O248),4)</f>
        <v>0.44169999999999998</v>
      </c>
      <c r="P251" s="1229">
        <f>ROUND((+P243/P248),4)</f>
        <v>0.43990000000000001</v>
      </c>
      <c r="Q251" s="1221"/>
      <c r="R251" s="1229">
        <f t="shared" ref="R251:S251" si="911">ROUND((+R243/R248),4)</f>
        <v>0.44940000000000002</v>
      </c>
      <c r="S251" s="1229">
        <f t="shared" si="911"/>
        <v>0.4541</v>
      </c>
      <c r="T251" s="1221"/>
      <c r="U251" s="1229">
        <f t="shared" ref="U251:V251" si="912">ROUND((+U243/U248),4)</f>
        <v>0.43259999999999998</v>
      </c>
      <c r="V251" s="1229">
        <f t="shared" si="912"/>
        <v>0.44929999999999998</v>
      </c>
      <c r="W251" s="1221"/>
      <c r="X251" s="1229">
        <f t="shared" ref="X251:Y251" si="913">ROUND((+X243/X248),4)</f>
        <v>0.42570000000000002</v>
      </c>
      <c r="Y251" s="1229">
        <f t="shared" si="913"/>
        <v>0.43659999999999999</v>
      </c>
      <c r="Z251" s="1221"/>
      <c r="AA251" s="1229">
        <f>ROUND((+AA243/AA248),4)</f>
        <v>0.4214</v>
      </c>
      <c r="AB251" s="1222"/>
      <c r="AC251" s="1229">
        <f>ROUND((+AC243/AC248),4)</f>
        <v>0.43480000000000002</v>
      </c>
      <c r="AD251" s="1221"/>
      <c r="AE251" s="1229">
        <f>ROUND((+AE243/AE248),4)</f>
        <v>0.42820000000000003</v>
      </c>
      <c r="AF251" s="1222"/>
      <c r="AG251" s="1229">
        <f>ROUND((+AG243/AG248),4)</f>
        <v>0.42849999999999999</v>
      </c>
      <c r="AH251" s="1221"/>
      <c r="AI251" s="1221"/>
      <c r="AJ251" s="1221"/>
      <c r="AK251" s="1229">
        <f>ROUND((+AK243/AK248),4)</f>
        <v>0.43709999999999999</v>
      </c>
      <c r="AL251" s="1221"/>
      <c r="AM251" s="1229">
        <f>ROUND((+AM243/AM248),4)</f>
        <v>0.39</v>
      </c>
      <c r="AN251" s="1221"/>
      <c r="AO251" s="1221"/>
      <c r="AP251" s="1221"/>
      <c r="AQ251" s="1229">
        <f>ROUND((+AQ243/AQ248),4)</f>
        <v>0.42820000000000003</v>
      </c>
      <c r="AR251" s="1220"/>
      <c r="AS251" s="1220"/>
      <c r="AT251" s="1220"/>
      <c r="AU251" s="1220"/>
      <c r="AV251" s="1230">
        <f t="shared" ref="AV251:AZ251" si="914">ROUND((+AV243/AV248),4)</f>
        <v>0.42570000000000002</v>
      </c>
      <c r="AW251" s="1229">
        <f t="shared" si="914"/>
        <v>0.42230000000000001</v>
      </c>
      <c r="AX251" s="1229">
        <f t="shared" si="914"/>
        <v>0.4194</v>
      </c>
      <c r="AY251" s="1229">
        <f t="shared" si="914"/>
        <v>0.42580000000000001</v>
      </c>
      <c r="AZ251" s="1229">
        <f t="shared" si="914"/>
        <v>0.42030000000000001</v>
      </c>
    </row>
    <row r="252" spans="1:156" x14ac:dyDescent="0.3">
      <c r="A252" s="1220"/>
      <c r="B252" s="1220" t="s">
        <v>1869</v>
      </c>
      <c r="C252" s="1229">
        <f>ROUND((+C244/C248),4)</f>
        <v>0.24479999999999999</v>
      </c>
      <c r="D252" s="1229">
        <f>ROUND((+D244/D248),4)</f>
        <v>0.249</v>
      </c>
      <c r="E252" s="1221"/>
      <c r="F252" s="1229">
        <f t="shared" ref="F252:G252" si="915">ROUND((+F244/F248),4)</f>
        <v>0.24329999999999999</v>
      </c>
      <c r="G252" s="1229">
        <f t="shared" si="915"/>
        <v>0.25190000000000001</v>
      </c>
      <c r="H252" s="1221"/>
      <c r="I252" s="1229">
        <f t="shared" ref="I252:J252" si="916">ROUND((+I244/I248),4)</f>
        <v>0.24859999999999999</v>
      </c>
      <c r="J252" s="1229">
        <f t="shared" si="916"/>
        <v>0.2467</v>
      </c>
      <c r="K252" s="1221"/>
      <c r="L252" s="1229">
        <f t="shared" ref="L252:M252" si="917">ROUND((+L244/L248),4)</f>
        <v>0.2384</v>
      </c>
      <c r="M252" s="1229">
        <f t="shared" si="917"/>
        <v>0.23480000000000001</v>
      </c>
      <c r="N252" s="1221"/>
      <c r="O252" s="1229">
        <f>ROUND((+O244/O248),4)</f>
        <v>0.24990000000000001</v>
      </c>
      <c r="P252" s="1229">
        <f>ROUND((+P244/P248),4)</f>
        <v>0.24399999999999999</v>
      </c>
      <c r="Q252" s="1221"/>
      <c r="R252" s="1229">
        <f t="shared" ref="R252:S252" si="918">ROUND((+R244/R248),4)</f>
        <v>0.2424</v>
      </c>
      <c r="S252" s="1229">
        <f t="shared" si="918"/>
        <v>0.23710000000000001</v>
      </c>
      <c r="T252" s="1221"/>
      <c r="U252" s="1229">
        <f t="shared" ref="U252:V252" si="919">ROUND((+U244/U248),4)</f>
        <v>0.2427</v>
      </c>
      <c r="V252" s="1229">
        <f t="shared" si="919"/>
        <v>0.23519999999999999</v>
      </c>
      <c r="W252" s="1221"/>
      <c r="X252" s="1229">
        <f t="shared" ref="X252:Y252" si="920">ROUND((+X244/X248),4)</f>
        <v>0.24299999999999999</v>
      </c>
      <c r="Y252" s="1229">
        <f t="shared" si="920"/>
        <v>0.23119999999999999</v>
      </c>
      <c r="Z252" s="1221"/>
      <c r="AA252" s="1229">
        <f>ROUND((+AA244/AA248),4)</f>
        <v>0.25</v>
      </c>
      <c r="AB252" s="1222"/>
      <c r="AC252" s="1229">
        <f>ROUND((+AC244/AC248),4)</f>
        <v>0.2379</v>
      </c>
      <c r="AD252" s="1221"/>
      <c r="AE252" s="1229">
        <f>ROUND((+AE244/AE248),4)</f>
        <v>0.25069999999999998</v>
      </c>
      <c r="AF252" s="1222"/>
      <c r="AG252" s="1229">
        <f>ROUND((+AG244/AG248),4)</f>
        <v>0.25030000000000002</v>
      </c>
      <c r="AH252" s="1221"/>
      <c r="AI252" s="1221"/>
      <c r="AJ252" s="1221"/>
      <c r="AK252" s="1229">
        <f>ROUND((+AK244/AK248),4)</f>
        <v>0.25269999999999998</v>
      </c>
      <c r="AL252" s="1221"/>
      <c r="AM252" s="1229">
        <f>ROUND((+AM244/AM248),4)</f>
        <v>0.21959999999999999</v>
      </c>
      <c r="AN252" s="1221"/>
      <c r="AO252" s="1221"/>
      <c r="AP252" s="1221"/>
      <c r="AQ252" s="1229">
        <f>ROUND((+AQ244/AQ248),4)</f>
        <v>0.25950000000000001</v>
      </c>
      <c r="AR252" s="1220"/>
      <c r="AS252" s="1220"/>
      <c r="AT252" s="1220"/>
      <c r="AU252" s="1220"/>
      <c r="AV252" s="1230">
        <f t="shared" ref="AV252:AZ252" si="921">ROUND((+AV244/AV248),4)</f>
        <v>0.26700000000000002</v>
      </c>
      <c r="AW252" s="1229">
        <f t="shared" si="921"/>
        <v>0.27460000000000001</v>
      </c>
      <c r="AX252" s="1229">
        <f t="shared" si="921"/>
        <v>0.2833</v>
      </c>
      <c r="AY252" s="1229">
        <f t="shared" si="921"/>
        <v>0.29949999999999999</v>
      </c>
      <c r="AZ252" s="1229">
        <f t="shared" si="921"/>
        <v>0.30859999999999999</v>
      </c>
    </row>
    <row r="253" spans="1:156" x14ac:dyDescent="0.3">
      <c r="A253" s="1220"/>
      <c r="B253" s="1220" t="s">
        <v>2221</v>
      </c>
      <c r="C253" s="1229">
        <f>ROUND((+C245/C248),4)</f>
        <v>5.0000000000000001E-3</v>
      </c>
      <c r="D253" s="1229">
        <f>ROUND((+D245/D248),4)</f>
        <v>5.1999999999999998E-3</v>
      </c>
      <c r="E253" s="1221"/>
      <c r="F253" s="1229">
        <f t="shared" ref="F253:G253" si="922">ROUND((+F245/F248),4)</f>
        <v>4.7999999999999996E-3</v>
      </c>
      <c r="G253" s="1229">
        <f t="shared" si="922"/>
        <v>4.8999999999999998E-3</v>
      </c>
      <c r="H253" s="1221"/>
      <c r="I253" s="1229">
        <f t="shared" ref="I253:J253" si="923">ROUND((+I245/I248),4)</f>
        <v>4.7000000000000002E-3</v>
      </c>
      <c r="J253" s="1229">
        <f t="shared" si="923"/>
        <v>4.8999999999999998E-3</v>
      </c>
      <c r="K253" s="1221"/>
      <c r="L253" s="1229">
        <f t="shared" ref="L253:M253" si="924">ROUND((+L245/L248),4)</f>
        <v>4.4999999999999997E-3</v>
      </c>
      <c r="M253" s="1229">
        <f t="shared" si="924"/>
        <v>4.7000000000000002E-3</v>
      </c>
      <c r="N253" s="1221"/>
      <c r="O253" s="1229">
        <f>ROUND((+O245/O248),4)</f>
        <v>4.7000000000000002E-3</v>
      </c>
      <c r="P253" s="1229">
        <f>ROUND((+P245/P248),4)</f>
        <v>4.8999999999999998E-3</v>
      </c>
      <c r="Q253" s="1221"/>
      <c r="R253" s="1229">
        <f t="shared" ref="R253:S253" si="925">ROUND((+R245/R248),4)</f>
        <v>6.1999999999999998E-3</v>
      </c>
      <c r="S253" s="1229">
        <f t="shared" si="925"/>
        <v>6.1999999999999998E-3</v>
      </c>
      <c r="T253" s="1221"/>
      <c r="U253" s="1229">
        <f t="shared" ref="U253:V253" si="926">ROUND((+U245/U248),4)</f>
        <v>7.7000000000000002E-3</v>
      </c>
      <c r="V253" s="1229">
        <f t="shared" si="926"/>
        <v>7.7999999999999996E-3</v>
      </c>
      <c r="W253" s="1221"/>
      <c r="X253" s="1229">
        <f t="shared" ref="X253:Y253" si="927">ROUND((+X245/X248),4)</f>
        <v>7.4000000000000003E-3</v>
      </c>
      <c r="Y253" s="1229">
        <f t="shared" si="927"/>
        <v>4.5999999999999999E-3</v>
      </c>
      <c r="Z253" s="1221"/>
      <c r="AA253" s="1229">
        <f>ROUND((+AA245/AA248),4)</f>
        <v>6.8999999999999999E-3</v>
      </c>
      <c r="AB253" s="1222"/>
      <c r="AC253" s="1229">
        <f>ROUND((+AC245/AC248),4)</f>
        <v>6.6E-3</v>
      </c>
      <c r="AD253" s="1221"/>
      <c r="AE253" s="1229">
        <f>ROUND((+AE245/AE248),4)</f>
        <v>8.3000000000000001E-3</v>
      </c>
      <c r="AF253" s="1222"/>
      <c r="AG253" s="1229">
        <f>ROUND((+AG245/AG248),4)</f>
        <v>8.6E-3</v>
      </c>
      <c r="AH253" s="1221"/>
      <c r="AI253" s="1221"/>
      <c r="AJ253" s="1221"/>
      <c r="AK253" s="1229">
        <f>ROUND((+AK245/AK248),4)</f>
        <v>5.7000000000000002E-3</v>
      </c>
      <c r="AL253" s="1221"/>
      <c r="AM253" s="1229">
        <f>ROUND((+AM245/AM248),4)</f>
        <v>1.0699999999999999E-2</v>
      </c>
      <c r="AN253" s="1221"/>
      <c r="AO253" s="1221"/>
      <c r="AP253" s="1221"/>
      <c r="AQ253" s="1229">
        <f>ROUND((+AQ245/AQ248),4)</f>
        <v>4.7999999999999996E-3</v>
      </c>
      <c r="AR253" s="1220"/>
      <c r="AS253" s="1220"/>
      <c r="AT253" s="1220"/>
      <c r="AU253" s="1220"/>
      <c r="AV253" s="1230">
        <f t="shared" ref="AV253:AZ253" si="928">ROUND((+AV245/AV248),4)</f>
        <v>4.8999999999999998E-3</v>
      </c>
      <c r="AW253" s="1229">
        <f t="shared" si="928"/>
        <v>4.8999999999999998E-3</v>
      </c>
      <c r="AX253" s="1229">
        <f t="shared" si="928"/>
        <v>5.0000000000000001E-3</v>
      </c>
      <c r="AY253" s="1229">
        <f t="shared" si="928"/>
        <v>5.1000000000000004E-3</v>
      </c>
      <c r="AZ253" s="1229">
        <f t="shared" si="928"/>
        <v>5.1999999999999998E-3</v>
      </c>
    </row>
    <row r="254" spans="1:156" x14ac:dyDescent="0.3">
      <c r="A254" s="1220"/>
      <c r="B254" s="1220" t="s">
        <v>1343</v>
      </c>
      <c r="C254" s="1229">
        <f>ROUND((+C246/C248),4)</f>
        <v>8.4699999999999998E-2</v>
      </c>
      <c r="D254" s="1229">
        <f>ROUND((+D246/D248),4)</f>
        <v>8.1900000000000001E-2</v>
      </c>
      <c r="E254" s="1221"/>
      <c r="F254" s="1229">
        <f t="shared" ref="F254:G254" si="929">ROUND((+F246/F248),4)</f>
        <v>8.0500000000000002E-2</v>
      </c>
      <c r="G254" s="1229">
        <f t="shared" si="929"/>
        <v>8.1500000000000003E-2</v>
      </c>
      <c r="H254" s="1221"/>
      <c r="I254" s="1229">
        <f t="shared" ref="I254:J254" si="930">ROUND((+I246/I248),4)</f>
        <v>7.8399999999999997E-2</v>
      </c>
      <c r="J254" s="1229">
        <f t="shared" si="930"/>
        <v>8.0699999999999994E-2</v>
      </c>
      <c r="K254" s="1221"/>
      <c r="L254" s="1229">
        <f t="shared" ref="L254:M254" si="931">ROUND((+L246/L248),4)</f>
        <v>7.5700000000000003E-2</v>
      </c>
      <c r="M254" s="1229">
        <f t="shared" si="931"/>
        <v>7.8399999999999997E-2</v>
      </c>
      <c r="N254" s="1221"/>
      <c r="O254" s="1229">
        <f>ROUND((+O246/O248),4)</f>
        <v>7.1300000000000002E-2</v>
      </c>
      <c r="P254" s="1229">
        <f>ROUND((+P246/P248),4)</f>
        <v>7.4399999999999994E-2</v>
      </c>
      <c r="Q254" s="1221"/>
      <c r="R254" s="1229">
        <f t="shared" ref="R254:S254" si="932">ROUND((+R246/R248),4)</f>
        <v>6.6900000000000001E-2</v>
      </c>
      <c r="S254" s="1229">
        <f t="shared" si="932"/>
        <v>7.0199999999999999E-2</v>
      </c>
      <c r="T254" s="1221"/>
      <c r="U254" s="1229">
        <f t="shared" ref="U254:V254" si="933">ROUND((+U246/U248),4)</f>
        <v>9.0399999999999994E-2</v>
      </c>
      <c r="V254" s="1229">
        <f t="shared" si="933"/>
        <v>8.8499999999999995E-2</v>
      </c>
      <c r="W254" s="1221"/>
      <c r="X254" s="1229">
        <f t="shared" ref="X254:Y254" si="934">ROUND((+X246/X248),4)</f>
        <v>0.1086</v>
      </c>
      <c r="Y254" s="1229">
        <f t="shared" si="934"/>
        <v>0.10920000000000001</v>
      </c>
      <c r="Z254" s="1221"/>
      <c r="AA254" s="1229">
        <f>ROUND((+AA246/AA248),4)</f>
        <v>9.9000000000000005E-2</v>
      </c>
      <c r="AB254" s="1222"/>
      <c r="AC254" s="1229">
        <f>ROUND((+AC246/AC248),4)</f>
        <v>0.1051</v>
      </c>
      <c r="AD254" s="1221"/>
      <c r="AE254" s="1229">
        <f>ROUND((+AE246/AE248),4)</f>
        <v>0.1023</v>
      </c>
      <c r="AF254" s="1222"/>
      <c r="AG254" s="1229">
        <f>ROUND((+AG246/AG248),4)</f>
        <v>0.1048</v>
      </c>
      <c r="AH254" s="1221"/>
      <c r="AI254" s="1221"/>
      <c r="AJ254" s="1221"/>
      <c r="AK254" s="1229">
        <f>ROUND((+AK246/AK248),4)</f>
        <v>9.64E-2</v>
      </c>
      <c r="AL254" s="1221"/>
      <c r="AM254" s="1229">
        <f>ROUND((+AM246/AM248),4)</f>
        <v>8.0699999999999994E-2</v>
      </c>
      <c r="AN254" s="1221"/>
      <c r="AO254" s="1221"/>
      <c r="AP254" s="1221"/>
      <c r="AQ254" s="1229">
        <f>ROUND((+AQ246/AQ248),4)</f>
        <v>9.3399999999999997E-2</v>
      </c>
      <c r="AR254" s="1220"/>
      <c r="AS254" s="1220"/>
      <c r="AT254" s="1220"/>
      <c r="AU254" s="1220"/>
      <c r="AV254" s="1230">
        <f t="shared" ref="AV254:AZ254" si="935">ROUND((+AV246/AV248),4)</f>
        <v>8.8300000000000003E-2</v>
      </c>
      <c r="AW254" s="1229">
        <f t="shared" si="935"/>
        <v>8.43E-2</v>
      </c>
      <c r="AX254" s="1229">
        <f t="shared" si="935"/>
        <v>7.85E-2</v>
      </c>
      <c r="AY254" s="1229">
        <f t="shared" si="935"/>
        <v>5.0999999999999997E-2</v>
      </c>
      <c r="AZ254" s="1229">
        <f t="shared" si="935"/>
        <v>4.8899999999999999E-2</v>
      </c>
    </row>
    <row r="255" spans="1:156" x14ac:dyDescent="0.3">
      <c r="A255" s="1225"/>
      <c r="B255" s="1225" t="s">
        <v>2220</v>
      </c>
      <c r="C255" s="1231">
        <f>ROUND((+C247/C248),4)</f>
        <v>0.23899999999999999</v>
      </c>
      <c r="D255" s="1231">
        <f>ROUND((+D247/D248),4)</f>
        <v>0.2261</v>
      </c>
      <c r="E255" s="1221"/>
      <c r="F255" s="1231">
        <f t="shared" ref="F255:G255" si="936">ROUND((+F247/F248),4)</f>
        <v>0.2288</v>
      </c>
      <c r="G255" s="1231">
        <f t="shared" si="936"/>
        <v>0.21820000000000001</v>
      </c>
      <c r="H255" s="1221"/>
      <c r="I255" s="1231">
        <f t="shared" ref="I255:J255" si="937">ROUND((+I247/I248),4)</f>
        <v>0.2195</v>
      </c>
      <c r="J255" s="1231">
        <f t="shared" si="937"/>
        <v>0.22189999999999999</v>
      </c>
      <c r="K255" s="1221"/>
      <c r="L255" s="1231">
        <f t="shared" ref="L255:M255" si="938">ROUND((+L247/L248),4)</f>
        <v>0.22539999999999999</v>
      </c>
      <c r="M255" s="1231">
        <f t="shared" si="938"/>
        <v>0.2248</v>
      </c>
      <c r="N255" s="1221"/>
      <c r="O255" s="1231">
        <f>ROUND((+O247/O248),4)</f>
        <v>0.2324</v>
      </c>
      <c r="P255" s="1231">
        <f>ROUND((+P247/P248),4)</f>
        <v>0.23680000000000001</v>
      </c>
      <c r="Q255" s="1221"/>
      <c r="R255" s="1231">
        <f t="shared" ref="R255:S255" si="939">ROUND((+R247/R248),4)</f>
        <v>0.23499999999999999</v>
      </c>
      <c r="S255" s="1231">
        <f t="shared" si="939"/>
        <v>0.2324</v>
      </c>
      <c r="T255" s="1221"/>
      <c r="U255" s="1231">
        <f t="shared" ref="U255:V255" si="940">ROUND((+U247/U248),4)</f>
        <v>0.2266</v>
      </c>
      <c r="V255" s="1231">
        <f t="shared" si="940"/>
        <v>0.21920000000000001</v>
      </c>
      <c r="W255" s="1221"/>
      <c r="X255" s="1231">
        <f t="shared" ref="X255:Y255" si="941">ROUND((+X247/X248),4)</f>
        <v>0.21540000000000001</v>
      </c>
      <c r="Y255" s="1231">
        <f t="shared" si="941"/>
        <v>0.21840000000000001</v>
      </c>
      <c r="Z255" s="1221"/>
      <c r="AA255" s="1231">
        <f>ROUND((+AA247/AA248),4)</f>
        <v>0.22259999999999999</v>
      </c>
      <c r="AB255" s="1222"/>
      <c r="AC255" s="1231">
        <f>ROUND((+AC247/AC248),4)</f>
        <v>0.21560000000000001</v>
      </c>
      <c r="AD255" s="1221"/>
      <c r="AE255" s="1231">
        <f>ROUND((+AE247/AE248),4)</f>
        <v>0.21060000000000001</v>
      </c>
      <c r="AF255" s="1222"/>
      <c r="AG255" s="1231">
        <f>ROUND((+AG247/AG248),4)</f>
        <v>0.20780000000000001</v>
      </c>
      <c r="AH255" s="1221"/>
      <c r="AI255" s="1221"/>
      <c r="AJ255" s="1221"/>
      <c r="AK255" s="1231">
        <f>ROUND((+AK247/AK248),4)</f>
        <v>0.20799999999999999</v>
      </c>
      <c r="AL255" s="1221"/>
      <c r="AM255" s="1231">
        <f>ROUND((+AM247/AM248),4)</f>
        <v>0.29909999999999998</v>
      </c>
      <c r="AN255" s="1221"/>
      <c r="AO255" s="1221"/>
      <c r="AP255" s="1221"/>
      <c r="AQ255" s="1231">
        <f>ROUND((+AQ247/AQ248),4)</f>
        <v>0.214</v>
      </c>
      <c r="AR255" s="1220"/>
      <c r="AS255" s="1220"/>
      <c r="AT255" s="1220"/>
      <c r="AU255" s="1220"/>
      <c r="AV255" s="1232">
        <f t="shared" ref="AV255:AZ255" si="942">ROUND((+AV247/AV248),4)</f>
        <v>0.2142</v>
      </c>
      <c r="AW255" s="1231">
        <f t="shared" si="942"/>
        <v>0.21390000000000001</v>
      </c>
      <c r="AX255" s="1231">
        <f t="shared" si="942"/>
        <v>0.21379999999999999</v>
      </c>
      <c r="AY255" s="1231">
        <f t="shared" si="942"/>
        <v>0.2185</v>
      </c>
      <c r="AZ255" s="1231">
        <f t="shared" si="942"/>
        <v>0.217</v>
      </c>
    </row>
    <row r="256" spans="1:156" x14ac:dyDescent="0.3">
      <c r="A256" s="1220"/>
      <c r="B256" s="1220" t="s">
        <v>887</v>
      </c>
      <c r="C256" s="1229">
        <f>SUM(C251:C255)</f>
        <v>1</v>
      </c>
      <c r="D256" s="1229">
        <f>SUM(D251:D255)</f>
        <v>1</v>
      </c>
      <c r="E256" s="1221"/>
      <c r="F256" s="1229">
        <f t="shared" ref="F256:G256" si="943">SUM(F251:F255)</f>
        <v>1</v>
      </c>
      <c r="G256" s="1229">
        <f t="shared" si="943"/>
        <v>1</v>
      </c>
      <c r="H256" s="1221"/>
      <c r="I256" s="1229">
        <f t="shared" ref="I256:J256" si="944">SUM(I251:I255)</f>
        <v>1</v>
      </c>
      <c r="J256" s="1229">
        <f t="shared" si="944"/>
        <v>1</v>
      </c>
      <c r="K256" s="1221"/>
      <c r="L256" s="1229">
        <f t="shared" ref="L256:M256" si="945">SUM(L251:L255)</f>
        <v>0.99990000000000001</v>
      </c>
      <c r="M256" s="1229">
        <f t="shared" si="945"/>
        <v>0.99990000000000001</v>
      </c>
      <c r="N256" s="1221"/>
      <c r="O256" s="1229">
        <f>SUM(O251:O255)</f>
        <v>1</v>
      </c>
      <c r="P256" s="1229">
        <f>SUM(P251:P255)</f>
        <v>1</v>
      </c>
      <c r="Q256" s="1221"/>
      <c r="R256" s="1229">
        <f t="shared" ref="R256:S256" si="946">SUM(R251:R255)</f>
        <v>0.9998999999999999</v>
      </c>
      <c r="S256" s="1229">
        <f t="shared" si="946"/>
        <v>1</v>
      </c>
      <c r="T256" s="1221"/>
      <c r="U256" s="1229">
        <f t="shared" ref="U256:V256" si="947">SUM(U251:U255)</f>
        <v>1</v>
      </c>
      <c r="V256" s="1229">
        <f t="shared" si="947"/>
        <v>1</v>
      </c>
      <c r="W256" s="1221"/>
      <c r="X256" s="1229">
        <f t="shared" ref="X256:Y256" si="948">SUM(X251:X255)</f>
        <v>1.0001</v>
      </c>
      <c r="Y256" s="1229">
        <f t="shared" si="948"/>
        <v>1</v>
      </c>
      <c r="Z256" s="1221"/>
      <c r="AA256" s="1229">
        <f>SUM(AA251:AA255)</f>
        <v>0.99990000000000001</v>
      </c>
      <c r="AB256" s="1222"/>
      <c r="AC256" s="1229">
        <f>SUM(AC251:AC255)</f>
        <v>1</v>
      </c>
      <c r="AD256" s="1221"/>
      <c r="AE256" s="1229">
        <f>SUM(AE251:AE255)</f>
        <v>1.0001000000000002</v>
      </c>
      <c r="AF256" s="1222"/>
      <c r="AG256" s="1229">
        <f>SUM(AG251:AG255)</f>
        <v>1.0000000000000002</v>
      </c>
      <c r="AH256" s="1221"/>
      <c r="AI256" s="1221"/>
      <c r="AJ256" s="1221"/>
      <c r="AK256" s="1229">
        <f>SUM(AK251:AK255)</f>
        <v>0.99990000000000001</v>
      </c>
      <c r="AL256" s="1221"/>
      <c r="AM256" s="1229">
        <f>SUM(AM251:AM255)</f>
        <v>1.0001</v>
      </c>
      <c r="AN256" s="1221"/>
      <c r="AO256" s="1221"/>
      <c r="AP256" s="1221"/>
      <c r="AQ256" s="1229">
        <f>SUM(AQ251:AQ255)</f>
        <v>0.99990000000000001</v>
      </c>
      <c r="AR256" s="1220"/>
      <c r="AS256" s="1220"/>
      <c r="AT256" s="1220"/>
      <c r="AU256" s="1220"/>
      <c r="AV256" s="1230">
        <f t="shared" ref="AV256:AZ256" si="949">SUM(AV251:AV255)</f>
        <v>1.0001000000000002</v>
      </c>
      <c r="AW256" s="1229">
        <f t="shared" si="949"/>
        <v>1.0000000000000002</v>
      </c>
      <c r="AX256" s="1229">
        <f t="shared" si="949"/>
        <v>1</v>
      </c>
      <c r="AY256" s="1229">
        <f t="shared" si="949"/>
        <v>0.99990000000000012</v>
      </c>
      <c r="AZ256" s="1229">
        <f t="shared" si="949"/>
        <v>0.99999999999999989</v>
      </c>
    </row>
    <row r="257" spans="1:156" x14ac:dyDescent="0.3">
      <c r="A257" s="1220"/>
      <c r="B257" s="1220"/>
      <c r="C257" s="1221"/>
      <c r="D257" s="1221"/>
      <c r="E257" s="1221"/>
      <c r="F257" s="1221"/>
      <c r="G257" s="1221"/>
      <c r="H257" s="1221"/>
      <c r="I257" s="1221"/>
      <c r="J257" s="1221"/>
      <c r="K257" s="1221"/>
      <c r="L257" s="1221"/>
      <c r="M257" s="1221"/>
      <c r="N257" s="1221"/>
      <c r="O257" s="1221"/>
      <c r="P257" s="1221"/>
      <c r="Q257" s="1221"/>
      <c r="R257" s="1221"/>
      <c r="S257" s="1221"/>
      <c r="T257" s="1221"/>
      <c r="U257" s="1221"/>
      <c r="V257" s="1221"/>
      <c r="W257" s="1221"/>
      <c r="X257" s="1221"/>
      <c r="Y257" s="1221"/>
      <c r="Z257" s="1221"/>
      <c r="AA257" s="1221"/>
      <c r="AB257" s="1222"/>
      <c r="AC257" s="1221"/>
      <c r="AD257" s="1221"/>
      <c r="AE257" s="1221"/>
      <c r="AF257" s="1222"/>
      <c r="AG257" s="1221"/>
      <c r="AH257" s="1221"/>
      <c r="AI257" s="1221"/>
      <c r="AJ257" s="1221"/>
      <c r="AK257" s="1221"/>
      <c r="AL257" s="1221"/>
      <c r="AM257" s="1221"/>
      <c r="AN257" s="1221"/>
      <c r="AO257" s="1221"/>
      <c r="AP257" s="1221"/>
      <c r="AQ257" s="1221"/>
      <c r="AR257" s="1220"/>
      <c r="AS257" s="1220"/>
      <c r="AT257" s="1220"/>
      <c r="AU257" s="1220"/>
      <c r="AV257" s="1224"/>
      <c r="AW257" s="1224"/>
      <c r="AX257" s="1224"/>
      <c r="AY257" s="1224"/>
      <c r="AZ257" s="1224"/>
    </row>
    <row r="258" spans="1:156" x14ac:dyDescent="0.3">
      <c r="A258" s="1220"/>
      <c r="B258" s="1220"/>
      <c r="C258" s="1221"/>
      <c r="D258" s="1221"/>
      <c r="E258" s="1221"/>
      <c r="F258" s="1221"/>
      <c r="G258" s="1221"/>
      <c r="H258" s="1221"/>
      <c r="I258" s="1221"/>
      <c r="J258" s="1221"/>
      <c r="K258" s="1221"/>
      <c r="L258" s="1221"/>
      <c r="M258" s="1221"/>
      <c r="N258" s="1221"/>
      <c r="O258" s="1221"/>
      <c r="P258" s="1221"/>
      <c r="Q258" s="1221"/>
      <c r="R258" s="1221"/>
      <c r="S258" s="1221"/>
      <c r="T258" s="1221"/>
      <c r="U258" s="1221"/>
      <c r="V258" s="1221"/>
      <c r="W258" s="1221"/>
      <c r="X258" s="1221"/>
      <c r="Y258" s="1221"/>
      <c r="Z258" s="1221"/>
      <c r="AA258" s="1221"/>
      <c r="AB258" s="1222"/>
      <c r="AC258" s="1221"/>
      <c r="AD258" s="1221"/>
      <c r="AE258" s="1221"/>
      <c r="AF258" s="1222"/>
      <c r="AG258" s="1221"/>
      <c r="AH258" s="1221"/>
      <c r="AI258" s="1221"/>
      <c r="AJ258" s="1221"/>
      <c r="AK258" s="1221"/>
      <c r="AL258" s="1221"/>
      <c r="AM258" s="1221"/>
      <c r="AN258" s="1221"/>
      <c r="AO258" s="1221"/>
      <c r="AP258" s="1221"/>
      <c r="AQ258" s="1221"/>
      <c r="AR258" s="1220"/>
      <c r="AS258" s="1220"/>
      <c r="AT258" s="1220"/>
      <c r="AU258" s="1220"/>
      <c r="AV258" s="1224"/>
      <c r="AW258" s="1224"/>
      <c r="AX258" s="1224"/>
      <c r="AY258" s="1224"/>
      <c r="AZ258" s="1224"/>
    </row>
    <row r="259" spans="1:156" x14ac:dyDescent="0.3">
      <c r="A259" s="1220" t="s">
        <v>2252</v>
      </c>
      <c r="B259" s="1220"/>
      <c r="C259" s="1221"/>
      <c r="D259" s="1221"/>
      <c r="E259" s="1221"/>
      <c r="F259" s="1221"/>
      <c r="G259" s="1221"/>
      <c r="H259" s="1221"/>
      <c r="I259" s="1221"/>
      <c r="J259" s="1221"/>
      <c r="K259" s="1221"/>
      <c r="L259" s="1221"/>
      <c r="M259" s="1221"/>
      <c r="N259" s="1221"/>
      <c r="O259" s="1221"/>
      <c r="P259" s="1221"/>
      <c r="Q259" s="1221"/>
      <c r="R259" s="1221"/>
      <c r="S259" s="1221"/>
      <c r="T259" s="1221"/>
      <c r="U259" s="1221"/>
      <c r="V259" s="1221"/>
      <c r="W259" s="1221"/>
      <c r="X259" s="1221"/>
      <c r="Y259" s="1221"/>
      <c r="Z259" s="1221"/>
      <c r="AA259" s="1221"/>
      <c r="AB259" s="1222"/>
      <c r="AC259" s="1221"/>
      <c r="AD259" s="1221"/>
      <c r="AE259" s="1221"/>
      <c r="AF259" s="1222"/>
      <c r="AG259" s="1221"/>
      <c r="AH259" s="1221"/>
      <c r="AI259" s="1221"/>
      <c r="AJ259" s="1221"/>
      <c r="AK259" s="1221"/>
      <c r="AL259" s="1221"/>
      <c r="AM259" s="1221"/>
      <c r="AN259" s="1221"/>
      <c r="AO259" s="1221"/>
      <c r="AP259" s="1221"/>
      <c r="AQ259" s="1221"/>
      <c r="AR259" s="1220"/>
      <c r="AS259" s="1220"/>
      <c r="AT259" s="1220"/>
      <c r="AU259" s="1220"/>
      <c r="AV259" s="1224"/>
      <c r="AW259" s="1224"/>
      <c r="AX259" s="1224"/>
      <c r="AY259" s="1224"/>
      <c r="AZ259" s="1224"/>
    </row>
    <row r="260" spans="1:156" x14ac:dyDescent="0.3">
      <c r="A260" s="1220"/>
      <c r="B260" s="1220" t="s">
        <v>2218</v>
      </c>
      <c r="C260" s="1221">
        <f t="shared" ref="C260:D262" si="950">+C197</f>
        <v>14110.84</v>
      </c>
      <c r="D260" s="1221">
        <f t="shared" si="950"/>
        <v>18152.72</v>
      </c>
      <c r="E260" s="1221"/>
      <c r="F260" s="1221">
        <f t="shared" ref="F260:G260" si="951">+F197</f>
        <v>19625</v>
      </c>
      <c r="G260" s="1221">
        <f t="shared" si="951"/>
        <v>19741.080000000002</v>
      </c>
      <c r="H260" s="1221"/>
      <c r="I260" s="1221">
        <f t="shared" ref="I260:J260" si="952">+I197</f>
        <v>20390</v>
      </c>
      <c r="J260" s="1221">
        <f t="shared" si="952"/>
        <v>20828.300000000003</v>
      </c>
      <c r="K260" s="1221"/>
      <c r="L260" s="1221">
        <f t="shared" ref="L260:M260" si="953">+L197</f>
        <v>20931</v>
      </c>
      <c r="M260" s="1221">
        <f t="shared" si="953"/>
        <v>17929.8</v>
      </c>
      <c r="N260" s="1221"/>
      <c r="O260" s="1221">
        <f t="shared" ref="O260:P262" si="954">+O197</f>
        <v>21760</v>
      </c>
      <c r="P260" s="1221">
        <f t="shared" si="954"/>
        <v>19743.88</v>
      </c>
      <c r="Q260" s="1221"/>
      <c r="R260" s="1221">
        <f t="shared" ref="R260:S260" si="955">+R197</f>
        <v>22124</v>
      </c>
      <c r="S260" s="1221">
        <f t="shared" si="955"/>
        <v>22141.56</v>
      </c>
      <c r="T260" s="1221"/>
      <c r="U260" s="1221">
        <f t="shared" ref="U260:V260" si="956">+U197</f>
        <v>26038</v>
      </c>
      <c r="V260" s="1221">
        <f t="shared" si="956"/>
        <v>15295.87</v>
      </c>
      <c r="W260" s="1221"/>
      <c r="X260" s="1221">
        <f t="shared" ref="X260:Y260" si="957">+X197</f>
        <v>42169</v>
      </c>
      <c r="Y260" s="1221">
        <f t="shared" si="957"/>
        <v>32478.98</v>
      </c>
      <c r="Z260" s="1221"/>
      <c r="AA260" s="1221">
        <f>+AA197</f>
        <v>84808</v>
      </c>
      <c r="AB260" s="1222"/>
      <c r="AC260" s="1221">
        <f>+AC197</f>
        <v>87667.98</v>
      </c>
      <c r="AD260" s="1221"/>
      <c r="AE260" s="1221">
        <f>+AE197</f>
        <v>106874</v>
      </c>
      <c r="AF260" s="1222"/>
      <c r="AG260" s="1221">
        <f>+AG197</f>
        <v>100445.45</v>
      </c>
      <c r="AH260" s="1221"/>
      <c r="AI260" s="1221"/>
      <c r="AJ260" s="1221"/>
      <c r="AK260" s="1221">
        <f>+AK197</f>
        <v>138076</v>
      </c>
      <c r="AL260" s="1221"/>
      <c r="AM260" s="1221">
        <f>+AM197</f>
        <v>65096.9</v>
      </c>
      <c r="AN260" s="1221"/>
      <c r="AO260" s="1221"/>
      <c r="AP260" s="1221"/>
      <c r="AQ260" s="1221">
        <f>+AQ197</f>
        <v>136238</v>
      </c>
      <c r="AR260" s="1220"/>
      <c r="AS260" s="1220"/>
      <c r="AT260" s="1220"/>
      <c r="AU260" s="1220"/>
      <c r="AV260" s="1224">
        <f t="shared" ref="AV260:AZ260" si="958">+AV197</f>
        <v>139371</v>
      </c>
      <c r="AW260" s="1224">
        <f t="shared" si="958"/>
        <v>142577</v>
      </c>
      <c r="AX260" s="1224">
        <f t="shared" si="958"/>
        <v>145856</v>
      </c>
      <c r="AY260" s="1224">
        <f t="shared" si="958"/>
        <v>149211</v>
      </c>
      <c r="AZ260" s="1224">
        <f t="shared" si="958"/>
        <v>152643</v>
      </c>
    </row>
    <row r="261" spans="1:156" x14ac:dyDescent="0.3">
      <c r="A261" s="1220"/>
      <c r="B261" s="1220" t="s">
        <v>1869</v>
      </c>
      <c r="C261" s="1221">
        <f t="shared" si="950"/>
        <v>22794.65</v>
      </c>
      <c r="D261" s="1221">
        <f t="shared" si="950"/>
        <v>26500.71</v>
      </c>
      <c r="E261" s="1221"/>
      <c r="F261" s="1221">
        <f t="shared" ref="F261:G261" si="959">+F198</f>
        <v>25887</v>
      </c>
      <c r="G261" s="1221">
        <f t="shared" si="959"/>
        <v>26028.799999999999</v>
      </c>
      <c r="H261" s="1221"/>
      <c r="I261" s="1221">
        <f t="shared" ref="I261:J261" si="960">+I198</f>
        <v>25888</v>
      </c>
      <c r="J261" s="1221">
        <f t="shared" si="960"/>
        <v>23692.040000000005</v>
      </c>
      <c r="K261" s="1221"/>
      <c r="L261" s="1221">
        <f t="shared" ref="L261:M261" si="961">+L198</f>
        <v>28089</v>
      </c>
      <c r="M261" s="1221">
        <f t="shared" si="961"/>
        <v>33988.230000000003</v>
      </c>
      <c r="N261" s="1221"/>
      <c r="O261" s="1221">
        <f t="shared" si="954"/>
        <v>28165</v>
      </c>
      <c r="P261" s="1221">
        <f t="shared" si="954"/>
        <v>29026.399999999998</v>
      </c>
      <c r="Q261" s="1221"/>
      <c r="R261" s="1221">
        <f t="shared" ref="R261:S261" si="962">+R198</f>
        <v>26415</v>
      </c>
      <c r="S261" s="1221">
        <f t="shared" si="962"/>
        <v>26249.980000000003</v>
      </c>
      <c r="T261" s="1221"/>
      <c r="U261" s="1221">
        <f t="shared" ref="U261:V261" si="963">+U198</f>
        <v>27040</v>
      </c>
      <c r="V261" s="1221">
        <f t="shared" si="963"/>
        <v>24516.76</v>
      </c>
      <c r="W261" s="1221"/>
      <c r="X261" s="1221">
        <f t="shared" ref="X261:Y261" si="964">+X198</f>
        <v>53325</v>
      </c>
      <c r="Y261" s="1221">
        <f t="shared" si="964"/>
        <v>63015.01999999999</v>
      </c>
      <c r="Z261" s="1221"/>
      <c r="AA261" s="1221">
        <f>+AA198</f>
        <v>126611.45</v>
      </c>
      <c r="AB261" s="1222"/>
      <c r="AC261" s="1221">
        <f>+AC198</f>
        <v>123281.29000000001</v>
      </c>
      <c r="AD261" s="1221"/>
      <c r="AE261" s="1221">
        <f>+AE198</f>
        <v>105020</v>
      </c>
      <c r="AF261" s="1222"/>
      <c r="AG261" s="1221">
        <f>+AG198</f>
        <v>111088.15</v>
      </c>
      <c r="AH261" s="1221"/>
      <c r="AI261" s="1221"/>
      <c r="AJ261" s="1221"/>
      <c r="AK261" s="1221">
        <f>+AK198</f>
        <v>136839</v>
      </c>
      <c r="AL261" s="1221"/>
      <c r="AM261" s="1221">
        <f>+AM198</f>
        <v>95467.930000000008</v>
      </c>
      <c r="AN261" s="1221"/>
      <c r="AO261" s="1221"/>
      <c r="AP261" s="1221"/>
      <c r="AQ261" s="1221">
        <f>+AQ198</f>
        <v>119000</v>
      </c>
      <c r="AR261" s="1220"/>
      <c r="AS261" s="1220"/>
      <c r="AT261" s="1220"/>
      <c r="AU261" s="1220"/>
      <c r="AV261" s="1224">
        <f t="shared" ref="AV261:AZ261" si="965">+AV198</f>
        <v>121737</v>
      </c>
      <c r="AW261" s="1224">
        <f t="shared" si="965"/>
        <v>124537</v>
      </c>
      <c r="AX261" s="1224">
        <f t="shared" si="965"/>
        <v>127401</v>
      </c>
      <c r="AY261" s="1224">
        <f t="shared" si="965"/>
        <v>130331</v>
      </c>
      <c r="AZ261" s="1224">
        <f t="shared" si="965"/>
        <v>133329</v>
      </c>
    </row>
    <row r="262" spans="1:156" x14ac:dyDescent="0.3">
      <c r="A262" s="1220"/>
      <c r="B262" s="1220" t="s">
        <v>2221</v>
      </c>
      <c r="C262" s="1221">
        <f t="shared" si="950"/>
        <v>0</v>
      </c>
      <c r="D262" s="1221">
        <f t="shared" si="950"/>
        <v>0</v>
      </c>
      <c r="E262" s="1221"/>
      <c r="F262" s="1221">
        <f t="shared" ref="F262:G262" si="966">+F199</f>
        <v>0</v>
      </c>
      <c r="G262" s="1221">
        <f t="shared" si="966"/>
        <v>0</v>
      </c>
      <c r="H262" s="1221"/>
      <c r="I262" s="1221">
        <f t="shared" ref="I262:J262" si="967">+I199</f>
        <v>0</v>
      </c>
      <c r="J262" s="1221">
        <f t="shared" si="967"/>
        <v>0</v>
      </c>
      <c r="K262" s="1221"/>
      <c r="L262" s="1221">
        <f t="shared" ref="L262:M262" si="968">+L199</f>
        <v>0</v>
      </c>
      <c r="M262" s="1221">
        <f t="shared" si="968"/>
        <v>0</v>
      </c>
      <c r="N262" s="1221"/>
      <c r="O262" s="1221">
        <f t="shared" si="954"/>
        <v>0</v>
      </c>
      <c r="P262" s="1221">
        <f t="shared" si="954"/>
        <v>0</v>
      </c>
      <c r="Q262" s="1221"/>
      <c r="R262" s="1221">
        <f t="shared" ref="R262:S262" si="969">+R199</f>
        <v>0</v>
      </c>
      <c r="S262" s="1221">
        <f t="shared" si="969"/>
        <v>0</v>
      </c>
      <c r="T262" s="1221"/>
      <c r="U262" s="1221">
        <f t="shared" ref="U262:V262" si="970">+U199</f>
        <v>0</v>
      </c>
      <c r="V262" s="1221">
        <f t="shared" si="970"/>
        <v>0</v>
      </c>
      <c r="W262" s="1221"/>
      <c r="X262" s="1221">
        <f t="shared" ref="X262:Y262" si="971">+X199</f>
        <v>0</v>
      </c>
      <c r="Y262" s="1221">
        <f t="shared" si="971"/>
        <v>0</v>
      </c>
      <c r="Z262" s="1221"/>
      <c r="AA262" s="1221">
        <f>+AA199</f>
        <v>0</v>
      </c>
      <c r="AB262" s="1222"/>
      <c r="AC262" s="1221">
        <f>+AC199</f>
        <v>0</v>
      </c>
      <c r="AD262" s="1221"/>
      <c r="AE262" s="1221">
        <f>+AE199</f>
        <v>0</v>
      </c>
      <c r="AF262" s="1222"/>
      <c r="AG262" s="1221">
        <f>+AG199</f>
        <v>0</v>
      </c>
      <c r="AH262" s="1221"/>
      <c r="AI262" s="1221"/>
      <c r="AJ262" s="1221"/>
      <c r="AK262" s="1221">
        <f>+AK199</f>
        <v>10000</v>
      </c>
      <c r="AL262" s="1221"/>
      <c r="AM262" s="1221">
        <f>+AM199</f>
        <v>0</v>
      </c>
      <c r="AN262" s="1221"/>
      <c r="AO262" s="1221"/>
      <c r="AP262" s="1221"/>
      <c r="AQ262" s="1221">
        <f>+AQ199</f>
        <v>0</v>
      </c>
      <c r="AR262" s="1220"/>
      <c r="AS262" s="1220"/>
      <c r="AT262" s="1220"/>
      <c r="AU262" s="1220"/>
      <c r="AV262" s="1224">
        <f>+AV199</f>
        <v>0</v>
      </c>
      <c r="AW262" s="1224">
        <f>+AW199</f>
        <v>0</v>
      </c>
      <c r="AX262" s="1224">
        <f>+AX199</f>
        <v>0</v>
      </c>
      <c r="AY262" s="1224">
        <f>+AY199</f>
        <v>0</v>
      </c>
      <c r="AZ262" s="1224">
        <f>+AZ199</f>
        <v>0</v>
      </c>
    </row>
    <row r="263" spans="1:156" x14ac:dyDescent="0.3">
      <c r="A263" s="1220"/>
      <c r="B263" s="1220" t="s">
        <v>1343</v>
      </c>
      <c r="C263" s="1221">
        <f>+C203</f>
        <v>0</v>
      </c>
      <c r="D263" s="1221">
        <f>+D203</f>
        <v>0</v>
      </c>
      <c r="E263" s="1221"/>
      <c r="F263" s="1221">
        <f t="shared" ref="F263:G263" si="972">+F203</f>
        <v>0</v>
      </c>
      <c r="G263" s="1221">
        <f t="shared" si="972"/>
        <v>0</v>
      </c>
      <c r="H263" s="1221"/>
      <c r="I263" s="1221">
        <f t="shared" ref="I263:J263" si="973">+I203</f>
        <v>0</v>
      </c>
      <c r="J263" s="1221">
        <f t="shared" si="973"/>
        <v>0</v>
      </c>
      <c r="K263" s="1221"/>
      <c r="L263" s="1221">
        <f t="shared" ref="L263:M263" si="974">+L203</f>
        <v>0</v>
      </c>
      <c r="M263" s="1221">
        <f t="shared" si="974"/>
        <v>0</v>
      </c>
      <c r="N263" s="1221"/>
      <c r="O263" s="1221">
        <f>+O203</f>
        <v>0</v>
      </c>
      <c r="P263" s="1221">
        <f>+P203</f>
        <v>0</v>
      </c>
      <c r="Q263" s="1221"/>
      <c r="R263" s="1221">
        <f t="shared" ref="R263:S263" si="975">+R203</f>
        <v>0</v>
      </c>
      <c r="S263" s="1221">
        <f t="shared" si="975"/>
        <v>0</v>
      </c>
      <c r="T263" s="1221"/>
      <c r="U263" s="1221">
        <f t="shared" ref="U263:V263" si="976">+U203</f>
        <v>0</v>
      </c>
      <c r="V263" s="1221">
        <f t="shared" si="976"/>
        <v>0</v>
      </c>
      <c r="W263" s="1221"/>
      <c r="X263" s="1221">
        <f t="shared" ref="X263:Y263" si="977">+X203</f>
        <v>0</v>
      </c>
      <c r="Y263" s="1221">
        <f t="shared" si="977"/>
        <v>0</v>
      </c>
      <c r="Z263" s="1221"/>
      <c r="AA263" s="1221">
        <f>+AA203</f>
        <v>3229.55</v>
      </c>
      <c r="AB263" s="1222"/>
      <c r="AC263" s="1221">
        <f>+AC203</f>
        <v>3229.55</v>
      </c>
      <c r="AD263" s="1221"/>
      <c r="AE263" s="1221">
        <f>+AE203</f>
        <v>101120</v>
      </c>
      <c r="AF263" s="1222"/>
      <c r="AG263" s="1221">
        <f>+AG203</f>
        <v>101119.38</v>
      </c>
      <c r="AH263" s="1221"/>
      <c r="AI263" s="1221"/>
      <c r="AJ263" s="1221"/>
      <c r="AK263" s="1221">
        <f>+AK203</f>
        <v>101535</v>
      </c>
      <c r="AL263" s="1221"/>
      <c r="AM263" s="1221">
        <f>+AM203</f>
        <v>84937.5</v>
      </c>
      <c r="AN263" s="1221"/>
      <c r="AO263" s="1221"/>
      <c r="AP263" s="1221"/>
      <c r="AQ263" s="1221">
        <f>+AQ203</f>
        <v>102775</v>
      </c>
      <c r="AR263" s="1220"/>
      <c r="AS263" s="1220"/>
      <c r="AT263" s="1220"/>
      <c r="AU263" s="1220"/>
      <c r="AV263" s="1224">
        <f t="shared" ref="AV263:AZ263" si="978">+AV203</f>
        <v>99935</v>
      </c>
      <c r="AW263" s="1224">
        <f t="shared" si="978"/>
        <v>101015</v>
      </c>
      <c r="AX263" s="1224">
        <f t="shared" si="978"/>
        <v>97035</v>
      </c>
      <c r="AY263" s="1224">
        <f t="shared" si="978"/>
        <v>102895</v>
      </c>
      <c r="AZ263" s="1224">
        <f t="shared" si="978"/>
        <v>98595</v>
      </c>
    </row>
    <row r="264" spans="1:156" s="55" customFormat="1" x14ac:dyDescent="0.3">
      <c r="A264" s="1225"/>
      <c r="B264" s="1225" t="s">
        <v>2220</v>
      </c>
      <c r="C264" s="1226">
        <f>+C207</f>
        <v>0</v>
      </c>
      <c r="D264" s="1226">
        <f>+D207</f>
        <v>0</v>
      </c>
      <c r="E264" s="1226"/>
      <c r="F264" s="1226">
        <f t="shared" ref="F264:G264" si="979">+F207</f>
        <v>0</v>
      </c>
      <c r="G264" s="1226">
        <f t="shared" si="979"/>
        <v>0</v>
      </c>
      <c r="H264" s="1226"/>
      <c r="I264" s="1226">
        <f t="shared" ref="I264:J264" si="980">+I207</f>
        <v>0</v>
      </c>
      <c r="J264" s="1226">
        <f t="shared" si="980"/>
        <v>0</v>
      </c>
      <c r="K264" s="1226"/>
      <c r="L264" s="1226">
        <f t="shared" ref="L264:M264" si="981">+L207</f>
        <v>0</v>
      </c>
      <c r="M264" s="1226">
        <f t="shared" si="981"/>
        <v>0</v>
      </c>
      <c r="N264" s="1226"/>
      <c r="O264" s="1226">
        <f>+O207</f>
        <v>0</v>
      </c>
      <c r="P264" s="1226">
        <f>+P207</f>
        <v>0</v>
      </c>
      <c r="Q264" s="1226"/>
      <c r="R264" s="1226">
        <f t="shared" ref="R264:S264" si="982">+R207</f>
        <v>0</v>
      </c>
      <c r="S264" s="1226">
        <f t="shared" si="982"/>
        <v>0</v>
      </c>
      <c r="T264" s="1226"/>
      <c r="U264" s="1226">
        <f t="shared" ref="U264:V264" si="983">+U207</f>
        <v>0</v>
      </c>
      <c r="V264" s="1226">
        <f t="shared" si="983"/>
        <v>0</v>
      </c>
      <c r="W264" s="1226"/>
      <c r="X264" s="1226">
        <f t="shared" ref="X264:Y264" si="984">+X207</f>
        <v>0</v>
      </c>
      <c r="Y264" s="1226">
        <f t="shared" si="984"/>
        <v>0</v>
      </c>
      <c r="Z264" s="1226"/>
      <c r="AA264" s="1226">
        <f>+AA207</f>
        <v>8892</v>
      </c>
      <c r="AB264" s="1227"/>
      <c r="AC264" s="1226">
        <f>+AC207</f>
        <v>0</v>
      </c>
      <c r="AD264" s="1226"/>
      <c r="AE264" s="1226">
        <f>+AE207</f>
        <v>33188</v>
      </c>
      <c r="AF264" s="1227"/>
      <c r="AG264" s="1226">
        <f>+AG207</f>
        <v>22982.829999999998</v>
      </c>
      <c r="AH264" s="1226"/>
      <c r="AI264" s="1226"/>
      <c r="AJ264" s="1226"/>
      <c r="AK264" s="1226">
        <f>+AK207</f>
        <v>40515</v>
      </c>
      <c r="AL264" s="1226"/>
      <c r="AM264" s="1226">
        <f>+AM207</f>
        <v>31003.17</v>
      </c>
      <c r="AN264" s="1226"/>
      <c r="AO264" s="1226"/>
      <c r="AP264" s="1226"/>
      <c r="AQ264" s="1226">
        <f>+AQ207</f>
        <v>61664</v>
      </c>
      <c r="AR264" s="1225"/>
      <c r="AS264" s="1225"/>
      <c r="AT264" s="1225"/>
      <c r="AU264" s="1225"/>
      <c r="AV264" s="1228">
        <f t="shared" ref="AV264:AZ264" si="985">+AV207</f>
        <v>63970</v>
      </c>
      <c r="AW264" s="1228">
        <f t="shared" si="985"/>
        <v>66362</v>
      </c>
      <c r="AX264" s="1228">
        <f t="shared" si="985"/>
        <v>68844</v>
      </c>
      <c r="AY264" s="1228">
        <f t="shared" si="985"/>
        <v>71419</v>
      </c>
      <c r="AZ264" s="1228">
        <f t="shared" si="985"/>
        <v>74090</v>
      </c>
      <c r="BA264" s="1198"/>
      <c r="BB264" s="1198"/>
      <c r="BC264" s="1198"/>
      <c r="BD264" s="1198"/>
      <c r="BE264" s="1198"/>
      <c r="BF264" s="1198"/>
      <c r="BG264" s="1198"/>
      <c r="BH264" s="1198"/>
      <c r="BI264" s="1198"/>
      <c r="BJ264" s="1198"/>
      <c r="BK264" s="1198"/>
      <c r="BL264" s="1198"/>
      <c r="BM264" s="1198"/>
      <c r="BN264" s="1198"/>
      <c r="BO264" s="1198"/>
      <c r="BP264" s="1198"/>
      <c r="BQ264" s="1198"/>
      <c r="BR264" s="1198"/>
      <c r="BS264" s="1198"/>
      <c r="BT264" s="1198"/>
      <c r="BU264" s="1198"/>
      <c r="BV264" s="1198"/>
      <c r="BW264" s="1198"/>
      <c r="BX264" s="1198"/>
      <c r="BY264" s="1198"/>
      <c r="BZ264" s="1198"/>
      <c r="CA264" s="1198"/>
      <c r="CB264" s="1198"/>
      <c r="CC264" s="1198"/>
      <c r="CD264" s="1198"/>
      <c r="CE264" s="1198"/>
      <c r="CF264" s="1198"/>
      <c r="CG264" s="1198"/>
      <c r="CH264" s="1198"/>
      <c r="CI264" s="1198"/>
      <c r="CJ264" s="1198"/>
      <c r="CK264" s="1198"/>
      <c r="CL264" s="1198"/>
      <c r="CM264" s="1198"/>
      <c r="CN264" s="1198"/>
      <c r="CO264" s="1198"/>
      <c r="CP264" s="1198"/>
      <c r="CQ264" s="1198"/>
      <c r="CR264" s="1198"/>
      <c r="CS264" s="1198"/>
      <c r="CT264" s="1198"/>
      <c r="CU264" s="1198"/>
      <c r="CV264" s="1198"/>
      <c r="CW264" s="1198"/>
      <c r="CX264" s="1198"/>
      <c r="CY264" s="1198"/>
      <c r="CZ264" s="1198"/>
      <c r="DA264" s="1198"/>
      <c r="DB264" s="1198"/>
      <c r="DC264" s="1198"/>
      <c r="DD264" s="1198"/>
      <c r="DE264" s="1198"/>
      <c r="DF264" s="1198"/>
      <c r="DG264" s="1198"/>
      <c r="DH264" s="1198"/>
      <c r="DI264" s="1198"/>
      <c r="DJ264" s="1198"/>
      <c r="DK264" s="1198"/>
      <c r="DL264" s="1198"/>
      <c r="DM264" s="1198"/>
      <c r="DN264" s="1198"/>
      <c r="DO264" s="1198"/>
      <c r="DP264" s="1198"/>
      <c r="DQ264" s="1198"/>
      <c r="DR264" s="1198"/>
      <c r="DS264" s="1198"/>
      <c r="DT264" s="1198"/>
      <c r="DU264" s="1198"/>
      <c r="DV264" s="1198"/>
      <c r="DW264" s="1198"/>
      <c r="DX264" s="1198"/>
      <c r="DY264" s="1198"/>
      <c r="DZ264" s="1198"/>
      <c r="EA264" s="1198"/>
      <c r="EB264" s="1198"/>
      <c r="EC264" s="1198"/>
      <c r="ED264" s="1198"/>
      <c r="EE264" s="1198"/>
      <c r="EF264" s="1198"/>
      <c r="EG264" s="1198"/>
      <c r="EH264" s="1198"/>
      <c r="EI264" s="1198"/>
      <c r="EJ264" s="1198"/>
      <c r="EK264" s="1198"/>
      <c r="EL264" s="1198"/>
      <c r="EM264" s="1198"/>
      <c r="EN264" s="1198"/>
      <c r="EO264" s="1198"/>
      <c r="EP264" s="1198"/>
      <c r="EQ264" s="1198"/>
      <c r="ER264" s="1198"/>
      <c r="ES264" s="1198"/>
      <c r="ET264" s="1198"/>
      <c r="EU264" s="1198"/>
      <c r="EV264" s="1198"/>
      <c r="EW264" s="1198"/>
      <c r="EX264" s="1198"/>
      <c r="EY264" s="1198"/>
      <c r="EZ264" s="1198"/>
    </row>
    <row r="265" spans="1:156" x14ac:dyDescent="0.3">
      <c r="A265" s="1220"/>
      <c r="B265" s="1220" t="s">
        <v>887</v>
      </c>
      <c r="C265" s="1221">
        <f>SUM(C260:C264)</f>
        <v>36905.490000000005</v>
      </c>
      <c r="D265" s="1221">
        <f>SUM(D260:D264)</f>
        <v>44653.43</v>
      </c>
      <c r="E265" s="1221"/>
      <c r="F265" s="1221">
        <f t="shared" ref="F265:G265" si="986">SUM(F260:F264)</f>
        <v>45512</v>
      </c>
      <c r="G265" s="1221">
        <f t="shared" si="986"/>
        <v>45769.880000000005</v>
      </c>
      <c r="H265" s="1221"/>
      <c r="I265" s="1221">
        <f t="shared" ref="I265:J265" si="987">SUM(I260:I264)</f>
        <v>46278</v>
      </c>
      <c r="J265" s="1221">
        <f t="shared" si="987"/>
        <v>44520.340000000011</v>
      </c>
      <c r="K265" s="1221"/>
      <c r="L265" s="1221">
        <f t="shared" ref="L265:M265" si="988">SUM(L260:L264)</f>
        <v>49020</v>
      </c>
      <c r="M265" s="1221">
        <f t="shared" si="988"/>
        <v>51918.03</v>
      </c>
      <c r="N265" s="1221"/>
      <c r="O265" s="1221">
        <f>SUM(O260:O264)</f>
        <v>49925</v>
      </c>
      <c r="P265" s="1221">
        <f>SUM(P260:P264)</f>
        <v>48770.28</v>
      </c>
      <c r="Q265" s="1221"/>
      <c r="R265" s="1221">
        <f t="shared" ref="R265:S265" si="989">SUM(R260:R264)</f>
        <v>48539</v>
      </c>
      <c r="S265" s="1221">
        <f t="shared" si="989"/>
        <v>48391.540000000008</v>
      </c>
      <c r="T265" s="1221"/>
      <c r="U265" s="1221">
        <f t="shared" ref="U265:V265" si="990">SUM(U260:U264)</f>
        <v>53078</v>
      </c>
      <c r="V265" s="1221">
        <f t="shared" si="990"/>
        <v>39812.629999999997</v>
      </c>
      <c r="W265" s="1221"/>
      <c r="X265" s="1221">
        <f t="shared" ref="X265:Y265" si="991">SUM(X260:X264)</f>
        <v>95494</v>
      </c>
      <c r="Y265" s="1221">
        <f t="shared" si="991"/>
        <v>95493.999999999985</v>
      </c>
      <c r="Z265" s="1221"/>
      <c r="AA265" s="1221">
        <f>SUM(AA260:AA264)</f>
        <v>223541</v>
      </c>
      <c r="AB265" s="1222"/>
      <c r="AC265" s="1221">
        <f>SUM(AC260:AC264)</f>
        <v>214178.82</v>
      </c>
      <c r="AD265" s="1221"/>
      <c r="AE265" s="1221">
        <f>SUM(AE260:AE264)</f>
        <v>346202</v>
      </c>
      <c r="AF265" s="1222"/>
      <c r="AG265" s="1221">
        <f>SUM(AG260:AG264)</f>
        <v>335635.81</v>
      </c>
      <c r="AH265" s="1221"/>
      <c r="AI265" s="1221"/>
      <c r="AJ265" s="1221"/>
      <c r="AK265" s="1221">
        <f>SUM(AK260:AK264)</f>
        <v>426965</v>
      </c>
      <c r="AL265" s="1221"/>
      <c r="AM265" s="1221">
        <f>SUM(AM260:AM264)</f>
        <v>276505.5</v>
      </c>
      <c r="AN265" s="1221"/>
      <c r="AO265" s="1221"/>
      <c r="AP265" s="1221"/>
      <c r="AQ265" s="1221">
        <f>SUM(AQ260:AQ264)</f>
        <v>419677</v>
      </c>
      <c r="AR265" s="1220"/>
      <c r="AS265" s="1220"/>
      <c r="AT265" s="1220"/>
      <c r="AU265" s="1220"/>
      <c r="AV265" s="1224">
        <f t="shared" ref="AV265:AZ265" si="992">SUM(AV260:AV264)</f>
        <v>425013</v>
      </c>
      <c r="AW265" s="1224">
        <f t="shared" si="992"/>
        <v>434491</v>
      </c>
      <c r="AX265" s="1224">
        <f t="shared" si="992"/>
        <v>439136</v>
      </c>
      <c r="AY265" s="1224">
        <f t="shared" si="992"/>
        <v>453856</v>
      </c>
      <c r="AZ265" s="1224">
        <f t="shared" si="992"/>
        <v>458657</v>
      </c>
    </row>
    <row r="266" spans="1:156" x14ac:dyDescent="0.3">
      <c r="A266" s="1220"/>
      <c r="B266" s="1220"/>
      <c r="C266" s="1221"/>
      <c r="D266" s="1221"/>
      <c r="E266" s="1221"/>
      <c r="F266" s="1221"/>
      <c r="G266" s="1221"/>
      <c r="H266" s="1221"/>
      <c r="I266" s="1221"/>
      <c r="J266" s="1221"/>
      <c r="K266" s="1221"/>
      <c r="L266" s="1221"/>
      <c r="M266" s="1221"/>
      <c r="N266" s="1221"/>
      <c r="O266" s="1221"/>
      <c r="P266" s="1221"/>
      <c r="Q266" s="1221"/>
      <c r="R266" s="1221"/>
      <c r="S266" s="1221"/>
      <c r="T266" s="1221"/>
      <c r="U266" s="1221"/>
      <c r="V266" s="1221"/>
      <c r="W266" s="1221"/>
      <c r="X266" s="1221"/>
      <c r="Y266" s="1221"/>
      <c r="Z266" s="1221"/>
      <c r="AA266" s="1221"/>
      <c r="AB266" s="1222"/>
      <c r="AC266" s="1221"/>
      <c r="AD266" s="1221"/>
      <c r="AE266" s="1221"/>
      <c r="AF266" s="1222"/>
      <c r="AG266" s="1221"/>
      <c r="AH266" s="1221"/>
      <c r="AI266" s="1221"/>
      <c r="AJ266" s="1221"/>
      <c r="AK266" s="1221"/>
      <c r="AL266" s="1221"/>
      <c r="AM266" s="1221"/>
      <c r="AN266" s="1221"/>
      <c r="AO266" s="1221"/>
      <c r="AP266" s="1221"/>
      <c r="AQ266" s="1221"/>
      <c r="AR266" s="1220"/>
      <c r="AS266" s="1220"/>
      <c r="AT266" s="1220"/>
      <c r="AU266" s="1220"/>
      <c r="AV266" s="1224"/>
      <c r="AW266" s="1224"/>
      <c r="AX266" s="1224"/>
      <c r="AY266" s="1224"/>
      <c r="AZ266" s="1224"/>
    </row>
    <row r="267" spans="1:156" x14ac:dyDescent="0.3">
      <c r="A267" s="1220" t="s">
        <v>2256</v>
      </c>
      <c r="B267" s="1220"/>
      <c r="C267" s="1221"/>
      <c r="D267" s="1221"/>
      <c r="E267" s="1221"/>
      <c r="F267" s="1221"/>
      <c r="G267" s="1221"/>
      <c r="H267" s="1221"/>
      <c r="I267" s="1221"/>
      <c r="J267" s="1221"/>
      <c r="K267" s="1221"/>
      <c r="L267" s="1221"/>
      <c r="M267" s="1221"/>
      <c r="N267" s="1221"/>
      <c r="O267" s="1221"/>
      <c r="P267" s="1221"/>
      <c r="Q267" s="1221"/>
      <c r="R267" s="1221"/>
      <c r="S267" s="1221"/>
      <c r="T267" s="1221"/>
      <c r="U267" s="1221"/>
      <c r="V267" s="1221"/>
      <c r="W267" s="1221"/>
      <c r="X267" s="1221"/>
      <c r="Y267" s="1221"/>
      <c r="Z267" s="1221"/>
      <c r="AA267" s="1221"/>
      <c r="AB267" s="1222"/>
      <c r="AC267" s="1221"/>
      <c r="AD267" s="1221"/>
      <c r="AE267" s="1221"/>
      <c r="AF267" s="1222"/>
      <c r="AG267" s="1221"/>
      <c r="AH267" s="1221"/>
      <c r="AI267" s="1221"/>
      <c r="AJ267" s="1221"/>
      <c r="AK267" s="1221"/>
      <c r="AL267" s="1221"/>
      <c r="AM267" s="1221"/>
      <c r="AN267" s="1221"/>
      <c r="AO267" s="1221"/>
      <c r="AP267" s="1221"/>
      <c r="AQ267" s="1221"/>
      <c r="AR267" s="1220"/>
      <c r="AS267" s="1220"/>
      <c r="AT267" s="1220"/>
      <c r="AU267" s="1220"/>
      <c r="AV267" s="1224"/>
      <c r="AW267" s="1224"/>
      <c r="AX267" s="1224"/>
      <c r="AY267" s="1224"/>
      <c r="AZ267" s="1224"/>
    </row>
    <row r="268" spans="1:156" x14ac:dyDescent="0.3">
      <c r="A268" s="1220"/>
      <c r="B268" s="1220" t="s">
        <v>2218</v>
      </c>
      <c r="C268" s="1229">
        <f>ROUND((+C260/C265),4)</f>
        <v>0.38240000000000002</v>
      </c>
      <c r="D268" s="1229">
        <f>ROUND((+D260/D265),4)</f>
        <v>0.40649999999999997</v>
      </c>
      <c r="E268" s="1221"/>
      <c r="F268" s="1229">
        <f t="shared" ref="F268:G268" si="993">ROUND((+F260/F265),4)</f>
        <v>0.43120000000000003</v>
      </c>
      <c r="G268" s="1229">
        <f t="shared" si="993"/>
        <v>0.43130000000000002</v>
      </c>
      <c r="H268" s="1221"/>
      <c r="I268" s="1229">
        <f t="shared" ref="I268:J268" si="994">ROUND((+I260/I265),4)</f>
        <v>0.44059999999999999</v>
      </c>
      <c r="J268" s="1229">
        <f t="shared" si="994"/>
        <v>0.46779999999999999</v>
      </c>
      <c r="K268" s="1221"/>
      <c r="L268" s="1229">
        <f t="shared" ref="L268:M268" si="995">ROUND((+L260/L265),4)</f>
        <v>0.42699999999999999</v>
      </c>
      <c r="M268" s="1229">
        <f t="shared" si="995"/>
        <v>0.3453</v>
      </c>
      <c r="N268" s="1221"/>
      <c r="O268" s="1229">
        <f>ROUND((+O260/O265),4)</f>
        <v>0.43590000000000001</v>
      </c>
      <c r="P268" s="1229">
        <f>ROUND((+P260/P265),4)</f>
        <v>0.40479999999999999</v>
      </c>
      <c r="Q268" s="1221"/>
      <c r="R268" s="1229">
        <f t="shared" ref="R268:S268" si="996">ROUND((+R260/R265),4)</f>
        <v>0.45579999999999998</v>
      </c>
      <c r="S268" s="1229">
        <f t="shared" si="996"/>
        <v>0.45760000000000001</v>
      </c>
      <c r="T268" s="1221"/>
      <c r="U268" s="1229">
        <f t="shared" ref="U268:V268" si="997">ROUND((+U260/U265),4)</f>
        <v>0.49059999999999998</v>
      </c>
      <c r="V268" s="1229">
        <f t="shared" si="997"/>
        <v>0.38419999999999999</v>
      </c>
      <c r="W268" s="1221"/>
      <c r="X268" s="1229">
        <f t="shared" ref="X268:Y268" si="998">ROUND((+X260/X265),4)</f>
        <v>0.44159999999999999</v>
      </c>
      <c r="Y268" s="1229">
        <f t="shared" si="998"/>
        <v>0.34010000000000001</v>
      </c>
      <c r="Z268" s="1221"/>
      <c r="AA268" s="1229">
        <f>ROUND((+AA260/AA265),4)</f>
        <v>0.37940000000000002</v>
      </c>
      <c r="AB268" s="1222"/>
      <c r="AC268" s="1229">
        <f>ROUND((+AC260/AC265),4)</f>
        <v>0.4093</v>
      </c>
      <c r="AD268" s="1221"/>
      <c r="AE268" s="1229">
        <f>ROUND((+AE260/AE265),4)</f>
        <v>0.30869999999999997</v>
      </c>
      <c r="AF268" s="1222"/>
      <c r="AG268" s="1229">
        <f>ROUND((+AG260/AG265),4)</f>
        <v>0.29930000000000001</v>
      </c>
      <c r="AH268" s="1221"/>
      <c r="AI268" s="1221"/>
      <c r="AJ268" s="1221"/>
      <c r="AK268" s="1229">
        <f>ROUND((+AK260/AK265),4)</f>
        <v>0.32340000000000002</v>
      </c>
      <c r="AL268" s="1221"/>
      <c r="AM268" s="1229">
        <f>ROUND((+AM260/AM265),4)</f>
        <v>0.2354</v>
      </c>
      <c r="AN268" s="1221"/>
      <c r="AO268" s="1221"/>
      <c r="AP268" s="1221"/>
      <c r="AQ268" s="1229">
        <f>ROUND((+AQ260/AQ265),4)</f>
        <v>0.3246</v>
      </c>
      <c r="AR268" s="1220"/>
      <c r="AS268" s="1220"/>
      <c r="AT268" s="1220"/>
      <c r="AU268" s="1220"/>
      <c r="AV268" s="1230">
        <f t="shared" ref="AV268:AZ268" si="999">ROUND((+AV260/AV265),4)</f>
        <v>0.32790000000000002</v>
      </c>
      <c r="AW268" s="1229">
        <f t="shared" si="999"/>
        <v>0.3281</v>
      </c>
      <c r="AX268" s="1229">
        <f t="shared" si="999"/>
        <v>0.33210000000000001</v>
      </c>
      <c r="AY268" s="1229">
        <f t="shared" si="999"/>
        <v>0.32879999999999998</v>
      </c>
      <c r="AZ268" s="1229">
        <f t="shared" si="999"/>
        <v>0.33279999999999998</v>
      </c>
    </row>
    <row r="269" spans="1:156" x14ac:dyDescent="0.3">
      <c r="A269" s="1220"/>
      <c r="B269" s="1220" t="s">
        <v>1869</v>
      </c>
      <c r="C269" s="1229">
        <f>ROUND((+C261/C265),4)</f>
        <v>0.61760000000000004</v>
      </c>
      <c r="D269" s="1229">
        <f>ROUND((+D261/D265),4)</f>
        <v>0.59350000000000003</v>
      </c>
      <c r="E269" s="1221"/>
      <c r="F269" s="1229">
        <f t="shared" ref="F269:G269" si="1000">ROUND((+F261/F265),4)</f>
        <v>0.56879999999999997</v>
      </c>
      <c r="G269" s="1229">
        <f t="shared" si="1000"/>
        <v>0.56869999999999998</v>
      </c>
      <c r="H269" s="1221"/>
      <c r="I269" s="1229">
        <f t="shared" ref="I269:J269" si="1001">ROUND((+I261/I265),4)</f>
        <v>0.55940000000000001</v>
      </c>
      <c r="J269" s="1229">
        <f t="shared" si="1001"/>
        <v>0.53220000000000001</v>
      </c>
      <c r="K269" s="1221"/>
      <c r="L269" s="1229">
        <f t="shared" ref="L269:M269" si="1002">ROUND((+L261/L265),4)</f>
        <v>0.57299999999999995</v>
      </c>
      <c r="M269" s="1229">
        <f t="shared" si="1002"/>
        <v>0.65469999999999995</v>
      </c>
      <c r="N269" s="1221"/>
      <c r="O269" s="1229">
        <f>ROUND((+O261/O265),4)</f>
        <v>0.56410000000000005</v>
      </c>
      <c r="P269" s="1229">
        <f>ROUND((+P261/P265),4)</f>
        <v>0.59519999999999995</v>
      </c>
      <c r="Q269" s="1221"/>
      <c r="R269" s="1229">
        <f t="shared" ref="R269:S269" si="1003">ROUND((+R261/R265),4)</f>
        <v>0.54420000000000002</v>
      </c>
      <c r="S269" s="1229">
        <f t="shared" si="1003"/>
        <v>0.54239999999999999</v>
      </c>
      <c r="T269" s="1221"/>
      <c r="U269" s="1229">
        <f t="shared" ref="U269:V269" si="1004">ROUND((+U261/U265),4)</f>
        <v>0.50939999999999996</v>
      </c>
      <c r="V269" s="1229">
        <f t="shared" si="1004"/>
        <v>0.61580000000000001</v>
      </c>
      <c r="W269" s="1221"/>
      <c r="X269" s="1229">
        <f t="shared" ref="X269:Y269" si="1005">ROUND((+X261/X265),4)</f>
        <v>0.55840000000000001</v>
      </c>
      <c r="Y269" s="1229">
        <f t="shared" si="1005"/>
        <v>0.65990000000000004</v>
      </c>
      <c r="Z269" s="1221"/>
      <c r="AA269" s="1229">
        <f>ROUND((+AA261/AA265),4)</f>
        <v>0.56640000000000001</v>
      </c>
      <c r="AB269" s="1222"/>
      <c r="AC269" s="1229">
        <f>ROUND((+AC261/AC265),4)</f>
        <v>0.5756</v>
      </c>
      <c r="AD269" s="1221"/>
      <c r="AE269" s="1229">
        <f>ROUND((+AE261/AE265),4)</f>
        <v>0.30330000000000001</v>
      </c>
      <c r="AF269" s="1222"/>
      <c r="AG269" s="1229">
        <f>ROUND((+AG261/AG265),4)</f>
        <v>0.33100000000000002</v>
      </c>
      <c r="AH269" s="1221"/>
      <c r="AI269" s="1221"/>
      <c r="AJ269" s="1221"/>
      <c r="AK269" s="1229">
        <f>ROUND((+AK261/AK265),4)</f>
        <v>0.32050000000000001</v>
      </c>
      <c r="AL269" s="1221"/>
      <c r="AM269" s="1229">
        <f>ROUND((+AM261/AM265),4)</f>
        <v>0.3453</v>
      </c>
      <c r="AN269" s="1221"/>
      <c r="AO269" s="1221"/>
      <c r="AP269" s="1221"/>
      <c r="AQ269" s="1229">
        <f>ROUND((+AQ261/AQ265),4)</f>
        <v>0.28360000000000002</v>
      </c>
      <c r="AR269" s="1220"/>
      <c r="AS269" s="1220"/>
      <c r="AT269" s="1220"/>
      <c r="AU269" s="1220"/>
      <c r="AV269" s="1230">
        <f t="shared" ref="AV269:AZ269" si="1006">ROUND((+AV261/AV265),4)</f>
        <v>0.28639999999999999</v>
      </c>
      <c r="AW269" s="1229">
        <f t="shared" si="1006"/>
        <v>0.28660000000000002</v>
      </c>
      <c r="AX269" s="1229">
        <f t="shared" si="1006"/>
        <v>0.29010000000000002</v>
      </c>
      <c r="AY269" s="1229">
        <f t="shared" si="1006"/>
        <v>0.28720000000000001</v>
      </c>
      <c r="AZ269" s="1229">
        <f t="shared" si="1006"/>
        <v>0.29070000000000001</v>
      </c>
    </row>
    <row r="270" spans="1:156" x14ac:dyDescent="0.3">
      <c r="A270" s="1220"/>
      <c r="B270" s="1220" t="s">
        <v>2221</v>
      </c>
      <c r="C270" s="1229">
        <f>ROUND((+C262/C265),4)</f>
        <v>0</v>
      </c>
      <c r="D270" s="1229">
        <f>ROUND((+D262/D265),4)</f>
        <v>0</v>
      </c>
      <c r="E270" s="1221"/>
      <c r="F270" s="1229">
        <f t="shared" ref="F270:G270" si="1007">ROUND((+F262/F265),4)</f>
        <v>0</v>
      </c>
      <c r="G270" s="1229">
        <f t="shared" si="1007"/>
        <v>0</v>
      </c>
      <c r="H270" s="1221"/>
      <c r="I270" s="1229">
        <f t="shared" ref="I270:J270" si="1008">ROUND((+I262/I265),4)</f>
        <v>0</v>
      </c>
      <c r="J270" s="1229">
        <f t="shared" si="1008"/>
        <v>0</v>
      </c>
      <c r="K270" s="1221"/>
      <c r="L270" s="1229">
        <f t="shared" ref="L270:M270" si="1009">ROUND((+L262/L265),4)</f>
        <v>0</v>
      </c>
      <c r="M270" s="1229">
        <f t="shared" si="1009"/>
        <v>0</v>
      </c>
      <c r="N270" s="1221"/>
      <c r="O270" s="1229">
        <f>ROUND((+O262/O265),4)</f>
        <v>0</v>
      </c>
      <c r="P270" s="1229">
        <f>ROUND((+P262/P265),4)</f>
        <v>0</v>
      </c>
      <c r="Q270" s="1221"/>
      <c r="R270" s="1229">
        <f t="shared" ref="R270:S270" si="1010">ROUND((+R262/R265),4)</f>
        <v>0</v>
      </c>
      <c r="S270" s="1229">
        <f t="shared" si="1010"/>
        <v>0</v>
      </c>
      <c r="T270" s="1221"/>
      <c r="U270" s="1229">
        <f t="shared" ref="U270:V270" si="1011">ROUND((+U262/U265),4)</f>
        <v>0</v>
      </c>
      <c r="V270" s="1229">
        <f t="shared" si="1011"/>
        <v>0</v>
      </c>
      <c r="W270" s="1221"/>
      <c r="X270" s="1229">
        <f t="shared" ref="X270:Y270" si="1012">ROUND((+X262/X265),4)</f>
        <v>0</v>
      </c>
      <c r="Y270" s="1229">
        <f t="shared" si="1012"/>
        <v>0</v>
      </c>
      <c r="Z270" s="1221"/>
      <c r="AA270" s="1229">
        <f>ROUND((+AA262/AA265),4)</f>
        <v>0</v>
      </c>
      <c r="AB270" s="1222"/>
      <c r="AC270" s="1229">
        <f>ROUND((+AC262/AC265),4)</f>
        <v>0</v>
      </c>
      <c r="AD270" s="1221"/>
      <c r="AE270" s="1229">
        <f>ROUND((+AE262/AE265),4)</f>
        <v>0</v>
      </c>
      <c r="AF270" s="1222"/>
      <c r="AG270" s="1229">
        <f>ROUND((+AG262/AG265),4)</f>
        <v>0</v>
      </c>
      <c r="AH270" s="1221"/>
      <c r="AI270" s="1221"/>
      <c r="AJ270" s="1221"/>
      <c r="AK270" s="1229">
        <f>ROUND((+AK262/AK265),4)</f>
        <v>2.3400000000000001E-2</v>
      </c>
      <c r="AL270" s="1221"/>
      <c r="AM270" s="1229">
        <f>ROUND((+AM262/AM265),4)</f>
        <v>0</v>
      </c>
      <c r="AN270" s="1221"/>
      <c r="AO270" s="1221"/>
      <c r="AP270" s="1221"/>
      <c r="AQ270" s="1229">
        <f>ROUND((+AQ262/AQ265),4)</f>
        <v>0</v>
      </c>
      <c r="AR270" s="1220"/>
      <c r="AS270" s="1220"/>
      <c r="AT270" s="1220"/>
      <c r="AU270" s="1220"/>
      <c r="AV270" s="1230">
        <f t="shared" ref="AV270:AZ270" si="1013">ROUND((+AV262/AV265),4)</f>
        <v>0</v>
      </c>
      <c r="AW270" s="1229">
        <f t="shared" si="1013"/>
        <v>0</v>
      </c>
      <c r="AX270" s="1229">
        <f t="shared" si="1013"/>
        <v>0</v>
      </c>
      <c r="AY270" s="1229">
        <f t="shared" si="1013"/>
        <v>0</v>
      </c>
      <c r="AZ270" s="1229">
        <f t="shared" si="1013"/>
        <v>0</v>
      </c>
    </row>
    <row r="271" spans="1:156" x14ac:dyDescent="0.3">
      <c r="A271" s="1220"/>
      <c r="B271" s="1220" t="s">
        <v>1343</v>
      </c>
      <c r="C271" s="1229">
        <f>ROUND((+C263/C265),4)</f>
        <v>0</v>
      </c>
      <c r="D271" s="1229">
        <f>ROUND((+D263/D265),4)</f>
        <v>0</v>
      </c>
      <c r="E271" s="1221"/>
      <c r="F271" s="1229">
        <f t="shared" ref="F271:G271" si="1014">ROUND((+F263/F265),4)</f>
        <v>0</v>
      </c>
      <c r="G271" s="1229">
        <f t="shared" si="1014"/>
        <v>0</v>
      </c>
      <c r="H271" s="1221"/>
      <c r="I271" s="1229">
        <f t="shared" ref="I271:J271" si="1015">ROUND((+I263/I265),4)</f>
        <v>0</v>
      </c>
      <c r="J271" s="1229">
        <f t="shared" si="1015"/>
        <v>0</v>
      </c>
      <c r="K271" s="1221"/>
      <c r="L271" s="1229">
        <f t="shared" ref="L271:M271" si="1016">ROUND((+L263/L265),4)</f>
        <v>0</v>
      </c>
      <c r="M271" s="1229">
        <f t="shared" si="1016"/>
        <v>0</v>
      </c>
      <c r="N271" s="1221"/>
      <c r="O271" s="1229">
        <f>ROUND((+O263/O265),4)</f>
        <v>0</v>
      </c>
      <c r="P271" s="1229">
        <f>ROUND((+P263/P265),4)</f>
        <v>0</v>
      </c>
      <c r="Q271" s="1221"/>
      <c r="R271" s="1229">
        <f t="shared" ref="R271:S271" si="1017">ROUND((+R263/R265),4)</f>
        <v>0</v>
      </c>
      <c r="S271" s="1229">
        <f t="shared" si="1017"/>
        <v>0</v>
      </c>
      <c r="T271" s="1221"/>
      <c r="U271" s="1229">
        <f t="shared" ref="U271:V271" si="1018">ROUND((+U263/U265),4)</f>
        <v>0</v>
      </c>
      <c r="V271" s="1229">
        <f t="shared" si="1018"/>
        <v>0</v>
      </c>
      <c r="W271" s="1221"/>
      <c r="X271" s="1229">
        <f t="shared" ref="X271:Y271" si="1019">ROUND((+X263/X265),4)</f>
        <v>0</v>
      </c>
      <c r="Y271" s="1229">
        <f t="shared" si="1019"/>
        <v>0</v>
      </c>
      <c r="Z271" s="1221"/>
      <c r="AA271" s="1229">
        <f>ROUND((+AA263/AA265),4)</f>
        <v>1.44E-2</v>
      </c>
      <c r="AB271" s="1222"/>
      <c r="AC271" s="1229">
        <f>ROUND((+AC263/AC265),4)</f>
        <v>1.5100000000000001E-2</v>
      </c>
      <c r="AD271" s="1221"/>
      <c r="AE271" s="1229">
        <f>ROUND((+AE263/AE265),4)</f>
        <v>0.29210000000000003</v>
      </c>
      <c r="AF271" s="1222"/>
      <c r="AG271" s="1229">
        <f>ROUND((+AG263/AG265),4)</f>
        <v>0.30130000000000001</v>
      </c>
      <c r="AH271" s="1221"/>
      <c r="AI271" s="1221"/>
      <c r="AJ271" s="1221"/>
      <c r="AK271" s="1229">
        <f>ROUND((+AK263/AK265),4)</f>
        <v>0.23780000000000001</v>
      </c>
      <c r="AL271" s="1221"/>
      <c r="AM271" s="1229">
        <f>ROUND((+AM263/AM265),4)</f>
        <v>0.30719999999999997</v>
      </c>
      <c r="AN271" s="1221"/>
      <c r="AO271" s="1221"/>
      <c r="AP271" s="1221"/>
      <c r="AQ271" s="1229">
        <f>ROUND((+AQ263/AQ265),4)</f>
        <v>0.24490000000000001</v>
      </c>
      <c r="AR271" s="1220"/>
      <c r="AS271" s="1220"/>
      <c r="AT271" s="1220"/>
      <c r="AU271" s="1220"/>
      <c r="AV271" s="1230">
        <f t="shared" ref="AV271:AZ271" si="1020">ROUND((+AV263/AV265),4)</f>
        <v>0.2351</v>
      </c>
      <c r="AW271" s="1229">
        <f t="shared" si="1020"/>
        <v>0.23250000000000001</v>
      </c>
      <c r="AX271" s="1229">
        <f t="shared" si="1020"/>
        <v>0.221</v>
      </c>
      <c r="AY271" s="1229">
        <f t="shared" si="1020"/>
        <v>0.22670000000000001</v>
      </c>
      <c r="AZ271" s="1229">
        <f t="shared" si="1020"/>
        <v>0.215</v>
      </c>
    </row>
    <row r="272" spans="1:156" x14ac:dyDescent="0.3">
      <c r="A272" s="1225"/>
      <c r="B272" s="1225" t="s">
        <v>2220</v>
      </c>
      <c r="C272" s="1231">
        <f>ROUND((+C264/C265),4)</f>
        <v>0</v>
      </c>
      <c r="D272" s="1231">
        <f>ROUND((+D264/D265),4)</f>
        <v>0</v>
      </c>
      <c r="E272" s="1221"/>
      <c r="F272" s="1231">
        <f t="shared" ref="F272:G272" si="1021">ROUND((+F264/F265),4)</f>
        <v>0</v>
      </c>
      <c r="G272" s="1231">
        <f t="shared" si="1021"/>
        <v>0</v>
      </c>
      <c r="H272" s="1221"/>
      <c r="I272" s="1231">
        <f t="shared" ref="I272:J272" si="1022">ROUND((+I264/I265),4)</f>
        <v>0</v>
      </c>
      <c r="J272" s="1231">
        <f t="shared" si="1022"/>
        <v>0</v>
      </c>
      <c r="K272" s="1221"/>
      <c r="L272" s="1231">
        <f t="shared" ref="L272:M272" si="1023">ROUND((+L264/L265),4)</f>
        <v>0</v>
      </c>
      <c r="M272" s="1231">
        <f t="shared" si="1023"/>
        <v>0</v>
      </c>
      <c r="N272" s="1221"/>
      <c r="O272" s="1231">
        <f>ROUND((+O264/O265),4)</f>
        <v>0</v>
      </c>
      <c r="P272" s="1231">
        <f>ROUND((+P264/P265),4)</f>
        <v>0</v>
      </c>
      <c r="Q272" s="1221"/>
      <c r="R272" s="1231">
        <f t="shared" ref="R272:S272" si="1024">ROUND((+R264/R265),4)</f>
        <v>0</v>
      </c>
      <c r="S272" s="1231">
        <f t="shared" si="1024"/>
        <v>0</v>
      </c>
      <c r="T272" s="1221"/>
      <c r="U272" s="1231">
        <f t="shared" ref="U272:V272" si="1025">ROUND((+U264/U265),4)</f>
        <v>0</v>
      </c>
      <c r="V272" s="1231">
        <f t="shared" si="1025"/>
        <v>0</v>
      </c>
      <c r="W272" s="1221"/>
      <c r="X272" s="1231">
        <f t="shared" ref="X272:Y272" si="1026">ROUND((+X264/X265),4)</f>
        <v>0</v>
      </c>
      <c r="Y272" s="1231">
        <f t="shared" si="1026"/>
        <v>0</v>
      </c>
      <c r="Z272" s="1221"/>
      <c r="AA272" s="1231">
        <f>ROUND((+AA264/AA265),4)</f>
        <v>3.9800000000000002E-2</v>
      </c>
      <c r="AB272" s="1222"/>
      <c r="AC272" s="1231">
        <f>ROUND((+AC264/AC265),4)</f>
        <v>0</v>
      </c>
      <c r="AD272" s="1221"/>
      <c r="AE272" s="1231">
        <f>ROUND((+AE264/AE265),4)</f>
        <v>9.5899999999999999E-2</v>
      </c>
      <c r="AF272" s="1222"/>
      <c r="AG272" s="1231">
        <f>ROUND((+AG264/AG265),4)</f>
        <v>6.8500000000000005E-2</v>
      </c>
      <c r="AH272" s="1221"/>
      <c r="AI272" s="1221"/>
      <c r="AJ272" s="1221"/>
      <c r="AK272" s="1231">
        <f>ROUND((+AK264/AK265),4)</f>
        <v>9.4899999999999998E-2</v>
      </c>
      <c r="AL272" s="1221"/>
      <c r="AM272" s="1231">
        <f>ROUND((+AM264/AM265),4)</f>
        <v>0.11210000000000001</v>
      </c>
      <c r="AN272" s="1221"/>
      <c r="AO272" s="1221"/>
      <c r="AP272" s="1221"/>
      <c r="AQ272" s="1231">
        <f>ROUND((+AQ264/AQ265),4)</f>
        <v>0.1469</v>
      </c>
      <c r="AR272" s="1220"/>
      <c r="AS272" s="1220"/>
      <c r="AT272" s="1220"/>
      <c r="AU272" s="1220"/>
      <c r="AV272" s="1232">
        <f t="shared" ref="AV272:AZ272" si="1027">ROUND((+AV264/AV265),4)</f>
        <v>0.15049999999999999</v>
      </c>
      <c r="AW272" s="1231">
        <f t="shared" si="1027"/>
        <v>0.1527</v>
      </c>
      <c r="AX272" s="1231">
        <f t="shared" si="1027"/>
        <v>0.15679999999999999</v>
      </c>
      <c r="AY272" s="1231">
        <f t="shared" si="1027"/>
        <v>0.15740000000000001</v>
      </c>
      <c r="AZ272" s="1231">
        <f t="shared" si="1027"/>
        <v>0.1615</v>
      </c>
    </row>
    <row r="273" spans="1:156" x14ac:dyDescent="0.3">
      <c r="A273" s="1220"/>
      <c r="B273" s="1220" t="s">
        <v>887</v>
      </c>
      <c r="C273" s="1229">
        <f>SUM(C268:C272)</f>
        <v>1</v>
      </c>
      <c r="D273" s="1229">
        <f>SUM(D268:D272)</f>
        <v>1</v>
      </c>
      <c r="E273" s="1221"/>
      <c r="F273" s="1229">
        <f t="shared" ref="F273:G273" si="1028">SUM(F268:F272)</f>
        <v>1</v>
      </c>
      <c r="G273" s="1229">
        <f t="shared" si="1028"/>
        <v>1</v>
      </c>
      <c r="H273" s="1221"/>
      <c r="I273" s="1229">
        <f t="shared" ref="I273:J273" si="1029">SUM(I268:I272)</f>
        <v>1</v>
      </c>
      <c r="J273" s="1229">
        <f t="shared" si="1029"/>
        <v>1</v>
      </c>
      <c r="K273" s="1221"/>
      <c r="L273" s="1229">
        <f t="shared" ref="L273:M273" si="1030">SUM(L268:L272)</f>
        <v>1</v>
      </c>
      <c r="M273" s="1229">
        <f t="shared" si="1030"/>
        <v>1</v>
      </c>
      <c r="N273" s="1221"/>
      <c r="O273" s="1229">
        <f>SUM(O268:O272)</f>
        <v>1</v>
      </c>
      <c r="P273" s="1229">
        <f>SUM(P268:P272)</f>
        <v>1</v>
      </c>
      <c r="Q273" s="1221"/>
      <c r="R273" s="1229">
        <f t="shared" ref="R273:S273" si="1031">SUM(R268:R272)</f>
        <v>1</v>
      </c>
      <c r="S273" s="1229">
        <f t="shared" si="1031"/>
        <v>1</v>
      </c>
      <c r="T273" s="1221"/>
      <c r="U273" s="1229">
        <f t="shared" ref="U273:V273" si="1032">SUM(U268:U272)</f>
        <v>1</v>
      </c>
      <c r="V273" s="1229">
        <f t="shared" si="1032"/>
        <v>1</v>
      </c>
      <c r="W273" s="1221"/>
      <c r="X273" s="1229">
        <f t="shared" ref="X273:Y273" si="1033">SUM(X268:X272)</f>
        <v>1</v>
      </c>
      <c r="Y273" s="1229">
        <f t="shared" si="1033"/>
        <v>1</v>
      </c>
      <c r="Z273" s="1221"/>
      <c r="AA273" s="1229">
        <f>SUM(AA268:AA272)</f>
        <v>1</v>
      </c>
      <c r="AB273" s="1222"/>
      <c r="AC273" s="1229">
        <f>SUM(AC268:AC272)</f>
        <v>1</v>
      </c>
      <c r="AD273" s="1221"/>
      <c r="AE273" s="1229">
        <f>SUM(AE268:AE272)</f>
        <v>1</v>
      </c>
      <c r="AF273" s="1222"/>
      <c r="AG273" s="1229">
        <f>SUM(AG268:AG272)</f>
        <v>1.0001000000000002</v>
      </c>
      <c r="AH273" s="1221"/>
      <c r="AI273" s="1221"/>
      <c r="AJ273" s="1221"/>
      <c r="AK273" s="1229">
        <f>SUM(AK268:AK272)</f>
        <v>1</v>
      </c>
      <c r="AL273" s="1221"/>
      <c r="AM273" s="1229">
        <f>SUM(AM268:AM272)</f>
        <v>0.99999999999999989</v>
      </c>
      <c r="AN273" s="1221"/>
      <c r="AO273" s="1221"/>
      <c r="AP273" s="1221"/>
      <c r="AQ273" s="1229">
        <f>SUM(AQ268:AQ272)</f>
        <v>1</v>
      </c>
      <c r="AR273" s="1220"/>
      <c r="AS273" s="1220"/>
      <c r="AT273" s="1220"/>
      <c r="AU273" s="1220"/>
      <c r="AV273" s="1230">
        <f t="shared" ref="AV273:AZ273" si="1034">SUM(AV268:AV272)</f>
        <v>0.99990000000000001</v>
      </c>
      <c r="AW273" s="1229">
        <f t="shared" si="1034"/>
        <v>0.99990000000000001</v>
      </c>
      <c r="AX273" s="1229">
        <f t="shared" si="1034"/>
        <v>1</v>
      </c>
      <c r="AY273" s="1229">
        <f t="shared" si="1034"/>
        <v>1.0001</v>
      </c>
      <c r="AZ273" s="1229">
        <f t="shared" si="1034"/>
        <v>0.99999999999999989</v>
      </c>
    </row>
    <row r="274" spans="1:156" x14ac:dyDescent="0.3">
      <c r="A274" s="1220"/>
      <c r="B274" s="1220"/>
      <c r="C274" s="1221"/>
      <c r="D274" s="1221"/>
      <c r="E274" s="1221"/>
      <c r="F274" s="1221"/>
      <c r="G274" s="1221"/>
      <c r="H274" s="1221"/>
      <c r="I274" s="1221"/>
      <c r="J274" s="1221"/>
      <c r="K274" s="1221"/>
      <c r="L274" s="1221"/>
      <c r="M274" s="1221"/>
      <c r="N274" s="1221"/>
      <c r="O274" s="1221"/>
      <c r="P274" s="1221"/>
      <c r="Q274" s="1221"/>
      <c r="R274" s="1221"/>
      <c r="S274" s="1221"/>
      <c r="T274" s="1221"/>
      <c r="U274" s="1221"/>
      <c r="V274" s="1221"/>
      <c r="W274" s="1221"/>
      <c r="X274" s="1221"/>
      <c r="Y274" s="1221"/>
      <c r="Z274" s="1221"/>
      <c r="AA274" s="1221"/>
      <c r="AB274" s="1222"/>
      <c r="AC274" s="1221"/>
      <c r="AD274" s="1221"/>
      <c r="AE274" s="1221"/>
      <c r="AF274" s="1222"/>
      <c r="AG274" s="1221"/>
      <c r="AH274" s="1221"/>
      <c r="AI274" s="1221"/>
      <c r="AJ274" s="1221"/>
      <c r="AK274" s="1221"/>
      <c r="AL274" s="1221"/>
      <c r="AM274" s="1221"/>
      <c r="AN274" s="1221"/>
      <c r="AO274" s="1221"/>
      <c r="AP274" s="1221"/>
      <c r="AQ274" s="1221"/>
      <c r="AR274" s="1220"/>
      <c r="AS274" s="1220"/>
      <c r="AT274" s="1220"/>
      <c r="AU274" s="1220"/>
      <c r="AV274" s="1224"/>
      <c r="AW274" s="1224"/>
      <c r="AX274" s="1224"/>
      <c r="AY274" s="1224"/>
      <c r="AZ274" s="1224"/>
    </row>
    <row r="275" spans="1:156" x14ac:dyDescent="0.3">
      <c r="A275" s="1220"/>
      <c r="B275" s="1220"/>
      <c r="C275" s="1221"/>
      <c r="D275" s="1221"/>
      <c r="E275" s="1221"/>
      <c r="F275" s="1221"/>
      <c r="G275" s="1221"/>
      <c r="H275" s="1221"/>
      <c r="I275" s="1221"/>
      <c r="J275" s="1221"/>
      <c r="K275" s="1221"/>
      <c r="L275" s="1221"/>
      <c r="M275" s="1221"/>
      <c r="N275" s="1221"/>
      <c r="O275" s="1221"/>
      <c r="P275" s="1221"/>
      <c r="Q275" s="1221"/>
      <c r="R275" s="1221"/>
      <c r="S275" s="1221"/>
      <c r="T275" s="1221"/>
      <c r="U275" s="1221"/>
      <c r="V275" s="1221"/>
      <c r="W275" s="1221"/>
      <c r="X275" s="1221"/>
      <c r="Y275" s="1221"/>
      <c r="Z275" s="1221"/>
      <c r="AA275" s="1221"/>
      <c r="AB275" s="1222"/>
      <c r="AC275" s="1221"/>
      <c r="AD275" s="1221"/>
      <c r="AE275" s="1221"/>
      <c r="AF275" s="1222"/>
      <c r="AG275" s="1221"/>
      <c r="AH275" s="1221"/>
      <c r="AI275" s="1221"/>
      <c r="AJ275" s="1221"/>
      <c r="AK275" s="1221"/>
      <c r="AL275" s="1221"/>
      <c r="AM275" s="1221"/>
      <c r="AN275" s="1221"/>
      <c r="AO275" s="1221"/>
      <c r="AP275" s="1221"/>
      <c r="AQ275" s="1221"/>
      <c r="AR275" s="1220"/>
      <c r="AS275" s="1220"/>
      <c r="AT275" s="1220"/>
      <c r="AU275" s="1220"/>
      <c r="AV275" s="1224"/>
      <c r="AW275" s="1224"/>
      <c r="AX275" s="1224"/>
      <c r="AY275" s="1224"/>
      <c r="AZ275" s="1224"/>
    </row>
    <row r="276" spans="1:156" x14ac:dyDescent="0.3">
      <c r="A276" s="1220" t="s">
        <v>2253</v>
      </c>
      <c r="B276" s="1220"/>
      <c r="C276" s="1221"/>
      <c r="D276" s="1221"/>
      <c r="E276" s="1221"/>
      <c r="F276" s="1221"/>
      <c r="G276" s="1221"/>
      <c r="H276" s="1221"/>
      <c r="I276" s="1221"/>
      <c r="J276" s="1221"/>
      <c r="K276" s="1221"/>
      <c r="L276" s="1221"/>
      <c r="M276" s="1221"/>
      <c r="N276" s="1221"/>
      <c r="O276" s="1221"/>
      <c r="P276" s="1221"/>
      <c r="Q276" s="1221"/>
      <c r="R276" s="1221"/>
      <c r="S276" s="1221"/>
      <c r="T276" s="1221"/>
      <c r="U276" s="1221"/>
      <c r="V276" s="1221"/>
      <c r="W276" s="1221"/>
      <c r="X276" s="1221"/>
      <c r="Y276" s="1221"/>
      <c r="Z276" s="1221"/>
      <c r="AA276" s="1221"/>
      <c r="AB276" s="1222"/>
      <c r="AC276" s="1221"/>
      <c r="AD276" s="1221"/>
      <c r="AE276" s="1221"/>
      <c r="AF276" s="1222"/>
      <c r="AG276" s="1221"/>
      <c r="AH276" s="1221"/>
      <c r="AI276" s="1221"/>
      <c r="AJ276" s="1221"/>
      <c r="AK276" s="1221"/>
      <c r="AL276" s="1221"/>
      <c r="AM276" s="1221"/>
      <c r="AN276" s="1221"/>
      <c r="AO276" s="1221"/>
      <c r="AP276" s="1221"/>
      <c r="AQ276" s="1221"/>
      <c r="AR276" s="1220"/>
      <c r="AS276" s="1220"/>
      <c r="AT276" s="1220"/>
      <c r="AU276" s="1220"/>
      <c r="AV276" s="1224"/>
      <c r="AW276" s="1224"/>
      <c r="AX276" s="1224"/>
      <c r="AY276" s="1224"/>
      <c r="AZ276" s="1224"/>
    </row>
    <row r="277" spans="1:156" x14ac:dyDescent="0.3">
      <c r="A277" s="1220"/>
      <c r="B277" s="1220" t="s">
        <v>2218</v>
      </c>
      <c r="C277" s="1221">
        <f t="shared" ref="C277:D279" si="1035">+C213+C219</f>
        <v>353247.21</v>
      </c>
      <c r="D277" s="1221">
        <f t="shared" si="1035"/>
        <v>381640.02</v>
      </c>
      <c r="E277" s="1221"/>
      <c r="F277" s="1221">
        <f t="shared" ref="F277:G277" si="1036">+F213+F219</f>
        <v>464865</v>
      </c>
      <c r="G277" s="1221">
        <f t="shared" si="1036"/>
        <v>478925.43</v>
      </c>
      <c r="H277" s="1221"/>
      <c r="I277" s="1221">
        <f t="shared" ref="I277:J277" si="1037">+I213+I219</f>
        <v>522342</v>
      </c>
      <c r="J277" s="1221">
        <f t="shared" si="1037"/>
        <v>468999.25999999995</v>
      </c>
      <c r="K277" s="1221"/>
      <c r="L277" s="1221">
        <f t="shared" ref="L277:M277" si="1038">+L213+L219</f>
        <v>553468</v>
      </c>
      <c r="M277" s="1221">
        <f t="shared" si="1038"/>
        <v>417034.20999999996</v>
      </c>
      <c r="N277" s="1221"/>
      <c r="O277" s="1221">
        <f t="shared" ref="O277:P279" si="1039">+O213+O219</f>
        <v>540773</v>
      </c>
      <c r="P277" s="1221">
        <f t="shared" si="1039"/>
        <v>431387.35</v>
      </c>
      <c r="Q277" s="1221"/>
      <c r="R277" s="1221">
        <f t="shared" ref="R277:S277" si="1040">+R213+R219</f>
        <v>499660</v>
      </c>
      <c r="S277" s="1221">
        <f t="shared" si="1040"/>
        <v>430489.73999999993</v>
      </c>
      <c r="T277" s="1221"/>
      <c r="U277" s="1221">
        <f t="shared" ref="U277:V277" si="1041">+U213+U219</f>
        <v>454150</v>
      </c>
      <c r="V277" s="1221">
        <f t="shared" si="1041"/>
        <v>424107.03</v>
      </c>
      <c r="W277" s="1221"/>
      <c r="X277" s="1221">
        <f t="shared" ref="X277:Y277" si="1042">+X213+X219</f>
        <v>486057</v>
      </c>
      <c r="Y277" s="1221">
        <f t="shared" si="1042"/>
        <v>439704.86000000004</v>
      </c>
      <c r="Z277" s="1221"/>
      <c r="AA277" s="1221">
        <f>+AA213+AA219</f>
        <v>516132</v>
      </c>
      <c r="AB277" s="1222"/>
      <c r="AC277" s="1221">
        <f>+AC213+AC219</f>
        <v>465939.81000000006</v>
      </c>
      <c r="AD277" s="1221"/>
      <c r="AE277" s="1221">
        <f>+AE213+AE219</f>
        <v>570568</v>
      </c>
      <c r="AF277" s="1222"/>
      <c r="AG277" s="1221">
        <f>+AG213+AG219</f>
        <v>509285.63</v>
      </c>
      <c r="AH277" s="1221"/>
      <c r="AI277" s="1221"/>
      <c r="AJ277" s="1221"/>
      <c r="AK277" s="1221">
        <f>+AK213+AK219</f>
        <v>599885</v>
      </c>
      <c r="AL277" s="1221"/>
      <c r="AM277" s="1221">
        <f>+AM213+AM219</f>
        <v>292044.84999999998</v>
      </c>
      <c r="AN277" s="1221"/>
      <c r="AO277" s="1221"/>
      <c r="AP277" s="1221"/>
      <c r="AQ277" s="1221">
        <f>+AQ213+AQ219</f>
        <v>625433</v>
      </c>
      <c r="AR277" s="1220"/>
      <c r="AS277" s="1220"/>
      <c r="AT277" s="1220"/>
      <c r="AU277" s="1220"/>
      <c r="AV277" s="1224">
        <f t="shared" ref="AV277:AZ277" si="1043">+AV213+AV219</f>
        <v>647138</v>
      </c>
      <c r="AW277" s="1224">
        <f t="shared" si="1043"/>
        <v>669610</v>
      </c>
      <c r="AX277" s="1224">
        <f t="shared" si="1043"/>
        <v>692876</v>
      </c>
      <c r="AY277" s="1224">
        <f t="shared" si="1043"/>
        <v>716964</v>
      </c>
      <c r="AZ277" s="1224">
        <f t="shared" si="1043"/>
        <v>741905</v>
      </c>
    </row>
    <row r="278" spans="1:156" x14ac:dyDescent="0.3">
      <c r="A278" s="1220"/>
      <c r="B278" s="1220" t="s">
        <v>1869</v>
      </c>
      <c r="C278" s="1221">
        <f t="shared" si="1035"/>
        <v>901999.60000000009</v>
      </c>
      <c r="D278" s="1221">
        <f t="shared" si="1035"/>
        <v>967809.89999999979</v>
      </c>
      <c r="E278" s="1221"/>
      <c r="F278" s="1221">
        <f t="shared" ref="F278:G278" si="1044">+F214+F220</f>
        <v>1010324</v>
      </c>
      <c r="G278" s="1221">
        <f t="shared" si="1044"/>
        <v>978467.80999999994</v>
      </c>
      <c r="H278" s="1221"/>
      <c r="I278" s="1221">
        <f t="shared" ref="I278:J278" si="1045">+I214+I220</f>
        <v>1050192</v>
      </c>
      <c r="J278" s="1221">
        <f t="shared" si="1045"/>
        <v>989081.95000000007</v>
      </c>
      <c r="K278" s="1221"/>
      <c r="L278" s="1221">
        <f t="shared" ref="L278:M278" si="1046">+L214+L220</f>
        <v>1090548</v>
      </c>
      <c r="M278" s="1221">
        <f t="shared" si="1046"/>
        <v>1013973.3</v>
      </c>
      <c r="N278" s="1221"/>
      <c r="O278" s="1221">
        <f t="shared" si="1039"/>
        <v>1074939</v>
      </c>
      <c r="P278" s="1221">
        <f t="shared" si="1039"/>
        <v>1047544.06</v>
      </c>
      <c r="Q278" s="1221"/>
      <c r="R278" s="1221">
        <f t="shared" ref="R278:S278" si="1047">+R214+R220</f>
        <v>1232796</v>
      </c>
      <c r="S278" s="1221">
        <f t="shared" si="1047"/>
        <v>1119843.6099999999</v>
      </c>
      <c r="T278" s="1221"/>
      <c r="U278" s="1221">
        <f t="shared" ref="U278:V278" si="1048">+U214+U220</f>
        <v>1020212</v>
      </c>
      <c r="V278" s="1221">
        <f t="shared" si="1048"/>
        <v>1133776.82</v>
      </c>
      <c r="W278" s="1221"/>
      <c r="X278" s="1221">
        <f t="shared" ref="X278:Y278" si="1049">+X214+X220</f>
        <v>1142506</v>
      </c>
      <c r="Y278" s="1221">
        <f t="shared" si="1049"/>
        <v>1067469.25</v>
      </c>
      <c r="Z278" s="1221"/>
      <c r="AA278" s="1221">
        <f>+AA214+AA220</f>
        <v>1219959</v>
      </c>
      <c r="AB278" s="1222"/>
      <c r="AC278" s="1221">
        <f>+AC214+AC220</f>
        <v>1195263.2000000002</v>
      </c>
      <c r="AD278" s="1221"/>
      <c r="AE278" s="1221">
        <f>+AE214+AE220</f>
        <v>1376162</v>
      </c>
      <c r="AF278" s="1222"/>
      <c r="AG278" s="1221">
        <f>+AG214+AG220</f>
        <v>1201879.69</v>
      </c>
      <c r="AH278" s="1221"/>
      <c r="AI278" s="1221"/>
      <c r="AJ278" s="1221"/>
      <c r="AK278" s="1221">
        <f>+AK214+AK220</f>
        <v>1500494</v>
      </c>
      <c r="AL278" s="1221"/>
      <c r="AM278" s="1221">
        <f>+AM214+AM220</f>
        <v>590965.07000000007</v>
      </c>
      <c r="AN278" s="1221"/>
      <c r="AO278" s="1221"/>
      <c r="AP278" s="1221"/>
      <c r="AQ278" s="1221">
        <f>+AQ214+AQ220</f>
        <v>1576307</v>
      </c>
      <c r="AR278" s="1220"/>
      <c r="AS278" s="1220"/>
      <c r="AT278" s="1220"/>
      <c r="AU278" s="1220"/>
      <c r="AV278" s="1224">
        <f t="shared" ref="AV278:AZ278" si="1050">+AV214+AV220</f>
        <v>1660713</v>
      </c>
      <c r="AW278" s="1224">
        <f t="shared" si="1050"/>
        <v>1749529</v>
      </c>
      <c r="AX278" s="1224">
        <f t="shared" si="1050"/>
        <v>1843095</v>
      </c>
      <c r="AY278" s="1224">
        <f t="shared" si="1050"/>
        <v>1941666</v>
      </c>
      <c r="AZ278" s="1224">
        <f t="shared" si="1050"/>
        <v>2045510</v>
      </c>
    </row>
    <row r="279" spans="1:156" x14ac:dyDescent="0.3">
      <c r="A279" s="1220"/>
      <c r="B279" s="1220" t="s">
        <v>2221</v>
      </c>
      <c r="C279" s="1221">
        <f t="shared" si="1035"/>
        <v>2116.23</v>
      </c>
      <c r="D279" s="1221">
        <f t="shared" si="1035"/>
        <v>0</v>
      </c>
      <c r="E279" s="1221"/>
      <c r="F279" s="1221">
        <f t="shared" ref="F279:G279" si="1051">+F215+F221</f>
        <v>8000</v>
      </c>
      <c r="G279" s="1221">
        <f t="shared" si="1051"/>
        <v>0</v>
      </c>
      <c r="H279" s="1221"/>
      <c r="I279" s="1221">
        <f t="shared" ref="I279:J279" si="1052">+I215+I221</f>
        <v>8000</v>
      </c>
      <c r="J279" s="1221">
        <f t="shared" si="1052"/>
        <v>6467.28</v>
      </c>
      <c r="K279" s="1221"/>
      <c r="L279" s="1221">
        <f t="shared" ref="L279:M279" si="1053">+L215+L221</f>
        <v>8000</v>
      </c>
      <c r="M279" s="1221">
        <f t="shared" si="1053"/>
        <v>0</v>
      </c>
      <c r="N279" s="1221"/>
      <c r="O279" s="1221">
        <f t="shared" si="1039"/>
        <v>8000</v>
      </c>
      <c r="P279" s="1221">
        <f t="shared" si="1039"/>
        <v>0</v>
      </c>
      <c r="Q279" s="1221"/>
      <c r="R279" s="1221">
        <f t="shared" ref="R279:S279" si="1054">+R215+R221</f>
        <v>8000</v>
      </c>
      <c r="S279" s="1221">
        <f t="shared" si="1054"/>
        <v>0</v>
      </c>
      <c r="T279" s="1221"/>
      <c r="U279" s="1221">
        <f t="shared" ref="U279:V279" si="1055">+U215+U221</f>
        <v>8000</v>
      </c>
      <c r="V279" s="1221">
        <f t="shared" si="1055"/>
        <v>0</v>
      </c>
      <c r="W279" s="1221"/>
      <c r="X279" s="1221">
        <f t="shared" ref="X279:Y279" si="1056">+X215+X221</f>
        <v>8000</v>
      </c>
      <c r="Y279" s="1221">
        <f t="shared" si="1056"/>
        <v>0</v>
      </c>
      <c r="Z279" s="1221"/>
      <c r="AA279" s="1221">
        <f>+AA215+AA221</f>
        <v>8000</v>
      </c>
      <c r="AB279" s="1222"/>
      <c r="AC279" s="1221">
        <f>+AC215+AC221</f>
        <v>0</v>
      </c>
      <c r="AD279" s="1221"/>
      <c r="AE279" s="1221">
        <f>+AE215+AE221</f>
        <v>8000</v>
      </c>
      <c r="AF279" s="1222"/>
      <c r="AG279" s="1221">
        <f>+AG215+AG221</f>
        <v>0</v>
      </c>
      <c r="AH279" s="1221"/>
      <c r="AI279" s="1221"/>
      <c r="AJ279" s="1221"/>
      <c r="AK279" s="1221">
        <f>+AK215+AK221</f>
        <v>0</v>
      </c>
      <c r="AL279" s="1221"/>
      <c r="AM279" s="1221">
        <f>+AM215+AM221</f>
        <v>0</v>
      </c>
      <c r="AN279" s="1221"/>
      <c r="AO279" s="1221"/>
      <c r="AP279" s="1221"/>
      <c r="AQ279" s="1221">
        <f>+AQ215+AQ221</f>
        <v>0</v>
      </c>
      <c r="AR279" s="1220"/>
      <c r="AS279" s="1220"/>
      <c r="AT279" s="1220"/>
      <c r="AU279" s="1220"/>
      <c r="AV279" s="1224">
        <f t="shared" ref="AV279:AZ279" si="1057">+AV215+AV221</f>
        <v>0</v>
      </c>
      <c r="AW279" s="1224">
        <f t="shared" si="1057"/>
        <v>0</v>
      </c>
      <c r="AX279" s="1224">
        <f t="shared" si="1057"/>
        <v>0</v>
      </c>
      <c r="AY279" s="1224">
        <f t="shared" si="1057"/>
        <v>0</v>
      </c>
      <c r="AZ279" s="1224">
        <f t="shared" si="1057"/>
        <v>0</v>
      </c>
    </row>
    <row r="280" spans="1:156" x14ac:dyDescent="0.3">
      <c r="A280" s="1220"/>
      <c r="B280" s="1220" t="s">
        <v>1343</v>
      </c>
      <c r="C280" s="1221">
        <f>+C225</f>
        <v>339561.32000000007</v>
      </c>
      <c r="D280" s="1221">
        <f>+D225</f>
        <v>333169.57</v>
      </c>
      <c r="E280" s="1221"/>
      <c r="F280" s="1221">
        <f t="shared" ref="F280:G280" si="1058">+F225</f>
        <v>461198</v>
      </c>
      <c r="G280" s="1221">
        <f t="shared" si="1058"/>
        <v>430365.07</v>
      </c>
      <c r="H280" s="1221"/>
      <c r="I280" s="1221">
        <f t="shared" ref="I280:J280" si="1059">+I225</f>
        <v>437052</v>
      </c>
      <c r="J280" s="1221">
        <f t="shared" si="1059"/>
        <v>426045.84</v>
      </c>
      <c r="K280" s="1221"/>
      <c r="L280" s="1221">
        <f t="shared" ref="L280:M280" si="1060">+L225</f>
        <v>430457</v>
      </c>
      <c r="M280" s="1221">
        <f t="shared" si="1060"/>
        <v>432071.62</v>
      </c>
      <c r="N280" s="1221"/>
      <c r="O280" s="1221">
        <f>+O225</f>
        <v>495802</v>
      </c>
      <c r="P280" s="1221">
        <f>+P225</f>
        <v>363646.25</v>
      </c>
      <c r="Q280" s="1221"/>
      <c r="R280" s="1221">
        <f t="shared" ref="R280:S280" si="1061">+R225</f>
        <v>390221</v>
      </c>
      <c r="S280" s="1221">
        <f t="shared" si="1061"/>
        <v>363127.97</v>
      </c>
      <c r="T280" s="1221"/>
      <c r="U280" s="1221">
        <f t="shared" ref="U280:V280" si="1062">+U225</f>
        <v>533163</v>
      </c>
      <c r="V280" s="1221">
        <f t="shared" si="1062"/>
        <v>513019.85</v>
      </c>
      <c r="W280" s="1221"/>
      <c r="X280" s="1221">
        <f t="shared" ref="X280:Y280" si="1063">+X225</f>
        <v>520551</v>
      </c>
      <c r="Y280" s="1221">
        <f t="shared" si="1063"/>
        <v>495060.53</v>
      </c>
      <c r="Z280" s="1221"/>
      <c r="AA280" s="1221">
        <f>+AA225</f>
        <v>514047</v>
      </c>
      <c r="AB280" s="1222"/>
      <c r="AC280" s="1221">
        <f>+AC225</f>
        <v>489041.95000000007</v>
      </c>
      <c r="AD280" s="1221"/>
      <c r="AE280" s="1221">
        <f>+AE225</f>
        <v>505270</v>
      </c>
      <c r="AF280" s="1222"/>
      <c r="AG280" s="1221">
        <f>+AG225</f>
        <v>480263.57000000007</v>
      </c>
      <c r="AH280" s="1221"/>
      <c r="AI280" s="1221"/>
      <c r="AJ280" s="1221"/>
      <c r="AK280" s="1221">
        <f>+AK225</f>
        <v>483614</v>
      </c>
      <c r="AL280" s="1221"/>
      <c r="AM280" s="1221">
        <f>+AM225</f>
        <v>298854.74</v>
      </c>
      <c r="AN280" s="1221"/>
      <c r="AO280" s="1221"/>
      <c r="AP280" s="1221"/>
      <c r="AQ280" s="1221">
        <f>+AQ225</f>
        <v>478365.33</v>
      </c>
      <c r="AR280" s="1220"/>
      <c r="AS280" s="1220"/>
      <c r="AT280" s="1220"/>
      <c r="AU280" s="1220"/>
      <c r="AV280" s="1224">
        <f t="shared" ref="AV280:AZ280" si="1064">+AV225</f>
        <v>480025.65</v>
      </c>
      <c r="AW280" s="1224">
        <f t="shared" si="1064"/>
        <v>475159.28</v>
      </c>
      <c r="AX280" s="1224">
        <f t="shared" si="1064"/>
        <v>435005.62</v>
      </c>
      <c r="AY280" s="1224">
        <f t="shared" si="1064"/>
        <v>432294.57</v>
      </c>
      <c r="AZ280" s="1224">
        <f t="shared" si="1064"/>
        <v>432334.71</v>
      </c>
    </row>
    <row r="281" spans="1:156" s="55" customFormat="1" x14ac:dyDescent="0.3">
      <c r="A281" s="1225"/>
      <c r="B281" s="1225" t="s">
        <v>2220</v>
      </c>
      <c r="C281" s="1226">
        <f>+C229</f>
        <v>162428.75000000003</v>
      </c>
      <c r="D281" s="1226">
        <f>+D229</f>
        <v>160893.16</v>
      </c>
      <c r="E281" s="1226"/>
      <c r="F281" s="1226">
        <f t="shared" ref="F281:G281" si="1065">+F229</f>
        <v>203804</v>
      </c>
      <c r="G281" s="1226">
        <f t="shared" si="1065"/>
        <v>181400.05999999997</v>
      </c>
      <c r="H281" s="1226"/>
      <c r="I281" s="1226">
        <f t="shared" ref="I281:J281" si="1066">+I229</f>
        <v>227327</v>
      </c>
      <c r="J281" s="1226">
        <f t="shared" si="1066"/>
        <v>194173.2</v>
      </c>
      <c r="K281" s="1226"/>
      <c r="L281" s="1226">
        <f t="shared" ref="L281:M281" si="1067">+L229</f>
        <v>249260</v>
      </c>
      <c r="M281" s="1226">
        <f t="shared" si="1067"/>
        <v>221112.49</v>
      </c>
      <c r="N281" s="1226"/>
      <c r="O281" s="1226">
        <f>+O229</f>
        <v>264700</v>
      </c>
      <c r="P281" s="1226">
        <f>+P229</f>
        <v>224380.71000000002</v>
      </c>
      <c r="Q281" s="1226"/>
      <c r="R281" s="1226">
        <f t="shared" ref="R281:S281" si="1068">+R229</f>
        <v>261702</v>
      </c>
      <c r="S281" s="1226">
        <f t="shared" si="1068"/>
        <v>234658.48</v>
      </c>
      <c r="T281" s="1226"/>
      <c r="U281" s="1226">
        <f t="shared" ref="U281:V281" si="1069">+U229</f>
        <v>279702</v>
      </c>
      <c r="V281" s="1226">
        <f t="shared" si="1069"/>
        <v>225455.12</v>
      </c>
      <c r="W281" s="1226"/>
      <c r="X281" s="1226">
        <f t="shared" ref="X281:Y281" si="1070">+X229</f>
        <v>291954</v>
      </c>
      <c r="Y281" s="1226">
        <f t="shared" si="1070"/>
        <v>222372.35</v>
      </c>
      <c r="Z281" s="1226"/>
      <c r="AA281" s="1226">
        <f>+AA229</f>
        <v>270333</v>
      </c>
      <c r="AB281" s="1227"/>
      <c r="AC281" s="1226">
        <f>+AC229</f>
        <v>228342.64</v>
      </c>
      <c r="AD281" s="1226"/>
      <c r="AE281" s="1226">
        <f>+AE229</f>
        <v>359152</v>
      </c>
      <c r="AF281" s="1227"/>
      <c r="AG281" s="1226">
        <f>+AG229</f>
        <v>280039.43</v>
      </c>
      <c r="AH281" s="1226"/>
      <c r="AI281" s="1226"/>
      <c r="AJ281" s="1226"/>
      <c r="AK281" s="1226">
        <f>+AK229</f>
        <v>363631</v>
      </c>
      <c r="AL281" s="1226"/>
      <c r="AM281" s="1226">
        <f>+AM229</f>
        <v>200718.34999999998</v>
      </c>
      <c r="AN281" s="1226"/>
      <c r="AO281" s="1226"/>
      <c r="AP281" s="1226"/>
      <c r="AQ281" s="1226">
        <f>+AQ229</f>
        <v>380719</v>
      </c>
      <c r="AR281" s="1225"/>
      <c r="AS281" s="1225"/>
      <c r="AT281" s="1225"/>
      <c r="AU281" s="1225"/>
      <c r="AV281" s="1228">
        <f t="shared" ref="AV281:AZ281" si="1071">+AV229</f>
        <v>394958</v>
      </c>
      <c r="AW281" s="1228">
        <f t="shared" si="1071"/>
        <v>409729</v>
      </c>
      <c r="AX281" s="1228">
        <f t="shared" si="1071"/>
        <v>425053</v>
      </c>
      <c r="AY281" s="1228">
        <f t="shared" si="1071"/>
        <v>440950</v>
      </c>
      <c r="AZ281" s="1228">
        <f t="shared" si="1071"/>
        <v>457442</v>
      </c>
      <c r="BA281" s="1198"/>
      <c r="BB281" s="1198"/>
      <c r="BC281" s="1198"/>
      <c r="BD281" s="1198"/>
      <c r="BE281" s="1198"/>
      <c r="BF281" s="1198"/>
      <c r="BG281" s="1198"/>
      <c r="BH281" s="1198"/>
      <c r="BI281" s="1198"/>
      <c r="BJ281" s="1198"/>
      <c r="BK281" s="1198"/>
      <c r="BL281" s="1198"/>
      <c r="BM281" s="1198"/>
      <c r="BN281" s="1198"/>
      <c r="BO281" s="1198"/>
      <c r="BP281" s="1198"/>
      <c r="BQ281" s="1198"/>
      <c r="BR281" s="1198"/>
      <c r="BS281" s="1198"/>
      <c r="BT281" s="1198"/>
      <c r="BU281" s="1198"/>
      <c r="BV281" s="1198"/>
      <c r="BW281" s="1198"/>
      <c r="BX281" s="1198"/>
      <c r="BY281" s="1198"/>
      <c r="BZ281" s="1198"/>
      <c r="CA281" s="1198"/>
      <c r="CB281" s="1198"/>
      <c r="CC281" s="1198"/>
      <c r="CD281" s="1198"/>
      <c r="CE281" s="1198"/>
      <c r="CF281" s="1198"/>
      <c r="CG281" s="1198"/>
      <c r="CH281" s="1198"/>
      <c r="CI281" s="1198"/>
      <c r="CJ281" s="1198"/>
      <c r="CK281" s="1198"/>
      <c r="CL281" s="1198"/>
      <c r="CM281" s="1198"/>
      <c r="CN281" s="1198"/>
      <c r="CO281" s="1198"/>
      <c r="CP281" s="1198"/>
      <c r="CQ281" s="1198"/>
      <c r="CR281" s="1198"/>
      <c r="CS281" s="1198"/>
      <c r="CT281" s="1198"/>
      <c r="CU281" s="1198"/>
      <c r="CV281" s="1198"/>
      <c r="CW281" s="1198"/>
      <c r="CX281" s="1198"/>
      <c r="CY281" s="1198"/>
      <c r="CZ281" s="1198"/>
      <c r="DA281" s="1198"/>
      <c r="DB281" s="1198"/>
      <c r="DC281" s="1198"/>
      <c r="DD281" s="1198"/>
      <c r="DE281" s="1198"/>
      <c r="DF281" s="1198"/>
      <c r="DG281" s="1198"/>
      <c r="DH281" s="1198"/>
      <c r="DI281" s="1198"/>
      <c r="DJ281" s="1198"/>
      <c r="DK281" s="1198"/>
      <c r="DL281" s="1198"/>
      <c r="DM281" s="1198"/>
      <c r="DN281" s="1198"/>
      <c r="DO281" s="1198"/>
      <c r="DP281" s="1198"/>
      <c r="DQ281" s="1198"/>
      <c r="DR281" s="1198"/>
      <c r="DS281" s="1198"/>
      <c r="DT281" s="1198"/>
      <c r="DU281" s="1198"/>
      <c r="DV281" s="1198"/>
      <c r="DW281" s="1198"/>
      <c r="DX281" s="1198"/>
      <c r="DY281" s="1198"/>
      <c r="DZ281" s="1198"/>
      <c r="EA281" s="1198"/>
      <c r="EB281" s="1198"/>
      <c r="EC281" s="1198"/>
      <c r="ED281" s="1198"/>
      <c r="EE281" s="1198"/>
      <c r="EF281" s="1198"/>
      <c r="EG281" s="1198"/>
      <c r="EH281" s="1198"/>
      <c r="EI281" s="1198"/>
      <c r="EJ281" s="1198"/>
      <c r="EK281" s="1198"/>
      <c r="EL281" s="1198"/>
      <c r="EM281" s="1198"/>
      <c r="EN281" s="1198"/>
      <c r="EO281" s="1198"/>
      <c r="EP281" s="1198"/>
      <c r="EQ281" s="1198"/>
      <c r="ER281" s="1198"/>
      <c r="ES281" s="1198"/>
      <c r="ET281" s="1198"/>
      <c r="EU281" s="1198"/>
      <c r="EV281" s="1198"/>
      <c r="EW281" s="1198"/>
      <c r="EX281" s="1198"/>
      <c r="EY281" s="1198"/>
      <c r="EZ281" s="1198"/>
    </row>
    <row r="282" spans="1:156" x14ac:dyDescent="0.3">
      <c r="A282" s="1220"/>
      <c r="B282" s="1220" t="s">
        <v>887</v>
      </c>
      <c r="C282" s="1221">
        <f>SUM(C277:C281)</f>
        <v>1759353.11</v>
      </c>
      <c r="D282" s="1221">
        <f>SUM(D277:D281)</f>
        <v>1843512.65</v>
      </c>
      <c r="E282" s="1221"/>
      <c r="F282" s="1221">
        <f t="shared" ref="F282:G282" si="1072">SUM(F277:F281)</f>
        <v>2148191</v>
      </c>
      <c r="G282" s="1221">
        <f t="shared" si="1072"/>
        <v>2069158.37</v>
      </c>
      <c r="H282" s="1221"/>
      <c r="I282" s="1221">
        <f t="shared" ref="I282:J282" si="1073">SUM(I277:I281)</f>
        <v>2244913</v>
      </c>
      <c r="J282" s="1221">
        <f t="shared" si="1073"/>
        <v>2084767.53</v>
      </c>
      <c r="K282" s="1221"/>
      <c r="L282" s="1221">
        <f t="shared" ref="L282:M282" si="1074">SUM(L277:L281)</f>
        <v>2331733</v>
      </c>
      <c r="M282" s="1221">
        <f t="shared" si="1074"/>
        <v>2084191.6199999999</v>
      </c>
      <c r="N282" s="1221"/>
      <c r="O282" s="1221">
        <f>SUM(O277:O281)</f>
        <v>2384214</v>
      </c>
      <c r="P282" s="1221">
        <f>SUM(P277:P281)</f>
        <v>2066958.37</v>
      </c>
      <c r="Q282" s="1221"/>
      <c r="R282" s="1221">
        <f t="shared" ref="R282:S282" si="1075">SUM(R277:R281)</f>
        <v>2392379</v>
      </c>
      <c r="S282" s="1221">
        <f t="shared" si="1075"/>
        <v>2148119.7999999998</v>
      </c>
      <c r="T282" s="1221"/>
      <c r="U282" s="1221">
        <f t="shared" ref="U282:V282" si="1076">SUM(U277:U281)</f>
        <v>2295227</v>
      </c>
      <c r="V282" s="1221">
        <f t="shared" si="1076"/>
        <v>2296358.8200000003</v>
      </c>
      <c r="W282" s="1221"/>
      <c r="X282" s="1221">
        <f t="shared" ref="X282:Y282" si="1077">SUM(X277:X281)</f>
        <v>2449068</v>
      </c>
      <c r="Y282" s="1221">
        <f t="shared" si="1077"/>
        <v>2224606.9900000002</v>
      </c>
      <c r="Z282" s="1221"/>
      <c r="AA282" s="1221">
        <f>SUM(AA277:AA281)</f>
        <v>2528471</v>
      </c>
      <c r="AB282" s="1222"/>
      <c r="AC282" s="1221">
        <f>SUM(AC277:AC281)</f>
        <v>2378587.6000000006</v>
      </c>
      <c r="AD282" s="1221"/>
      <c r="AE282" s="1221">
        <f>SUM(AE277:AE281)</f>
        <v>2819152</v>
      </c>
      <c r="AF282" s="1222"/>
      <c r="AG282" s="1221">
        <f>SUM(AG277:AG281)</f>
        <v>2471468.3199999998</v>
      </c>
      <c r="AH282" s="1221"/>
      <c r="AI282" s="1221"/>
      <c r="AJ282" s="1221"/>
      <c r="AK282" s="1221">
        <f>SUM(AK277:AK281)</f>
        <v>2947624</v>
      </c>
      <c r="AL282" s="1221"/>
      <c r="AM282" s="1221">
        <f>SUM(AM277:AM281)</f>
        <v>1382583.0100000002</v>
      </c>
      <c r="AN282" s="1221"/>
      <c r="AO282" s="1221"/>
      <c r="AP282" s="1221"/>
      <c r="AQ282" s="1221">
        <f>SUM(AQ277:AQ281)</f>
        <v>3060824.33</v>
      </c>
      <c r="AR282" s="1220"/>
      <c r="AS282" s="1220"/>
      <c r="AT282" s="1220"/>
      <c r="AU282" s="1220"/>
      <c r="AV282" s="1224">
        <f t="shared" ref="AV282:AZ282" si="1078">SUM(AV277:AV281)</f>
        <v>3182834.65</v>
      </c>
      <c r="AW282" s="1224">
        <f t="shared" si="1078"/>
        <v>3304027.2800000003</v>
      </c>
      <c r="AX282" s="1224">
        <f t="shared" si="1078"/>
        <v>3396029.62</v>
      </c>
      <c r="AY282" s="1224">
        <f t="shared" si="1078"/>
        <v>3531874.57</v>
      </c>
      <c r="AZ282" s="1224">
        <f t="shared" si="1078"/>
        <v>3677191.71</v>
      </c>
    </row>
    <row r="283" spans="1:156" x14ac:dyDescent="0.3">
      <c r="A283" s="1220"/>
      <c r="B283" s="1220"/>
      <c r="C283" s="1221"/>
      <c r="D283" s="1221"/>
      <c r="E283" s="1221"/>
      <c r="F283" s="1221"/>
      <c r="G283" s="1221"/>
      <c r="H283" s="1221"/>
      <c r="I283" s="1221"/>
      <c r="J283" s="1221"/>
      <c r="K283" s="1221"/>
      <c r="L283" s="1221"/>
      <c r="M283" s="1221"/>
      <c r="N283" s="1221"/>
      <c r="O283" s="1221"/>
      <c r="P283" s="1221"/>
      <c r="Q283" s="1221"/>
      <c r="R283" s="1221"/>
      <c r="S283" s="1221"/>
      <c r="T283" s="1221"/>
      <c r="U283" s="1221"/>
      <c r="V283" s="1221"/>
      <c r="W283" s="1221"/>
      <c r="X283" s="1221"/>
      <c r="Y283" s="1221"/>
      <c r="Z283" s="1221"/>
      <c r="AA283" s="1221"/>
      <c r="AB283" s="1222"/>
      <c r="AC283" s="1221"/>
      <c r="AD283" s="1221"/>
      <c r="AE283" s="1221"/>
      <c r="AF283" s="1222"/>
      <c r="AG283" s="1221"/>
      <c r="AH283" s="1221"/>
      <c r="AI283" s="1221"/>
      <c r="AJ283" s="1221"/>
      <c r="AK283" s="1221"/>
      <c r="AL283" s="1221"/>
      <c r="AM283" s="1221"/>
      <c r="AN283" s="1221"/>
      <c r="AO283" s="1221"/>
      <c r="AP283" s="1221"/>
      <c r="AQ283" s="1221"/>
      <c r="AR283" s="1220"/>
      <c r="AS283" s="1220"/>
      <c r="AT283" s="1220"/>
      <c r="AU283" s="1220"/>
      <c r="AV283" s="1224"/>
      <c r="AW283" s="1224"/>
      <c r="AX283" s="1224"/>
      <c r="AY283" s="1224"/>
      <c r="AZ283" s="1224"/>
    </row>
    <row r="284" spans="1:156" x14ac:dyDescent="0.3">
      <c r="A284" s="1220" t="s">
        <v>2255</v>
      </c>
      <c r="B284" s="1220"/>
      <c r="C284" s="1221"/>
      <c r="D284" s="1221"/>
      <c r="E284" s="1221"/>
      <c r="F284" s="1221"/>
      <c r="G284" s="1221"/>
      <c r="H284" s="1221"/>
      <c r="I284" s="1221"/>
      <c r="J284" s="1221"/>
      <c r="K284" s="1221"/>
      <c r="L284" s="1221"/>
      <c r="M284" s="1221"/>
      <c r="N284" s="1221"/>
      <c r="O284" s="1221"/>
      <c r="P284" s="1221"/>
      <c r="Q284" s="1221"/>
      <c r="R284" s="1221"/>
      <c r="S284" s="1221"/>
      <c r="T284" s="1221"/>
      <c r="U284" s="1221"/>
      <c r="V284" s="1221"/>
      <c r="W284" s="1221"/>
      <c r="X284" s="1221"/>
      <c r="Y284" s="1221"/>
      <c r="Z284" s="1221"/>
      <c r="AA284" s="1221"/>
      <c r="AB284" s="1222"/>
      <c r="AC284" s="1221"/>
      <c r="AD284" s="1221"/>
      <c r="AE284" s="1221"/>
      <c r="AF284" s="1222"/>
      <c r="AG284" s="1221"/>
      <c r="AH284" s="1221"/>
      <c r="AI284" s="1221"/>
      <c r="AJ284" s="1221"/>
      <c r="AK284" s="1221"/>
      <c r="AL284" s="1221"/>
      <c r="AM284" s="1221"/>
      <c r="AN284" s="1221"/>
      <c r="AO284" s="1221"/>
      <c r="AP284" s="1221"/>
      <c r="AQ284" s="1221"/>
      <c r="AR284" s="1220"/>
      <c r="AS284" s="1220"/>
      <c r="AT284" s="1220"/>
      <c r="AU284" s="1220"/>
      <c r="AV284" s="1224"/>
      <c r="AW284" s="1224"/>
      <c r="AX284" s="1224"/>
      <c r="AY284" s="1224"/>
      <c r="AZ284" s="1224"/>
    </row>
    <row r="285" spans="1:156" x14ac:dyDescent="0.3">
      <c r="A285" s="1220"/>
      <c r="B285" s="1220" t="s">
        <v>2218</v>
      </c>
      <c r="C285" s="1229">
        <f>ROUND((+C277/C282),4)</f>
        <v>0.20080000000000001</v>
      </c>
      <c r="D285" s="1229">
        <f>ROUND((+D277/D282),4)</f>
        <v>0.20699999999999999</v>
      </c>
      <c r="E285" s="1221"/>
      <c r="F285" s="1229">
        <f t="shared" ref="F285:G285" si="1079">ROUND((+F277/F282),4)</f>
        <v>0.21640000000000001</v>
      </c>
      <c r="G285" s="1229">
        <f t="shared" si="1079"/>
        <v>0.23150000000000001</v>
      </c>
      <c r="H285" s="1221"/>
      <c r="I285" s="1229">
        <f t="shared" ref="I285:J285" si="1080">ROUND((+I277/I282),4)</f>
        <v>0.23269999999999999</v>
      </c>
      <c r="J285" s="1229">
        <f t="shared" si="1080"/>
        <v>0.22500000000000001</v>
      </c>
      <c r="K285" s="1221"/>
      <c r="L285" s="1229">
        <f t="shared" ref="L285:M285" si="1081">ROUND((+L277/L282),4)</f>
        <v>0.2374</v>
      </c>
      <c r="M285" s="1229">
        <f t="shared" si="1081"/>
        <v>0.2001</v>
      </c>
      <c r="N285" s="1221"/>
      <c r="O285" s="1229">
        <f>ROUND((+O277/O282),4)</f>
        <v>0.2268</v>
      </c>
      <c r="P285" s="1229">
        <f>ROUND((+P277/P282),4)</f>
        <v>0.2087</v>
      </c>
      <c r="Q285" s="1221"/>
      <c r="R285" s="1229">
        <f t="shared" ref="R285:S285" si="1082">ROUND((+R277/R282),4)</f>
        <v>0.2089</v>
      </c>
      <c r="S285" s="1229">
        <f t="shared" si="1082"/>
        <v>0.20039999999999999</v>
      </c>
      <c r="T285" s="1221"/>
      <c r="U285" s="1229">
        <f t="shared" ref="U285:V285" si="1083">ROUND((+U277/U282),4)</f>
        <v>0.19789999999999999</v>
      </c>
      <c r="V285" s="1229">
        <f t="shared" si="1083"/>
        <v>0.1847</v>
      </c>
      <c r="W285" s="1221"/>
      <c r="X285" s="1229">
        <f t="shared" ref="X285:Y285" si="1084">ROUND((+X277/X282),4)</f>
        <v>0.19850000000000001</v>
      </c>
      <c r="Y285" s="1229">
        <f t="shared" si="1084"/>
        <v>0.19769999999999999</v>
      </c>
      <c r="Z285" s="1221"/>
      <c r="AA285" s="1229">
        <f>ROUND((+AA277/AA282),4)</f>
        <v>0.2041</v>
      </c>
      <c r="AB285" s="1222"/>
      <c r="AC285" s="1229">
        <f>ROUND((+AC277/AC282),4)</f>
        <v>0.19589999999999999</v>
      </c>
      <c r="AD285" s="1221"/>
      <c r="AE285" s="1229">
        <f>ROUND((+AE277/AE282),4)</f>
        <v>0.2024</v>
      </c>
      <c r="AF285" s="1222"/>
      <c r="AG285" s="1229">
        <f>ROUND((+AG277/AG282),4)</f>
        <v>0.20610000000000001</v>
      </c>
      <c r="AH285" s="1221"/>
      <c r="AI285" s="1221"/>
      <c r="AJ285" s="1221"/>
      <c r="AK285" s="1229">
        <f>ROUND((+AK277/AK282),4)</f>
        <v>0.20349999999999999</v>
      </c>
      <c r="AL285" s="1221"/>
      <c r="AM285" s="1229">
        <f>ROUND((+AM277/AM282),4)</f>
        <v>0.2112</v>
      </c>
      <c r="AN285" s="1221"/>
      <c r="AO285" s="1221"/>
      <c r="AP285" s="1221"/>
      <c r="AQ285" s="1229">
        <f>ROUND((+AQ277/AQ282),4)</f>
        <v>0.20430000000000001</v>
      </c>
      <c r="AR285" s="1220"/>
      <c r="AS285" s="1220"/>
      <c r="AT285" s="1220"/>
      <c r="AU285" s="1220"/>
      <c r="AV285" s="1230">
        <f t="shared" ref="AV285:AZ285" si="1085">ROUND((+AV277/AV282),4)</f>
        <v>0.20330000000000001</v>
      </c>
      <c r="AW285" s="1229">
        <f t="shared" si="1085"/>
        <v>0.20269999999999999</v>
      </c>
      <c r="AX285" s="1229">
        <f t="shared" si="1085"/>
        <v>0.20399999999999999</v>
      </c>
      <c r="AY285" s="1229">
        <f t="shared" si="1085"/>
        <v>0.20300000000000001</v>
      </c>
      <c r="AZ285" s="1229">
        <f t="shared" si="1085"/>
        <v>0.20180000000000001</v>
      </c>
    </row>
    <row r="286" spans="1:156" x14ac:dyDescent="0.3">
      <c r="A286" s="1220"/>
      <c r="B286" s="1220" t="s">
        <v>1869</v>
      </c>
      <c r="C286" s="1229">
        <f>ROUND((+C278/C282),4)</f>
        <v>0.51270000000000004</v>
      </c>
      <c r="D286" s="1229">
        <f>ROUND((+D278/D282),4)</f>
        <v>0.52500000000000002</v>
      </c>
      <c r="E286" s="1221"/>
      <c r="F286" s="1229">
        <f t="shared" ref="F286:G286" si="1086">ROUND((+F278/F282),4)</f>
        <v>0.4703</v>
      </c>
      <c r="G286" s="1229">
        <f t="shared" si="1086"/>
        <v>0.47289999999999999</v>
      </c>
      <c r="H286" s="1221"/>
      <c r="I286" s="1229">
        <f t="shared" ref="I286:J286" si="1087">ROUND((+I278/I282),4)</f>
        <v>0.46779999999999999</v>
      </c>
      <c r="J286" s="1229">
        <f t="shared" si="1087"/>
        <v>0.47439999999999999</v>
      </c>
      <c r="K286" s="1221"/>
      <c r="L286" s="1229">
        <f t="shared" ref="L286:M286" si="1088">ROUND((+L278/L282),4)</f>
        <v>0.4677</v>
      </c>
      <c r="M286" s="1229">
        <f t="shared" si="1088"/>
        <v>0.48649999999999999</v>
      </c>
      <c r="N286" s="1221"/>
      <c r="O286" s="1229">
        <f>ROUND((+O278/O282),4)</f>
        <v>0.45090000000000002</v>
      </c>
      <c r="P286" s="1229">
        <f>ROUND((+P278/P282),4)</f>
        <v>0.50680000000000003</v>
      </c>
      <c r="Q286" s="1221"/>
      <c r="R286" s="1229">
        <f t="shared" ref="R286:S286" si="1089">ROUND((+R278/R282),4)</f>
        <v>0.51529999999999998</v>
      </c>
      <c r="S286" s="1229">
        <f t="shared" si="1089"/>
        <v>0.52129999999999999</v>
      </c>
      <c r="T286" s="1221"/>
      <c r="U286" s="1229">
        <f t="shared" ref="U286:V286" si="1090">ROUND((+U278/U282),4)</f>
        <v>0.44450000000000001</v>
      </c>
      <c r="V286" s="1229">
        <f t="shared" si="1090"/>
        <v>0.49370000000000003</v>
      </c>
      <c r="W286" s="1221"/>
      <c r="X286" s="1229">
        <f t="shared" ref="X286:Y286" si="1091">ROUND((+X278/X282),4)</f>
        <v>0.46650000000000003</v>
      </c>
      <c r="Y286" s="1229">
        <f t="shared" si="1091"/>
        <v>0.4798</v>
      </c>
      <c r="Z286" s="1221"/>
      <c r="AA286" s="1229">
        <f>ROUND((+AA278/AA282),4)</f>
        <v>0.48249999999999998</v>
      </c>
      <c r="AB286" s="1222"/>
      <c r="AC286" s="1229">
        <f>ROUND((+AC278/AC282),4)</f>
        <v>0.50249999999999995</v>
      </c>
      <c r="AD286" s="1221"/>
      <c r="AE286" s="1229">
        <f>ROUND((+AE278/AE282),4)</f>
        <v>0.48809999999999998</v>
      </c>
      <c r="AF286" s="1222"/>
      <c r="AG286" s="1229">
        <f>ROUND((+AG278/AG282),4)</f>
        <v>0.48630000000000001</v>
      </c>
      <c r="AH286" s="1221"/>
      <c r="AI286" s="1221"/>
      <c r="AJ286" s="1221"/>
      <c r="AK286" s="1229">
        <f>ROUND((+AK278/AK282),4)</f>
        <v>0.5091</v>
      </c>
      <c r="AL286" s="1221"/>
      <c r="AM286" s="1229">
        <f>ROUND((+AM278/AM282),4)</f>
        <v>0.4274</v>
      </c>
      <c r="AN286" s="1221"/>
      <c r="AO286" s="1221"/>
      <c r="AP286" s="1221"/>
      <c r="AQ286" s="1229">
        <f>ROUND((+AQ278/AQ282),4)</f>
        <v>0.51500000000000001</v>
      </c>
      <c r="AR286" s="1220"/>
      <c r="AS286" s="1220"/>
      <c r="AT286" s="1220"/>
      <c r="AU286" s="1220"/>
      <c r="AV286" s="1230">
        <f t="shared" ref="AV286:AZ286" si="1092">ROUND((+AV278/AV282),4)</f>
        <v>0.52180000000000004</v>
      </c>
      <c r="AW286" s="1229">
        <f t="shared" si="1092"/>
        <v>0.52949999999999997</v>
      </c>
      <c r="AX286" s="1229">
        <f t="shared" si="1092"/>
        <v>0.54269999999999996</v>
      </c>
      <c r="AY286" s="1229">
        <f t="shared" si="1092"/>
        <v>0.54979999999999996</v>
      </c>
      <c r="AZ286" s="1229">
        <f t="shared" si="1092"/>
        <v>0.55630000000000002</v>
      </c>
    </row>
    <row r="287" spans="1:156" x14ac:dyDescent="0.3">
      <c r="A287" s="1220"/>
      <c r="B287" s="1220" t="s">
        <v>2221</v>
      </c>
      <c r="C287" s="1229">
        <f>ROUND((+C279/C282),4)</f>
        <v>1.1999999999999999E-3</v>
      </c>
      <c r="D287" s="1229">
        <f>ROUND((+D279/D282),4)</f>
        <v>0</v>
      </c>
      <c r="E287" s="1221"/>
      <c r="F287" s="1229">
        <f t="shared" ref="F287:G287" si="1093">ROUND((+F279/F282),4)</f>
        <v>3.7000000000000002E-3</v>
      </c>
      <c r="G287" s="1229">
        <f t="shared" si="1093"/>
        <v>0</v>
      </c>
      <c r="H287" s="1221"/>
      <c r="I287" s="1229">
        <f t="shared" ref="I287:J287" si="1094">ROUND((+I279/I282),4)</f>
        <v>3.5999999999999999E-3</v>
      </c>
      <c r="J287" s="1229">
        <f t="shared" si="1094"/>
        <v>3.0999999999999999E-3</v>
      </c>
      <c r="K287" s="1221"/>
      <c r="L287" s="1229">
        <f t="shared" ref="L287:M287" si="1095">ROUND((+L279/L282),4)</f>
        <v>3.3999999999999998E-3</v>
      </c>
      <c r="M287" s="1229">
        <f t="shared" si="1095"/>
        <v>0</v>
      </c>
      <c r="N287" s="1221"/>
      <c r="O287" s="1229">
        <f>ROUND((+O279/O282),4)</f>
        <v>3.3999999999999998E-3</v>
      </c>
      <c r="P287" s="1229">
        <f>ROUND((+P279/P282),4)</f>
        <v>0</v>
      </c>
      <c r="Q287" s="1221"/>
      <c r="R287" s="1229">
        <f t="shared" ref="R287:S287" si="1096">ROUND((+R279/R282),4)</f>
        <v>3.3E-3</v>
      </c>
      <c r="S287" s="1229">
        <f t="shared" si="1096"/>
        <v>0</v>
      </c>
      <c r="T287" s="1221"/>
      <c r="U287" s="1229">
        <f t="shared" ref="U287:V287" si="1097">ROUND((+U279/U282),4)</f>
        <v>3.5000000000000001E-3</v>
      </c>
      <c r="V287" s="1229">
        <f t="shared" si="1097"/>
        <v>0</v>
      </c>
      <c r="W287" s="1221"/>
      <c r="X287" s="1229">
        <f t="shared" ref="X287:Y287" si="1098">ROUND((+X279/X282),4)</f>
        <v>3.3E-3</v>
      </c>
      <c r="Y287" s="1229">
        <f t="shared" si="1098"/>
        <v>0</v>
      </c>
      <c r="Z287" s="1221"/>
      <c r="AA287" s="1229">
        <f>ROUND((+AA279/AA282),4)</f>
        <v>3.2000000000000002E-3</v>
      </c>
      <c r="AB287" s="1222"/>
      <c r="AC287" s="1229">
        <f>ROUND((+AC279/AC282),4)</f>
        <v>0</v>
      </c>
      <c r="AD287" s="1221"/>
      <c r="AE287" s="1229">
        <f>ROUND((+AE279/AE282),4)</f>
        <v>2.8E-3</v>
      </c>
      <c r="AF287" s="1222"/>
      <c r="AG287" s="1229">
        <f>ROUND((+AG279/AG282),4)</f>
        <v>0</v>
      </c>
      <c r="AH287" s="1221"/>
      <c r="AI287" s="1221"/>
      <c r="AJ287" s="1221"/>
      <c r="AK287" s="1229">
        <f>ROUND((+AK279/AK282),4)</f>
        <v>0</v>
      </c>
      <c r="AL287" s="1221"/>
      <c r="AM287" s="1229">
        <f>ROUND((+AM279/AM282),4)</f>
        <v>0</v>
      </c>
      <c r="AN287" s="1221"/>
      <c r="AO287" s="1221"/>
      <c r="AP287" s="1221"/>
      <c r="AQ287" s="1229">
        <f>ROUND((+AQ279/AQ282),4)</f>
        <v>0</v>
      </c>
      <c r="AR287" s="1220"/>
      <c r="AS287" s="1220"/>
      <c r="AT287" s="1220"/>
      <c r="AU287" s="1220"/>
      <c r="AV287" s="1230">
        <f t="shared" ref="AV287:AZ287" si="1099">ROUND((+AV279/AV282),4)</f>
        <v>0</v>
      </c>
      <c r="AW287" s="1229">
        <f t="shared" si="1099"/>
        <v>0</v>
      </c>
      <c r="AX287" s="1229">
        <f t="shared" si="1099"/>
        <v>0</v>
      </c>
      <c r="AY287" s="1229">
        <f t="shared" si="1099"/>
        <v>0</v>
      </c>
      <c r="AZ287" s="1229">
        <f t="shared" si="1099"/>
        <v>0</v>
      </c>
    </row>
    <row r="288" spans="1:156" x14ac:dyDescent="0.3">
      <c r="A288" s="1220"/>
      <c r="B288" s="1220" t="s">
        <v>1343</v>
      </c>
      <c r="C288" s="1229">
        <f>ROUND((+C280/C282),4)</f>
        <v>0.193</v>
      </c>
      <c r="D288" s="1229">
        <f>ROUND((+D280/D282),4)</f>
        <v>0.1807</v>
      </c>
      <c r="E288" s="1221"/>
      <c r="F288" s="1229">
        <f t="shared" ref="F288:G288" si="1100">ROUND((+F280/F282),4)</f>
        <v>0.2147</v>
      </c>
      <c r="G288" s="1229">
        <f t="shared" si="1100"/>
        <v>0.20799999999999999</v>
      </c>
      <c r="H288" s="1221"/>
      <c r="I288" s="1229">
        <f t="shared" ref="I288:J288" si="1101">ROUND((+I280/I282),4)</f>
        <v>0.19470000000000001</v>
      </c>
      <c r="J288" s="1229">
        <f t="shared" si="1101"/>
        <v>0.2044</v>
      </c>
      <c r="K288" s="1221"/>
      <c r="L288" s="1229">
        <f t="shared" ref="L288:M288" si="1102">ROUND((+L280/L282),4)</f>
        <v>0.18459999999999999</v>
      </c>
      <c r="M288" s="1229">
        <f t="shared" si="1102"/>
        <v>0.20730000000000001</v>
      </c>
      <c r="N288" s="1221"/>
      <c r="O288" s="1229">
        <f>ROUND((+O280/O282),4)</f>
        <v>0.20799999999999999</v>
      </c>
      <c r="P288" s="1229">
        <f>ROUND((+P280/P282),4)</f>
        <v>0.1759</v>
      </c>
      <c r="Q288" s="1221"/>
      <c r="R288" s="1229">
        <f t="shared" ref="R288:S288" si="1103">ROUND((+R280/R282),4)</f>
        <v>0.16309999999999999</v>
      </c>
      <c r="S288" s="1229">
        <f t="shared" si="1103"/>
        <v>0.16900000000000001</v>
      </c>
      <c r="T288" s="1221"/>
      <c r="U288" s="1229">
        <f t="shared" ref="U288:V288" si="1104">ROUND((+U280/U282),4)</f>
        <v>0.23230000000000001</v>
      </c>
      <c r="V288" s="1229">
        <f t="shared" si="1104"/>
        <v>0.22339999999999999</v>
      </c>
      <c r="W288" s="1221"/>
      <c r="X288" s="1229">
        <f t="shared" ref="X288:Y288" si="1105">ROUND((+X280/X282),4)</f>
        <v>0.21260000000000001</v>
      </c>
      <c r="Y288" s="1229">
        <f t="shared" si="1105"/>
        <v>0.2225</v>
      </c>
      <c r="Z288" s="1221"/>
      <c r="AA288" s="1229">
        <f>ROUND((+AA280/AA282),4)</f>
        <v>0.20330000000000001</v>
      </c>
      <c r="AB288" s="1222"/>
      <c r="AC288" s="1229">
        <f>ROUND((+AC280/AC282),4)</f>
        <v>0.2056</v>
      </c>
      <c r="AD288" s="1221"/>
      <c r="AE288" s="1229">
        <f>ROUND((+AE280/AE282),4)</f>
        <v>0.1792</v>
      </c>
      <c r="AF288" s="1222"/>
      <c r="AG288" s="1229">
        <f>ROUND((+AG280/AG282),4)</f>
        <v>0.1943</v>
      </c>
      <c r="AH288" s="1221"/>
      <c r="AI288" s="1221"/>
      <c r="AJ288" s="1221"/>
      <c r="AK288" s="1229">
        <f>ROUND((+AK280/AK282),4)</f>
        <v>0.1641</v>
      </c>
      <c r="AL288" s="1221"/>
      <c r="AM288" s="1229">
        <f>ROUND((+AM280/AM282),4)</f>
        <v>0.2162</v>
      </c>
      <c r="AN288" s="1221"/>
      <c r="AO288" s="1221"/>
      <c r="AP288" s="1221"/>
      <c r="AQ288" s="1229">
        <f>ROUND((+AQ280/AQ282),4)</f>
        <v>0.15629999999999999</v>
      </c>
      <c r="AR288" s="1220"/>
      <c r="AS288" s="1220"/>
      <c r="AT288" s="1220"/>
      <c r="AU288" s="1220"/>
      <c r="AV288" s="1230">
        <f t="shared" ref="AV288:AZ288" si="1106">ROUND((+AV280/AV282),4)</f>
        <v>0.15079999999999999</v>
      </c>
      <c r="AW288" s="1229">
        <f t="shared" si="1106"/>
        <v>0.14380000000000001</v>
      </c>
      <c r="AX288" s="1229">
        <f t="shared" si="1106"/>
        <v>0.12809999999999999</v>
      </c>
      <c r="AY288" s="1229">
        <f t="shared" si="1106"/>
        <v>0.12239999999999999</v>
      </c>
      <c r="AZ288" s="1229">
        <f t="shared" si="1106"/>
        <v>0.1176</v>
      </c>
    </row>
    <row r="289" spans="1:52" x14ac:dyDescent="0.3">
      <c r="A289" s="1225"/>
      <c r="B289" s="1225" t="s">
        <v>2220</v>
      </c>
      <c r="C289" s="1231">
        <f>ROUND((+C281/C282),4)</f>
        <v>9.2299999999999993E-2</v>
      </c>
      <c r="D289" s="1231">
        <f>ROUND((+D281/D282),4)</f>
        <v>8.7300000000000003E-2</v>
      </c>
      <c r="E289" s="1221"/>
      <c r="F289" s="1231">
        <f t="shared" ref="F289:G289" si="1107">ROUND((+F281/F282),4)</f>
        <v>9.4899999999999998E-2</v>
      </c>
      <c r="G289" s="1231">
        <f t="shared" si="1107"/>
        <v>8.77E-2</v>
      </c>
      <c r="H289" s="1221"/>
      <c r="I289" s="1231">
        <f t="shared" ref="I289:J289" si="1108">ROUND((+I281/I282),4)</f>
        <v>0.1013</v>
      </c>
      <c r="J289" s="1231">
        <f t="shared" si="1108"/>
        <v>9.3100000000000002E-2</v>
      </c>
      <c r="K289" s="1221"/>
      <c r="L289" s="1231">
        <f t="shared" ref="L289:M289" si="1109">ROUND((+L281/L282),4)</f>
        <v>0.1069</v>
      </c>
      <c r="M289" s="1231">
        <f t="shared" si="1109"/>
        <v>0.1061</v>
      </c>
      <c r="N289" s="1221"/>
      <c r="O289" s="1231">
        <f>ROUND((+O281/O282),4)</f>
        <v>0.111</v>
      </c>
      <c r="P289" s="1231">
        <f>ROUND((+P281/P282),4)</f>
        <v>0.1086</v>
      </c>
      <c r="Q289" s="1221"/>
      <c r="R289" s="1231">
        <f t="shared" ref="R289:S289" si="1110">ROUND((+R281/R282),4)</f>
        <v>0.1094</v>
      </c>
      <c r="S289" s="1231">
        <f t="shared" si="1110"/>
        <v>0.10920000000000001</v>
      </c>
      <c r="T289" s="1221"/>
      <c r="U289" s="1231">
        <f t="shared" ref="U289:V289" si="1111">ROUND((+U281/U282),4)</f>
        <v>0.12189999999999999</v>
      </c>
      <c r="V289" s="1231">
        <f t="shared" si="1111"/>
        <v>9.8199999999999996E-2</v>
      </c>
      <c r="W289" s="1221"/>
      <c r="X289" s="1231">
        <f t="shared" ref="X289:Y289" si="1112">ROUND((+X281/X282),4)</f>
        <v>0.1192</v>
      </c>
      <c r="Y289" s="1231">
        <f t="shared" si="1112"/>
        <v>0.1</v>
      </c>
      <c r="Z289" s="1221"/>
      <c r="AA289" s="1231">
        <f>ROUND((+AA281/AA282),4)</f>
        <v>0.1069</v>
      </c>
      <c r="AB289" s="1222"/>
      <c r="AC289" s="1231">
        <f>ROUND((+AC281/AC282),4)</f>
        <v>9.6000000000000002E-2</v>
      </c>
      <c r="AD289" s="1221"/>
      <c r="AE289" s="1231">
        <f>ROUND((+AE281/AE282),4)</f>
        <v>0.12740000000000001</v>
      </c>
      <c r="AF289" s="1222"/>
      <c r="AG289" s="1231">
        <f>ROUND((+AG281/AG282),4)</f>
        <v>0.1133</v>
      </c>
      <c r="AH289" s="1221"/>
      <c r="AI289" s="1221"/>
      <c r="AJ289" s="1221"/>
      <c r="AK289" s="1231">
        <f>ROUND((+AK281/AK282),4)</f>
        <v>0.1234</v>
      </c>
      <c r="AL289" s="1221"/>
      <c r="AM289" s="1231">
        <f>ROUND((+AM281/AM282),4)</f>
        <v>0.1452</v>
      </c>
      <c r="AN289" s="1221"/>
      <c r="AO289" s="1221"/>
      <c r="AP289" s="1221"/>
      <c r="AQ289" s="1231">
        <f>ROUND((+AQ281/AQ282),4)</f>
        <v>0.1244</v>
      </c>
      <c r="AR289" s="1220"/>
      <c r="AS289" s="1220"/>
      <c r="AT289" s="1220"/>
      <c r="AU289" s="1220"/>
      <c r="AV289" s="1232">
        <f t="shared" ref="AV289:AZ289" si="1113">ROUND((+AV281/AV282),4)</f>
        <v>0.1241</v>
      </c>
      <c r="AW289" s="1231">
        <f t="shared" si="1113"/>
        <v>0.124</v>
      </c>
      <c r="AX289" s="1231">
        <f t="shared" si="1113"/>
        <v>0.12520000000000001</v>
      </c>
      <c r="AY289" s="1231">
        <f t="shared" si="1113"/>
        <v>0.12479999999999999</v>
      </c>
      <c r="AZ289" s="1231">
        <f t="shared" si="1113"/>
        <v>0.1244</v>
      </c>
    </row>
    <row r="290" spans="1:52" x14ac:dyDescent="0.3">
      <c r="A290" s="1220"/>
      <c r="B290" s="1220" t="s">
        <v>887</v>
      </c>
      <c r="C290" s="1229">
        <f>SUM(C285:C289)</f>
        <v>1</v>
      </c>
      <c r="D290" s="1229">
        <f>SUM(D285:D289)</f>
        <v>1</v>
      </c>
      <c r="E290" s="1221"/>
      <c r="F290" s="1229">
        <f t="shared" ref="F290:G290" si="1114">SUM(F285:F289)</f>
        <v>1</v>
      </c>
      <c r="G290" s="1229">
        <f t="shared" si="1114"/>
        <v>1.0001</v>
      </c>
      <c r="H290" s="1221"/>
      <c r="I290" s="1229">
        <f t="shared" ref="I290:J290" si="1115">SUM(I285:I289)</f>
        <v>1.0001</v>
      </c>
      <c r="J290" s="1229">
        <f t="shared" si="1115"/>
        <v>1</v>
      </c>
      <c r="K290" s="1221"/>
      <c r="L290" s="1229">
        <f t="shared" ref="L290:M290" si="1116">SUM(L285:L289)</f>
        <v>1</v>
      </c>
      <c r="M290" s="1229">
        <f t="shared" si="1116"/>
        <v>1</v>
      </c>
      <c r="N290" s="1221"/>
      <c r="O290" s="1229">
        <f>SUM(O285:O289)</f>
        <v>1.0001</v>
      </c>
      <c r="P290" s="1229">
        <f>SUM(P285:P289)</f>
        <v>1</v>
      </c>
      <c r="Q290" s="1221"/>
      <c r="R290" s="1229">
        <f t="shared" ref="R290:S290" si="1117">SUM(R285:R289)</f>
        <v>1</v>
      </c>
      <c r="S290" s="1229">
        <f t="shared" si="1117"/>
        <v>0.99990000000000001</v>
      </c>
      <c r="T290" s="1221"/>
      <c r="U290" s="1229">
        <f t="shared" ref="U290:V290" si="1118">SUM(U285:U289)</f>
        <v>1.0000999999999998</v>
      </c>
      <c r="V290" s="1229">
        <f t="shared" si="1118"/>
        <v>0.99999999999999989</v>
      </c>
      <c r="W290" s="1221"/>
      <c r="X290" s="1229">
        <f t="shared" ref="X290:Y290" si="1119">SUM(X285:X289)</f>
        <v>1.0001</v>
      </c>
      <c r="Y290" s="1229">
        <f t="shared" si="1119"/>
        <v>1</v>
      </c>
      <c r="Z290" s="1221"/>
      <c r="AA290" s="1229">
        <f>SUM(AA285:AA289)</f>
        <v>1</v>
      </c>
      <c r="AB290" s="1222"/>
      <c r="AC290" s="1229">
        <f>SUM(AC285:AC289)</f>
        <v>0.99999999999999989</v>
      </c>
      <c r="AD290" s="1221"/>
      <c r="AE290" s="1229">
        <f>SUM(AE285:AE289)</f>
        <v>0.99990000000000001</v>
      </c>
      <c r="AF290" s="1222"/>
      <c r="AG290" s="1229">
        <f>SUM(AG285:AG289)</f>
        <v>1</v>
      </c>
      <c r="AH290" s="1221"/>
      <c r="AI290" s="1221"/>
      <c r="AJ290" s="1221"/>
      <c r="AK290" s="1229">
        <f>SUM(AK285:AK289)</f>
        <v>1.0001</v>
      </c>
      <c r="AL290" s="1221"/>
      <c r="AM290" s="1229">
        <f>SUM(AM285:AM289)</f>
        <v>1</v>
      </c>
      <c r="AN290" s="1221"/>
      <c r="AO290" s="1221"/>
      <c r="AP290" s="1221"/>
      <c r="AQ290" s="1229">
        <f>SUM(AQ285:AQ289)</f>
        <v>1</v>
      </c>
      <c r="AR290" s="1220"/>
      <c r="AS290" s="1220"/>
      <c r="AT290" s="1220"/>
      <c r="AU290" s="1220"/>
      <c r="AV290" s="1230">
        <f t="shared" ref="AV290:AZ290" si="1120">SUM(AV285:AV289)</f>
        <v>1.0000000000000002</v>
      </c>
      <c r="AW290" s="1229">
        <f t="shared" si="1120"/>
        <v>1</v>
      </c>
      <c r="AX290" s="1229">
        <f t="shared" si="1120"/>
        <v>0.99999999999999989</v>
      </c>
      <c r="AY290" s="1229">
        <f t="shared" si="1120"/>
        <v>0.99999999999999989</v>
      </c>
      <c r="AZ290" s="1229">
        <f t="shared" si="1120"/>
        <v>1.0001</v>
      </c>
    </row>
  </sheetData>
  <pageMargins left="0.7" right="0.7" top="0.75" bottom="0.75" header="0.3" footer="0.3"/>
  <pageSetup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CA43-A105-41AA-B496-98AA079A1F5C}">
  <dimension ref="A1"/>
  <sheetViews>
    <sheetView workbookViewId="0"/>
  </sheetViews>
  <sheetFormatPr defaultRowHeight="13.2"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E003E-45DE-46E7-8060-96BDF067D5AD}">
  <sheetPr>
    <tabColor rgb="FF92D050"/>
  </sheetPr>
  <dimension ref="A1:R27"/>
  <sheetViews>
    <sheetView topLeftCell="A2" workbookViewId="0">
      <selection activeCell="C24" sqref="C24"/>
    </sheetView>
  </sheetViews>
  <sheetFormatPr defaultRowHeight="13.2" x14ac:dyDescent="0.25"/>
  <cols>
    <col min="1" max="1" width="33.77734375" customWidth="1"/>
    <col min="2" max="4" width="12.44140625" customWidth="1"/>
    <col min="5" max="12" width="12.44140625" hidden="1" customWidth="1"/>
  </cols>
  <sheetData>
    <row r="1" spans="1:18" x14ac:dyDescent="0.25">
      <c r="A1" t="s">
        <v>2187</v>
      </c>
    </row>
    <row r="2" spans="1:18" x14ac:dyDescent="0.25">
      <c r="B2" s="202" t="s">
        <v>253</v>
      </c>
      <c r="C2" s="270" t="s">
        <v>469</v>
      </c>
      <c r="D2" s="270" t="s">
        <v>1345</v>
      </c>
      <c r="E2" s="270" t="s">
        <v>1346</v>
      </c>
      <c r="F2" s="270" t="s">
        <v>1347</v>
      </c>
      <c r="G2" s="270" t="s">
        <v>1348</v>
      </c>
      <c r="H2" s="270" t="s">
        <v>1349</v>
      </c>
      <c r="I2" s="270" t="s">
        <v>1350</v>
      </c>
      <c r="J2" s="270" t="s">
        <v>1351</v>
      </c>
      <c r="K2" s="270" t="s">
        <v>1352</v>
      </c>
      <c r="L2" s="270" t="s">
        <v>1353</v>
      </c>
      <c r="Q2" s="202" t="s">
        <v>2206</v>
      </c>
    </row>
    <row r="3" spans="1:18" ht="13.8" x14ac:dyDescent="0.25">
      <c r="A3" t="s">
        <v>2188</v>
      </c>
      <c r="B3" s="1108">
        <v>44860</v>
      </c>
      <c r="C3" s="1136">
        <v>44936</v>
      </c>
      <c r="D3" s="1136"/>
      <c r="E3" s="1136"/>
      <c r="F3" s="1136"/>
      <c r="G3" s="1136"/>
      <c r="H3" s="1136"/>
      <c r="I3" s="1136"/>
      <c r="J3" s="1136"/>
      <c r="K3" s="1136"/>
      <c r="L3" s="1136"/>
      <c r="Q3" s="202" t="s">
        <v>2207</v>
      </c>
    </row>
    <row r="4" spans="1:18" x14ac:dyDescent="0.25">
      <c r="B4" s="1109" t="s">
        <v>362</v>
      </c>
      <c r="C4" s="202" t="s">
        <v>2196</v>
      </c>
      <c r="R4" s="202" t="s">
        <v>2209</v>
      </c>
    </row>
    <row r="5" spans="1:18" x14ac:dyDescent="0.25">
      <c r="A5" s="202" t="s">
        <v>2197</v>
      </c>
      <c r="B5" s="1110">
        <v>500000</v>
      </c>
      <c r="C5" s="593">
        <v>500000</v>
      </c>
      <c r="D5" s="593">
        <f>+C13</f>
        <v>1149544</v>
      </c>
      <c r="E5" s="593">
        <f>+D13</f>
        <v>1426294</v>
      </c>
      <c r="F5" s="593">
        <f t="shared" ref="F5:L5" si="0">+E13</f>
        <v>1426294</v>
      </c>
      <c r="G5" s="593">
        <f t="shared" si="0"/>
        <v>1426294</v>
      </c>
      <c r="H5" s="593">
        <f t="shared" si="0"/>
        <v>1426294</v>
      </c>
      <c r="I5" s="593">
        <f t="shared" si="0"/>
        <v>1426294</v>
      </c>
      <c r="J5" s="851">
        <f t="shared" si="0"/>
        <v>1426294</v>
      </c>
      <c r="K5" s="593">
        <f t="shared" si="0"/>
        <v>1426294</v>
      </c>
      <c r="L5" s="593">
        <f t="shared" si="0"/>
        <v>1426294</v>
      </c>
      <c r="R5" s="202" t="s">
        <v>2210</v>
      </c>
    </row>
    <row r="6" spans="1:18" x14ac:dyDescent="0.25">
      <c r="B6" s="1110"/>
      <c r="C6" s="593"/>
      <c r="D6" s="593"/>
      <c r="E6" s="593"/>
      <c r="F6" s="593"/>
      <c r="G6" s="593"/>
      <c r="H6" s="1111"/>
      <c r="I6" s="593"/>
      <c r="J6" s="851"/>
      <c r="K6" s="593"/>
      <c r="L6" s="1112"/>
      <c r="R6" s="202" t="s">
        <v>2202</v>
      </c>
    </row>
    <row r="7" spans="1:18" x14ac:dyDescent="0.25">
      <c r="A7" s="202" t="s">
        <v>2208</v>
      </c>
      <c r="B7" s="1113">
        <v>830236</v>
      </c>
      <c r="C7" s="1114">
        <v>866059</v>
      </c>
      <c r="D7" s="1114">
        <v>369000</v>
      </c>
      <c r="E7" s="1114"/>
      <c r="F7" s="1114"/>
      <c r="G7" s="1114"/>
      <c r="H7" s="1111"/>
      <c r="I7" s="593"/>
      <c r="J7" s="851"/>
      <c r="K7" s="593"/>
      <c r="L7" s="1112"/>
      <c r="R7" s="202" t="s">
        <v>2211</v>
      </c>
    </row>
    <row r="8" spans="1:18" x14ac:dyDescent="0.25">
      <c r="B8" s="1115"/>
      <c r="H8" s="1116"/>
    </row>
    <row r="9" spans="1:18" x14ac:dyDescent="0.25">
      <c r="A9" t="s">
        <v>2189</v>
      </c>
      <c r="B9" s="1117">
        <v>1</v>
      </c>
      <c r="C9" s="604">
        <v>0.75</v>
      </c>
      <c r="D9" s="604">
        <v>0.75</v>
      </c>
      <c r="E9" s="604">
        <v>0.75</v>
      </c>
      <c r="F9" s="604">
        <v>0.75</v>
      </c>
      <c r="G9" s="604">
        <v>0.75</v>
      </c>
      <c r="H9" s="604">
        <v>0.75</v>
      </c>
      <c r="I9" s="604">
        <v>0.75</v>
      </c>
      <c r="J9" s="1137">
        <v>0.75</v>
      </c>
      <c r="K9" s="604">
        <v>0.75</v>
      </c>
      <c r="L9" s="604">
        <v>0.75</v>
      </c>
    </row>
    <row r="10" spans="1:18" x14ac:dyDescent="0.25">
      <c r="B10" s="1115"/>
      <c r="H10" s="1116"/>
    </row>
    <row r="11" spans="1:18" x14ac:dyDescent="0.25">
      <c r="A11" t="s">
        <v>2190</v>
      </c>
      <c r="B11" s="1110">
        <v>830236</v>
      </c>
      <c r="C11" s="593">
        <f>ROUND((+C9*C7),0)</f>
        <v>649544</v>
      </c>
      <c r="D11" s="593">
        <f>ROUND((+D9*D7),0)</f>
        <v>276750</v>
      </c>
      <c r="E11" s="593">
        <f t="shared" ref="E11:L11" si="1">ROUND((+E9*E7),0)</f>
        <v>0</v>
      </c>
      <c r="F11" s="593">
        <f t="shared" si="1"/>
        <v>0</v>
      </c>
      <c r="G11" s="593">
        <f t="shared" si="1"/>
        <v>0</v>
      </c>
      <c r="H11" s="593">
        <f t="shared" si="1"/>
        <v>0</v>
      </c>
      <c r="I11" s="593">
        <f t="shared" si="1"/>
        <v>0</v>
      </c>
      <c r="J11" s="851">
        <f t="shared" si="1"/>
        <v>0</v>
      </c>
      <c r="K11" s="593">
        <f t="shared" si="1"/>
        <v>0</v>
      </c>
      <c r="L11" s="593">
        <f t="shared" si="1"/>
        <v>0</v>
      </c>
    </row>
    <row r="12" spans="1:18" x14ac:dyDescent="0.25">
      <c r="B12" s="1110"/>
      <c r="C12" s="593"/>
      <c r="D12" s="593"/>
      <c r="E12" s="593"/>
      <c r="F12" s="593"/>
      <c r="G12" s="593"/>
      <c r="H12" s="1111"/>
      <c r="I12" s="593"/>
      <c r="J12" s="851"/>
      <c r="K12" s="593"/>
      <c r="L12" s="1112"/>
    </row>
    <row r="13" spans="1:18" x14ac:dyDescent="0.25">
      <c r="A13" s="202" t="s">
        <v>2198</v>
      </c>
      <c r="B13" s="1110">
        <f t="shared" ref="B13:L13" si="2">+B11+B5</f>
        <v>1330236</v>
      </c>
      <c r="C13" s="593">
        <f t="shared" si="2"/>
        <v>1149544</v>
      </c>
      <c r="D13" s="593">
        <f t="shared" si="2"/>
        <v>1426294</v>
      </c>
      <c r="E13" s="593">
        <f t="shared" si="2"/>
        <v>1426294</v>
      </c>
      <c r="F13" s="593">
        <f t="shared" si="2"/>
        <v>1426294</v>
      </c>
      <c r="G13" s="593">
        <f t="shared" si="2"/>
        <v>1426294</v>
      </c>
      <c r="H13" s="1111">
        <f t="shared" si="2"/>
        <v>1426294</v>
      </c>
      <c r="I13" s="593">
        <f t="shared" si="2"/>
        <v>1426294</v>
      </c>
      <c r="J13" s="851">
        <f t="shared" si="2"/>
        <v>1426294</v>
      </c>
      <c r="K13" s="593">
        <f t="shared" si="2"/>
        <v>1426294</v>
      </c>
      <c r="L13" s="1112">
        <f t="shared" si="2"/>
        <v>1426294</v>
      </c>
    </row>
    <row r="14" spans="1:18" x14ac:dyDescent="0.25">
      <c r="B14" s="1110"/>
      <c r="C14" s="593"/>
      <c r="D14" s="593"/>
      <c r="E14" s="593"/>
      <c r="F14" s="593"/>
      <c r="G14" s="593"/>
      <c r="H14" s="1111"/>
      <c r="I14" s="593"/>
      <c r="J14" s="851"/>
      <c r="K14" s="593"/>
      <c r="L14" s="1112"/>
    </row>
    <row r="15" spans="1:18" ht="13.8" x14ac:dyDescent="0.25">
      <c r="A15" t="s">
        <v>84</v>
      </c>
      <c r="B15" s="1118">
        <v>11725411</v>
      </c>
      <c r="C15" s="1119">
        <f>+'300 Schools'!Q13</f>
        <v>11809191</v>
      </c>
      <c r="D15" s="1119">
        <f>+'300 Schools'!S13</f>
        <v>12143442</v>
      </c>
      <c r="E15" s="1119"/>
      <c r="F15" s="1119"/>
      <c r="G15" s="1119"/>
      <c r="H15" s="1120"/>
      <c r="I15" s="1119"/>
      <c r="J15" s="1119"/>
      <c r="K15" s="1119"/>
      <c r="L15" s="1121"/>
    </row>
    <row r="16" spans="1:18" x14ac:dyDescent="0.25">
      <c r="A16" s="202" t="s">
        <v>2199</v>
      </c>
      <c r="B16" s="1110">
        <v>11341466</v>
      </c>
      <c r="C16" s="593">
        <f>+'300 Schools'!P13</f>
        <v>11341466</v>
      </c>
      <c r="D16" s="593">
        <f>+'300 Schools'!Q13</f>
        <v>11809191</v>
      </c>
      <c r="E16" s="593">
        <f>+D15</f>
        <v>12143442</v>
      </c>
      <c r="F16" s="593">
        <f t="shared" ref="F16:L16" si="3">+E15</f>
        <v>0</v>
      </c>
      <c r="G16" s="593">
        <f t="shared" si="3"/>
        <v>0</v>
      </c>
      <c r="H16" s="593">
        <f t="shared" si="3"/>
        <v>0</v>
      </c>
      <c r="I16" s="593">
        <f t="shared" si="3"/>
        <v>0</v>
      </c>
      <c r="J16" s="593">
        <f t="shared" si="3"/>
        <v>0</v>
      </c>
      <c r="K16" s="593">
        <f t="shared" si="3"/>
        <v>0</v>
      </c>
      <c r="L16" s="593">
        <f t="shared" si="3"/>
        <v>0</v>
      </c>
    </row>
    <row r="17" spans="1:12" x14ac:dyDescent="0.25">
      <c r="A17" t="s">
        <v>2191</v>
      </c>
      <c r="B17" s="1110">
        <f>+B15-B16</f>
        <v>383945</v>
      </c>
      <c r="C17" s="593">
        <f t="shared" ref="C17:L17" si="4">+C15-C16</f>
        <v>467725</v>
      </c>
      <c r="D17" s="593">
        <f t="shared" si="4"/>
        <v>334251</v>
      </c>
      <c r="E17" s="593">
        <f t="shared" si="4"/>
        <v>-12143442</v>
      </c>
      <c r="F17" s="593">
        <f t="shared" si="4"/>
        <v>0</v>
      </c>
      <c r="G17" s="593">
        <f t="shared" si="4"/>
        <v>0</v>
      </c>
      <c r="H17" s="1111">
        <f t="shared" si="4"/>
        <v>0</v>
      </c>
      <c r="I17" s="593">
        <f t="shared" si="4"/>
        <v>0</v>
      </c>
      <c r="J17" s="851">
        <f t="shared" si="4"/>
        <v>0</v>
      </c>
      <c r="K17" s="593">
        <f t="shared" si="4"/>
        <v>0</v>
      </c>
      <c r="L17" s="1112">
        <f t="shared" si="4"/>
        <v>0</v>
      </c>
    </row>
    <row r="18" spans="1:12" x14ac:dyDescent="0.25">
      <c r="A18" t="s">
        <v>2192</v>
      </c>
      <c r="B18" s="1122">
        <f>ROUND((+B17/B16),4)</f>
        <v>3.39E-2</v>
      </c>
      <c r="C18" s="123">
        <f t="shared" ref="C18:L18" si="5">ROUND((+C17/C16),4)</f>
        <v>4.1200000000000001E-2</v>
      </c>
      <c r="D18" s="123">
        <f t="shared" si="5"/>
        <v>2.8299999999999999E-2</v>
      </c>
      <c r="E18" s="123">
        <f t="shared" si="5"/>
        <v>-1</v>
      </c>
      <c r="F18" s="123" t="e">
        <f t="shared" si="5"/>
        <v>#DIV/0!</v>
      </c>
      <c r="G18" s="123" t="e">
        <f t="shared" si="5"/>
        <v>#DIV/0!</v>
      </c>
      <c r="H18" s="1123" t="e">
        <f t="shared" si="5"/>
        <v>#DIV/0!</v>
      </c>
      <c r="I18" s="123" t="e">
        <f t="shared" si="5"/>
        <v>#DIV/0!</v>
      </c>
      <c r="J18" s="123" t="e">
        <f t="shared" si="5"/>
        <v>#DIV/0!</v>
      </c>
      <c r="K18" s="123" t="e">
        <f t="shared" si="5"/>
        <v>#DIV/0!</v>
      </c>
      <c r="L18" s="123" t="e">
        <f t="shared" si="5"/>
        <v>#DIV/0!</v>
      </c>
    </row>
    <row r="19" spans="1:12" x14ac:dyDescent="0.25">
      <c r="B19" s="1122"/>
      <c r="C19" s="123"/>
      <c r="D19" s="123"/>
      <c r="E19" s="123"/>
      <c r="F19" s="123"/>
      <c r="G19" s="123"/>
      <c r="H19" s="1123"/>
      <c r="I19" s="123"/>
      <c r="J19" s="123"/>
      <c r="K19" s="123"/>
      <c r="L19" s="123"/>
    </row>
    <row r="20" spans="1:12" x14ac:dyDescent="0.25">
      <c r="A20" s="273" t="s">
        <v>2201</v>
      </c>
      <c r="B20" s="1124">
        <f>+'Revenue Projections Detail'!L16</f>
        <v>20170336</v>
      </c>
      <c r="C20" s="1125">
        <v>20877816</v>
      </c>
      <c r="D20" s="1125">
        <v>21697878</v>
      </c>
      <c r="E20" s="1125"/>
      <c r="F20" s="1125">
        <f t="shared" ref="F20:L20" si="6">+E21</f>
        <v>0</v>
      </c>
      <c r="G20" s="1125">
        <f t="shared" si="6"/>
        <v>0</v>
      </c>
      <c r="H20" s="1125">
        <f t="shared" si="6"/>
        <v>0</v>
      </c>
      <c r="I20" s="1125">
        <f t="shared" si="6"/>
        <v>0</v>
      </c>
      <c r="J20" s="1125">
        <f t="shared" si="6"/>
        <v>0</v>
      </c>
      <c r="K20" s="1125">
        <f t="shared" si="6"/>
        <v>0</v>
      </c>
      <c r="L20" s="1125">
        <f t="shared" si="6"/>
        <v>0</v>
      </c>
    </row>
    <row r="21" spans="1:12" x14ac:dyDescent="0.25">
      <c r="A21" s="267" t="s">
        <v>2200</v>
      </c>
      <c r="B21" s="1126">
        <f>+'Revenue Projections Detail'!N16</f>
        <v>20877816</v>
      </c>
      <c r="C21" s="1112">
        <v>21574725</v>
      </c>
      <c r="D21" s="1112">
        <f>+'Revenue Projections Detail'!R16</f>
        <v>22214448.579999998</v>
      </c>
      <c r="E21" s="1112"/>
      <c r="F21" s="1112"/>
      <c r="G21" s="1112"/>
      <c r="H21" s="1111"/>
      <c r="I21" s="1112"/>
      <c r="J21" s="1138"/>
      <c r="K21" s="1112"/>
      <c r="L21" s="1127"/>
    </row>
    <row r="22" spans="1:12" x14ac:dyDescent="0.25">
      <c r="A22" s="153" t="s">
        <v>2193</v>
      </c>
      <c r="B22" s="1126">
        <f>+B21-B20</f>
        <v>707480</v>
      </c>
      <c r="C22" s="1112">
        <f t="shared" ref="C22:L22" si="7">+C21-C20</f>
        <v>696909</v>
      </c>
      <c r="D22" s="1112">
        <f t="shared" si="7"/>
        <v>516570.57999999821</v>
      </c>
      <c r="E22" s="1112">
        <f t="shared" si="7"/>
        <v>0</v>
      </c>
      <c r="F22" s="1112">
        <f t="shared" si="7"/>
        <v>0</v>
      </c>
      <c r="G22" s="1112">
        <f t="shared" si="7"/>
        <v>0</v>
      </c>
      <c r="H22" s="1111">
        <f t="shared" si="7"/>
        <v>0</v>
      </c>
      <c r="I22" s="1112">
        <f t="shared" si="7"/>
        <v>0</v>
      </c>
      <c r="J22" s="1138">
        <f t="shared" si="7"/>
        <v>0</v>
      </c>
      <c r="K22" s="1112">
        <f t="shared" si="7"/>
        <v>0</v>
      </c>
      <c r="L22" s="1127">
        <f t="shared" si="7"/>
        <v>0</v>
      </c>
    </row>
    <row r="23" spans="1:12" x14ac:dyDescent="0.25">
      <c r="A23" s="153"/>
      <c r="B23" s="1126"/>
      <c r="C23" s="1112"/>
      <c r="D23" s="1112"/>
      <c r="E23" s="1112"/>
      <c r="F23" s="1112"/>
      <c r="G23" s="1112"/>
      <c r="H23" s="1111"/>
      <c r="I23" s="1112"/>
      <c r="J23" s="1138"/>
      <c r="K23" s="1112"/>
      <c r="L23" s="1127"/>
    </row>
    <row r="24" spans="1:12" x14ac:dyDescent="0.25">
      <c r="A24" s="267" t="s">
        <v>2202</v>
      </c>
      <c r="B24" s="1140">
        <v>1123142040</v>
      </c>
      <c r="C24" s="1141">
        <v>1123142040</v>
      </c>
      <c r="D24" s="1145">
        <v>1186195681</v>
      </c>
      <c r="E24" s="1141">
        <v>1123142040</v>
      </c>
      <c r="F24" s="1141">
        <v>1123142040</v>
      </c>
      <c r="G24" s="1141">
        <v>1123142040</v>
      </c>
      <c r="H24" s="1142">
        <v>1123142040</v>
      </c>
      <c r="I24" s="1141">
        <v>1123142040</v>
      </c>
      <c r="J24" s="1143">
        <v>1123142040</v>
      </c>
      <c r="K24" s="1141">
        <v>1123142040</v>
      </c>
      <c r="L24" s="1144">
        <v>1123142040</v>
      </c>
    </row>
    <row r="25" spans="1:12" x14ac:dyDescent="0.25">
      <c r="A25" s="267" t="s">
        <v>2203</v>
      </c>
      <c r="B25" s="1128">
        <f>ROUND((+B22/(+B24/1000)),2)</f>
        <v>0.63</v>
      </c>
      <c r="C25" s="119">
        <f t="shared" ref="C25:L25" si="8">ROUND((+C22/(+C24/1000)),2)</f>
        <v>0.62</v>
      </c>
      <c r="D25" s="119">
        <f t="shared" si="8"/>
        <v>0.44</v>
      </c>
      <c r="E25" s="119">
        <f t="shared" si="8"/>
        <v>0</v>
      </c>
      <c r="F25" s="119">
        <f t="shared" si="8"/>
        <v>0</v>
      </c>
      <c r="G25" s="119">
        <f t="shared" si="8"/>
        <v>0</v>
      </c>
      <c r="H25" s="1129">
        <f t="shared" si="8"/>
        <v>0</v>
      </c>
      <c r="I25" s="119">
        <f t="shared" si="8"/>
        <v>0</v>
      </c>
      <c r="J25" s="197">
        <f t="shared" si="8"/>
        <v>0</v>
      </c>
      <c r="K25" s="119">
        <f t="shared" si="8"/>
        <v>0</v>
      </c>
      <c r="L25" s="1130">
        <f t="shared" si="8"/>
        <v>0</v>
      </c>
    </row>
    <row r="26" spans="1:12" x14ac:dyDescent="0.25">
      <c r="A26" s="153" t="s">
        <v>2194</v>
      </c>
      <c r="B26" s="1128">
        <f>+B25*250</f>
        <v>157.5</v>
      </c>
      <c r="C26" s="119">
        <f>+C25*250</f>
        <v>155</v>
      </c>
      <c r="D26" s="119">
        <f t="shared" ref="D26:L26" si="9">+D25*250</f>
        <v>110</v>
      </c>
      <c r="E26" s="119">
        <f t="shared" si="9"/>
        <v>0</v>
      </c>
      <c r="F26" s="119">
        <f t="shared" si="9"/>
        <v>0</v>
      </c>
      <c r="G26" s="119">
        <f t="shared" si="9"/>
        <v>0</v>
      </c>
      <c r="H26" s="1129">
        <f t="shared" si="9"/>
        <v>0</v>
      </c>
      <c r="I26" s="119">
        <f t="shared" si="9"/>
        <v>0</v>
      </c>
      <c r="J26" s="197">
        <f t="shared" si="9"/>
        <v>0</v>
      </c>
      <c r="K26" s="119">
        <f t="shared" si="9"/>
        <v>0</v>
      </c>
      <c r="L26" s="1130">
        <f t="shared" si="9"/>
        <v>0</v>
      </c>
    </row>
    <row r="27" spans="1:12" ht="13.8" x14ac:dyDescent="0.25">
      <c r="A27" s="1131" t="s">
        <v>2195</v>
      </c>
      <c r="B27" s="1132"/>
      <c r="C27" s="1133"/>
      <c r="D27" s="1133"/>
      <c r="E27" s="1133"/>
      <c r="F27" s="1133"/>
      <c r="G27" s="1133"/>
      <c r="H27" s="1134"/>
      <c r="I27" s="596"/>
      <c r="J27" s="1139"/>
      <c r="K27" s="596"/>
      <c r="L27" s="1135"/>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a1a659-2450-4b3d-ae2b-17700db09355">
      <Terms xmlns="http://schemas.microsoft.com/office/infopath/2007/PartnerControls"/>
    </lcf76f155ced4ddcb4097134ff3c332f>
    <TaxCatchAll xmlns="591520ea-1209-4f18-a86d-075aad92aed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A7C068C8668B49BEE35E78F7C6470F" ma:contentTypeVersion="18" ma:contentTypeDescription="Create a new document." ma:contentTypeScope="" ma:versionID="fe8024fd29b81f6d9ee12bc563813bfd">
  <xsd:schema xmlns:xsd="http://www.w3.org/2001/XMLSchema" xmlns:xs="http://www.w3.org/2001/XMLSchema" xmlns:p="http://schemas.microsoft.com/office/2006/metadata/properties" xmlns:ns2="59a1a659-2450-4b3d-ae2b-17700db09355" xmlns:ns3="591520ea-1209-4f18-a86d-075aad92aedd" targetNamespace="http://schemas.microsoft.com/office/2006/metadata/properties" ma:root="true" ma:fieldsID="62d9d39ccb4b8ecfb90465c297d41f3c" ns2:_="" ns3:_="">
    <xsd:import namespace="59a1a659-2450-4b3d-ae2b-17700db09355"/>
    <xsd:import namespace="591520ea-1209-4f18-a86d-075aad92aed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Location" minOccurs="0"/>
                <xsd:element ref="ns2:MediaServiceOCR" minOccurs="0"/>
                <xsd:element ref="ns2:lcf76f155ced4ddcb4097134ff3c332f" minOccurs="0"/>
                <xsd:element ref="ns3:TaxCatchAll"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a1a659-2450-4b3d-ae2b-17700db093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95a921a-ef64-4683-965a-38e8efb1922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1520ea-1209-4f18-a86d-075aad92aed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7e6e88ca-2405-4578-9933-2870b683f6c2}" ma:internalName="TaxCatchAll" ma:showField="CatchAllData" ma:web="591520ea-1209-4f18-a86d-075aad92aedd">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77D906-675B-4426-9BAC-47254928B114}">
  <ds:schemaRefs>
    <ds:schemaRef ds:uri="http://schemas.microsoft.com/sharepoint/v3/contenttype/forms"/>
  </ds:schemaRefs>
</ds:datastoreItem>
</file>

<file path=customXml/itemProps2.xml><?xml version="1.0" encoding="utf-8"?>
<ds:datastoreItem xmlns:ds="http://schemas.openxmlformats.org/officeDocument/2006/customXml" ds:itemID="{32B54F09-4363-431D-B79C-4D7AB1FD7FA5}">
  <ds:schemaRefs>
    <ds:schemaRef ds:uri="http://schemas.microsoft.com/office/2006/metadata/properties"/>
    <ds:schemaRef ds:uri="http://schemas.microsoft.com/office/infopath/2007/PartnerControls"/>
    <ds:schemaRef ds:uri="59a1a659-2450-4b3d-ae2b-17700db09355"/>
    <ds:schemaRef ds:uri="591520ea-1209-4f18-a86d-075aad92aedd"/>
  </ds:schemaRefs>
</ds:datastoreItem>
</file>

<file path=customXml/itemProps3.xml><?xml version="1.0" encoding="utf-8"?>
<ds:datastoreItem xmlns:ds="http://schemas.openxmlformats.org/officeDocument/2006/customXml" ds:itemID="{9156A398-C100-46C9-94AE-C3D0DD1C9B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a1a659-2450-4b3d-ae2b-17700db09355"/>
    <ds:schemaRef ds:uri="591520ea-1209-4f18-a86d-075aad92ae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79</vt:i4>
      </vt:variant>
    </vt:vector>
  </HeadingPairs>
  <TitlesOfParts>
    <vt:vector size="163" baseType="lpstr">
      <vt:lpstr>Table of Contents</vt:lpstr>
      <vt:lpstr>Tabs</vt:lpstr>
      <vt:lpstr>Tax Impact Calculator</vt:lpstr>
      <vt:lpstr>To Do and Changes</vt:lpstr>
      <vt:lpstr>Policies to Review</vt:lpstr>
      <vt:lpstr>Est Sewer Rate Incr</vt:lpstr>
      <vt:lpstr>Revenue Projections Detail</vt:lpstr>
      <vt:lpstr>SB 10-23-23</vt:lpstr>
      <vt:lpstr>Excess Capacity Calculation</vt:lpstr>
      <vt:lpstr>Affordable Assessment</vt:lpstr>
      <vt:lpstr>Financial Policy Numbers</vt:lpstr>
      <vt:lpstr>Working Budget with funding det</vt:lpstr>
      <vt:lpstr>Budget Summary</vt:lpstr>
      <vt:lpstr>113 Town Mtg</vt:lpstr>
      <vt:lpstr>122 Selectboard</vt:lpstr>
      <vt:lpstr>131 Fin Comm</vt:lpstr>
      <vt:lpstr>132 Reserve Fund</vt:lpstr>
      <vt:lpstr>135 Acct</vt:lpstr>
      <vt:lpstr>141 BOA</vt:lpstr>
      <vt:lpstr>145 Treas</vt:lpstr>
      <vt:lpstr>151 Counsel</vt:lpstr>
      <vt:lpstr>155 IT</vt:lpstr>
      <vt:lpstr>159 Shared Costs</vt:lpstr>
      <vt:lpstr>161 Clerk</vt:lpstr>
      <vt:lpstr>175 Planning</vt:lpstr>
      <vt:lpstr>176 ZBA</vt:lpstr>
      <vt:lpstr>190 Publ Bldg Utilities</vt:lpstr>
      <vt:lpstr>197 Farm Mkt</vt:lpstr>
      <vt:lpstr>211 Police</vt:lpstr>
      <vt:lpstr>212 Dispatch</vt:lpstr>
      <vt:lpstr>241 Bldg</vt:lpstr>
      <vt:lpstr>244 Sealer</vt:lpstr>
      <vt:lpstr>291 Emergency</vt:lpstr>
      <vt:lpstr>292 Animal</vt:lpstr>
      <vt:lpstr>294 Forest Warden</vt:lpstr>
      <vt:lpstr>299 Tree Warden</vt:lpstr>
      <vt:lpstr>300 Schools</vt:lpstr>
      <vt:lpstr>420 DPW</vt:lpstr>
      <vt:lpstr>192 Public Bldgs</vt:lpstr>
      <vt:lpstr>422 Maintenance</vt:lpstr>
      <vt:lpstr>652 Parks</vt:lpstr>
      <vt:lpstr>423 Snow</vt:lpstr>
      <vt:lpstr>433 Solid Waste</vt:lpstr>
      <vt:lpstr>480 Charging Stations</vt:lpstr>
      <vt:lpstr>491 Cemetery</vt:lpstr>
      <vt:lpstr>511 BOH</vt:lpstr>
      <vt:lpstr>541 COA</vt:lpstr>
      <vt:lpstr>543 Vets</vt:lpstr>
      <vt:lpstr>610 Library</vt:lpstr>
      <vt:lpstr>630 Recreation</vt:lpstr>
      <vt:lpstr>691 Historical Comm</vt:lpstr>
      <vt:lpstr>693 Memorials</vt:lpstr>
      <vt:lpstr>700 Debt </vt:lpstr>
      <vt:lpstr>840 Intergovt</vt:lpstr>
      <vt:lpstr>910 Benefits</vt:lpstr>
      <vt:lpstr>946 Insurance</vt:lpstr>
      <vt:lpstr>Colle 228 183</vt:lpstr>
      <vt:lpstr>600 482 Airport</vt:lpstr>
      <vt:lpstr>600-700 Airport Debt</vt:lpstr>
      <vt:lpstr>600-900 Airport Benefits</vt:lpstr>
      <vt:lpstr>661 440 CWF</vt:lpstr>
      <vt:lpstr>661 449 Hwy</vt:lpstr>
      <vt:lpstr>661 700 CWF Debt</vt:lpstr>
      <vt:lpstr>661 910 CWF Benefits</vt:lpstr>
      <vt:lpstr>Tax share CWF</vt:lpstr>
      <vt:lpstr>Overhead</vt:lpstr>
      <vt:lpstr>Debt Exclusion Calc.</vt:lpstr>
      <vt:lpstr>Police Wages</vt:lpstr>
      <vt:lpstr>NAGE &amp; Non-Union Wages</vt:lpstr>
      <vt:lpstr>UE Wages</vt:lpstr>
      <vt:lpstr>Longevity</vt:lpstr>
      <vt:lpstr>Split Debt Service</vt:lpstr>
      <vt:lpstr>Combined Debt Schedule</vt:lpstr>
      <vt:lpstr>Kearsarge Lease</vt:lpstr>
      <vt:lpstr>Town Meeting Wages By Position</vt:lpstr>
      <vt:lpstr>Report to Town Meeting </vt:lpstr>
      <vt:lpstr>Charts for Report</vt:lpstr>
      <vt:lpstr>Pie Charts</vt:lpstr>
      <vt:lpstr>Local Receipts for Report</vt:lpstr>
      <vt:lpstr>TOC-Report</vt:lpstr>
      <vt:lpstr>Summary Comp to PY</vt:lpstr>
      <vt:lpstr>182 MEDIC</vt:lpstr>
      <vt:lpstr>Wages and expenses by Dept</vt:lpstr>
      <vt:lpstr>Sheet1</vt:lpstr>
      <vt:lpstr>'113 Town Mtg'!Print_Area</vt:lpstr>
      <vt:lpstr>'122 Selectboard'!Print_Area</vt:lpstr>
      <vt:lpstr>'131 Fin Comm'!Print_Area</vt:lpstr>
      <vt:lpstr>'132 Reserve Fund'!Print_Area</vt:lpstr>
      <vt:lpstr>'135 Acct'!Print_Area</vt:lpstr>
      <vt:lpstr>'141 BOA'!Print_Area</vt:lpstr>
      <vt:lpstr>'145 Treas'!Print_Area</vt:lpstr>
      <vt:lpstr>'151 Counsel'!Print_Area</vt:lpstr>
      <vt:lpstr>'155 IT'!Print_Area</vt:lpstr>
      <vt:lpstr>'159 Shared Costs'!Print_Area</vt:lpstr>
      <vt:lpstr>'161 Clerk'!Print_Area</vt:lpstr>
      <vt:lpstr>'175 Planning'!Print_Area</vt:lpstr>
      <vt:lpstr>'176 ZBA'!Print_Area</vt:lpstr>
      <vt:lpstr>'190 Publ Bldg Utilities'!Print_Area</vt:lpstr>
      <vt:lpstr>'192 Public Bldgs'!Print_Area</vt:lpstr>
      <vt:lpstr>'197 Farm Mkt'!Print_Area</vt:lpstr>
      <vt:lpstr>'211 Police'!Print_Area</vt:lpstr>
      <vt:lpstr>'212 Dispatch'!Print_Area</vt:lpstr>
      <vt:lpstr>'241 Bldg'!Print_Area</vt:lpstr>
      <vt:lpstr>'244 Sealer'!Print_Area</vt:lpstr>
      <vt:lpstr>'291 Emergency'!Print_Area</vt:lpstr>
      <vt:lpstr>'292 Animal'!Print_Area</vt:lpstr>
      <vt:lpstr>'294 Forest Warden'!Print_Area</vt:lpstr>
      <vt:lpstr>'299 Tree Warden'!Print_Area</vt:lpstr>
      <vt:lpstr>'300 Schools'!Print_Area</vt:lpstr>
      <vt:lpstr>'420 DPW'!Print_Area</vt:lpstr>
      <vt:lpstr>'422 Maintenance'!Print_Area</vt:lpstr>
      <vt:lpstr>'423 Snow'!Print_Area</vt:lpstr>
      <vt:lpstr>'433 Solid Waste'!Print_Area</vt:lpstr>
      <vt:lpstr>'491 Cemetery'!Print_Area</vt:lpstr>
      <vt:lpstr>'511 BOH'!Print_Area</vt:lpstr>
      <vt:lpstr>'541 COA'!Print_Area</vt:lpstr>
      <vt:lpstr>'543 Vets'!Print_Area</vt:lpstr>
      <vt:lpstr>'600 482 Airport'!Print_Area</vt:lpstr>
      <vt:lpstr>'600-700 Airport Debt'!Print_Area</vt:lpstr>
      <vt:lpstr>'610 Library'!Print_Area</vt:lpstr>
      <vt:lpstr>'630 Recreation'!Print_Area</vt:lpstr>
      <vt:lpstr>'652 Parks'!Print_Area</vt:lpstr>
      <vt:lpstr>'661 440 CWF'!Print_Area</vt:lpstr>
      <vt:lpstr>'661 449 Hwy'!Print_Area</vt:lpstr>
      <vt:lpstr>'661 700 CWF Debt'!Print_Area</vt:lpstr>
      <vt:lpstr>'661 910 CWF Benefits'!Print_Area</vt:lpstr>
      <vt:lpstr>'691 Historical Comm'!Print_Area</vt:lpstr>
      <vt:lpstr>'693 Memorials'!Print_Area</vt:lpstr>
      <vt:lpstr>'700 Debt '!Print_Area</vt:lpstr>
      <vt:lpstr>'840 Intergovt'!Print_Area</vt:lpstr>
      <vt:lpstr>'910 Benefits'!Print_Area</vt:lpstr>
      <vt:lpstr>'946 Insurance'!Print_Area</vt:lpstr>
      <vt:lpstr>'Affordable Assessment'!Print_Area</vt:lpstr>
      <vt:lpstr>'Budget Summary'!Print_Area</vt:lpstr>
      <vt:lpstr>'Charts for Report'!Print_Area</vt:lpstr>
      <vt:lpstr>'Colle 228 183'!Print_Area</vt:lpstr>
      <vt:lpstr>'Combined Debt Schedule'!Print_Area</vt:lpstr>
      <vt:lpstr>'Est Sewer Rate Incr'!Print_Area</vt:lpstr>
      <vt:lpstr>'Financial Policy Numbers'!Print_Area</vt:lpstr>
      <vt:lpstr>'NAGE &amp; Non-Union Wages'!Print_Area</vt:lpstr>
      <vt:lpstr>'Police Wages'!Print_Area</vt:lpstr>
      <vt:lpstr>'Report to Town Meeting '!Print_Area</vt:lpstr>
      <vt:lpstr>'Revenue Projections Detail'!Print_Area</vt:lpstr>
      <vt:lpstr>'Tax Impact Calculator'!Print_Area</vt:lpstr>
      <vt:lpstr>'Town Meeting Wages By Position'!Print_Area</vt:lpstr>
      <vt:lpstr>'Working Budget with funding det'!Print_Area</vt:lpstr>
      <vt:lpstr>'192 Public Bldgs'!Print_Titles</vt:lpstr>
      <vt:lpstr>'211 Police'!Print_Titles</vt:lpstr>
      <vt:lpstr>'292 Animal'!Print_Titles</vt:lpstr>
      <vt:lpstr>'420 DPW'!Print_Titles</vt:lpstr>
      <vt:lpstr>'422 Maintenance'!Print_Titles</vt:lpstr>
      <vt:lpstr>'600-700 Airport Debt'!Print_Titles</vt:lpstr>
      <vt:lpstr>'661 440 CWF'!Print_Titles</vt:lpstr>
      <vt:lpstr>'661 700 CWF Debt'!Print_Titles</vt:lpstr>
      <vt:lpstr>'700 Debt '!Print_Titles</vt:lpstr>
      <vt:lpstr>'Budget Summary'!Print_Titles</vt:lpstr>
      <vt:lpstr>'Charts for Report'!Print_Titles</vt:lpstr>
      <vt:lpstr>'Combined Debt Schedule'!Print_Titles</vt:lpstr>
      <vt:lpstr>'Financial Policy Numbers'!Print_Titles</vt:lpstr>
      <vt:lpstr>'Revenue Projections Detail'!Print_Titles</vt:lpstr>
      <vt:lpstr>'Town Meeting Wages By Position'!Print_Titles</vt:lpstr>
      <vt:lpstr>'Wages and expenses by Dept'!Print_Titles</vt:lpstr>
      <vt:lpstr>'Working Budget with funding det'!Print_Titles</vt:lpstr>
    </vt:vector>
  </TitlesOfParts>
  <Manager/>
  <Company>Town Of Montague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Montague-User</dc:creator>
  <cp:keywords/>
  <dc:description/>
  <cp:lastModifiedBy>CarolynO-Montague Town Accountant</cp:lastModifiedBy>
  <cp:revision/>
  <cp:lastPrinted>2024-03-12T15:04:09Z</cp:lastPrinted>
  <dcterms:created xsi:type="dcterms:W3CDTF">2000-05-08T16:10:41Z</dcterms:created>
  <dcterms:modified xsi:type="dcterms:W3CDTF">2024-03-21T16:32:47Z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0x010100E7A7C068C8668B49BEE35E78F7C6470F</vt:lpwstr>
  </property>
  <property fmtid="{D5CDD505-2E9C-101B-9397-08002B2CF9AE}" pid="3" name="MediaServiceImageTags">
    <vt:lpwstr/>
  </property>
</Properties>
</file>